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omments1.xml" ContentType="application/vnd.openxmlformats-officedocument.spreadsheetml.comments+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2.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3.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8.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9.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3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34.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7.xml" ContentType="application/vnd.openxmlformats-officedocument.drawingml.chart+xml"/>
  <Override PartName="/xl/drawings/drawing6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naughton\Desktop\Des Comp\Hold\XLS\"/>
    </mc:Choice>
  </mc:AlternateContent>
  <bookViews>
    <workbookView xWindow="0" yWindow="0" windowWidth="13740" windowHeight="2790" tabRatio="754" firstSheet="6" activeTab="6"/>
  </bookViews>
  <sheets>
    <sheet name="Sheet1" sheetId="209" r:id="rId1"/>
    <sheet name="Notes" sheetId="204" r:id="rId2"/>
    <sheet name="Inputs" sheetId="18" r:id="rId3"/>
    <sheet name="Loa-Lbp" sheetId="20" r:id="rId4"/>
    <sheet name="LDvsLB" sheetId="4" r:id="rId5"/>
    <sheet name="DtoB" sheetId="17" r:id="rId6"/>
    <sheet name="BtoL" sheetId="3" r:id="rId7"/>
    <sheet name="DtoL" sheetId="2" r:id="rId8"/>
    <sheet name="TtoL" sheetId="5" r:id="rId9"/>
    <sheet name="FLtoL" sheetId="72" r:id="rId10"/>
    <sheet name="FtoL" sheetId="73" r:id="rId11"/>
    <sheet name="LB vs Displ " sheetId="225" r:id="rId12"/>
    <sheet name="LT vs Displ " sheetId="226" r:id="rId13"/>
    <sheet name="Comp vs Displ" sheetId="227" r:id="rId14"/>
    <sheet name="Fnv vs Displ" sheetId="228" r:id="rId15"/>
    <sheet name="Vm vs Displ" sheetId="229" r:id="rId16"/>
    <sheet name="T vs Displ" sheetId="230" r:id="rId17"/>
    <sheet name="B vs Displ" sheetId="231" r:id="rId18"/>
    <sheet name="L vs Displ" sheetId="232" r:id="rId19"/>
    <sheet name="Disp vs L" sheetId="235" r:id="rId20"/>
    <sheet name="DLR" sheetId="16" r:id="rId21"/>
    <sheet name="Cb" sheetId="15" r:id="rId22"/>
    <sheet name="Summary Data" sheetId="25" r:id="rId23"/>
    <sheet name="Comp Data" sheetId="1" r:id="rId24"/>
    <sheet name="New Ships" sheetId="74" r:id="rId25"/>
    <sheet name="Sheet3" sheetId="26" r:id="rId26"/>
    <sheet name="Comp Data (2)" sheetId="205" r:id="rId27"/>
    <sheet name="USCG" sheetId="216" r:id="rId28"/>
    <sheet name="Task 1 Converted AMI PDF Stats" sheetId="217" r:id="rId29"/>
    <sheet name="Disp X Vm vs Fn2" sheetId="246" r:id="rId30"/>
    <sheet name="Disp X Vm vs Fnv2 " sheetId="247" r:id="rId31"/>
    <sheet name="Cdl vs Fnv" sheetId="248" r:id="rId32"/>
    <sheet name="Mf vs Fnv" sheetId="249" r:id="rId33"/>
    <sheet name="Ac vs Fnv" sheetId="250" r:id="rId34"/>
    <sheet name="Range vs Fnv" sheetId="251" r:id="rId35"/>
    <sheet name="Pwr vs Fnv" sheetId="252" r:id="rId36"/>
    <sheet name="LB vs Displ  (2)" sheetId="253" r:id="rId37"/>
    <sheet name="Range vs Pwr" sheetId="236" r:id="rId38"/>
    <sheet name="Range vs L" sheetId="237" r:id="rId39"/>
    <sheet name="Disp vs L (2)" sheetId="238" r:id="rId40"/>
    <sheet name="Pwr vs L" sheetId="239" r:id="rId41"/>
    <sheet name="LB vs L" sheetId="240" r:id="rId42"/>
    <sheet name="LT vs L" sheetId="241" r:id="rId43"/>
    <sheet name="Cdl vs Vm" sheetId="242" r:id="rId44"/>
    <sheet name="Mf vs Vm" sheetId="243" r:id="rId45"/>
    <sheet name="Ac vs Vm" sheetId="244" r:id="rId46"/>
    <sheet name="Pwr vs Vm" sheetId="245" r:id="rId47"/>
  </sheets>
  <definedNames>
    <definedName name="_xlnm.Print_Area" localSheetId="27">USCG!$A$1:$G$66</definedName>
    <definedName name="_xlnm.Print_Titles" localSheetId="23">'Comp Data'!$A:$D,'Comp Data'!$1:$1</definedName>
    <definedName name="_xlnm.Print_Titles" localSheetId="26">'Comp Data (2)'!$A:$D,'Comp Data (2)'!$1:$1</definedName>
  </definedNames>
  <calcPr calcId="162913"/>
</workbook>
</file>

<file path=xl/calcChain.xml><?xml version="1.0" encoding="utf-8"?>
<calcChain xmlns="http://schemas.openxmlformats.org/spreadsheetml/2006/main">
  <c r="AO349" i="217" l="1"/>
  <c r="AF349" i="217"/>
  <c r="AB349" i="217"/>
  <c r="U349" i="217"/>
  <c r="P349" i="217"/>
  <c r="N349" i="217"/>
  <c r="K349" i="217"/>
  <c r="J349" i="217"/>
  <c r="AE349" i="217" s="1"/>
  <c r="H349" i="217"/>
  <c r="AA349" i="217" s="1"/>
  <c r="AO348" i="217"/>
  <c r="AF348" i="217"/>
  <c r="AB348" i="217"/>
  <c r="U348" i="217"/>
  <c r="P348" i="217"/>
  <c r="N348" i="217"/>
  <c r="K348" i="217"/>
  <c r="J348" i="217"/>
  <c r="AE348" i="217" s="1"/>
  <c r="H348" i="217"/>
  <c r="AA348" i="217" s="1"/>
  <c r="AC347" i="217"/>
  <c r="AD347" i="217" s="1"/>
  <c r="W347" i="217"/>
  <c r="U347" i="217"/>
  <c r="S347" i="217"/>
  <c r="P347" i="217"/>
  <c r="N347" i="217"/>
  <c r="K347" i="217"/>
  <c r="J347" i="217" s="1"/>
  <c r="H347" i="217"/>
  <c r="AA347" i="217" s="1"/>
  <c r="AB347" i="217" s="1"/>
  <c r="U346" i="217"/>
  <c r="AP346" i="217" s="1"/>
  <c r="P346" i="217"/>
  <c r="N346" i="217"/>
  <c r="K346" i="217"/>
  <c r="J346" i="217" s="1"/>
  <c r="H346" i="217"/>
  <c r="AA346" i="217" s="1"/>
  <c r="AB346" i="217" s="1"/>
  <c r="AO345" i="217"/>
  <c r="U345" i="217"/>
  <c r="AF345" i="217" s="1"/>
  <c r="P345" i="217"/>
  <c r="N345" i="217"/>
  <c r="K345" i="217"/>
  <c r="J345" i="217" s="1"/>
  <c r="S345" i="217" s="1"/>
  <c r="H345" i="217"/>
  <c r="AA345" i="217" s="1"/>
  <c r="AB345" i="217" s="1"/>
  <c r="AP344" i="217"/>
  <c r="U344" i="217"/>
  <c r="P344" i="217"/>
  <c r="N344" i="217"/>
  <c r="K344" i="217"/>
  <c r="J344" i="217" s="1"/>
  <c r="H344" i="217"/>
  <c r="AA344" i="217" s="1"/>
  <c r="AB344" i="217" s="1"/>
  <c r="AP343" i="217"/>
  <c r="U343" i="217"/>
  <c r="AF343" i="217" s="1"/>
  <c r="S343" i="217"/>
  <c r="P343" i="217"/>
  <c r="N343" i="217"/>
  <c r="K343" i="217"/>
  <c r="J343" i="217" s="1"/>
  <c r="H343" i="217"/>
  <c r="AA343" i="217" s="1"/>
  <c r="AB343" i="217" s="1"/>
  <c r="U342" i="217"/>
  <c r="P342" i="217"/>
  <c r="N342" i="217"/>
  <c r="K342" i="217"/>
  <c r="J342" i="217" s="1"/>
  <c r="H342" i="217"/>
  <c r="AA342" i="217" s="1"/>
  <c r="AB342" i="217" s="1"/>
  <c r="U341" i="217"/>
  <c r="P341" i="217"/>
  <c r="N341" i="217"/>
  <c r="K341" i="217"/>
  <c r="J341" i="217" s="1"/>
  <c r="H341" i="217"/>
  <c r="AA341" i="217" s="1"/>
  <c r="AB341" i="217" s="1"/>
  <c r="AC340" i="217"/>
  <c r="AD340" i="217" s="1"/>
  <c r="AA340" i="217"/>
  <c r="AB340" i="217" s="1"/>
  <c r="W340" i="217"/>
  <c r="U340" i="217"/>
  <c r="P340" i="217"/>
  <c r="N340" i="217"/>
  <c r="K340" i="217"/>
  <c r="J340" i="217"/>
  <c r="AE340" i="217" s="1"/>
  <c r="AP339" i="217"/>
  <c r="U339" i="217"/>
  <c r="AF339" i="217" s="1"/>
  <c r="S339" i="217"/>
  <c r="P339" i="217"/>
  <c r="N339" i="217"/>
  <c r="K339" i="217"/>
  <c r="J339" i="217" s="1"/>
  <c r="H339" i="217"/>
  <c r="AA339" i="217" s="1"/>
  <c r="AB339" i="217" s="1"/>
  <c r="AC338" i="217"/>
  <c r="AD338" i="217" s="1"/>
  <c r="W338" i="217"/>
  <c r="U338" i="217"/>
  <c r="P338" i="217"/>
  <c r="N338" i="217"/>
  <c r="K338" i="217"/>
  <c r="J338" i="217"/>
  <c r="AE338" i="217" s="1"/>
  <c r="H338" i="217"/>
  <c r="AA338" i="217" s="1"/>
  <c r="AB338" i="217" s="1"/>
  <c r="AE337" i="217"/>
  <c r="AA337" i="217"/>
  <c r="AB337" i="217" s="1"/>
  <c r="U337" i="217"/>
  <c r="P337" i="217"/>
  <c r="N337" i="217"/>
  <c r="K337" i="217"/>
  <c r="J337" i="217"/>
  <c r="R337" i="217" s="1"/>
  <c r="H337" i="217"/>
  <c r="AE336" i="217"/>
  <c r="U336" i="217"/>
  <c r="P336" i="217"/>
  <c r="N336" i="217"/>
  <c r="K336" i="217"/>
  <c r="J336" i="217"/>
  <c r="R336" i="217" s="1"/>
  <c r="H336" i="217"/>
  <c r="AA336" i="217" s="1"/>
  <c r="AB336" i="217" s="1"/>
  <c r="AE335" i="217"/>
  <c r="AA335" i="217"/>
  <c r="AB335" i="217" s="1"/>
  <c r="U335" i="217"/>
  <c r="P335" i="217"/>
  <c r="N335" i="217"/>
  <c r="K335" i="217"/>
  <c r="J335" i="217"/>
  <c r="H335" i="217"/>
  <c r="AP334" i="217"/>
  <c r="AE334" i="217"/>
  <c r="U334" i="217"/>
  <c r="P334" i="217"/>
  <c r="N334" i="217"/>
  <c r="K334" i="217"/>
  <c r="J334" i="217"/>
  <c r="R334" i="217" s="1"/>
  <c r="H334" i="217"/>
  <c r="AA334" i="217" s="1"/>
  <c r="AB334" i="217" s="1"/>
  <c r="AE333" i="217"/>
  <c r="AA333" i="217"/>
  <c r="AB333" i="217" s="1"/>
  <c r="U333" i="217"/>
  <c r="P333" i="217"/>
  <c r="N333" i="217"/>
  <c r="K333" i="217"/>
  <c r="J333" i="217"/>
  <c r="H333" i="217"/>
  <c r="AP332" i="217"/>
  <c r="AE332" i="217"/>
  <c r="U332" i="217"/>
  <c r="P332" i="217"/>
  <c r="N332" i="217"/>
  <c r="K332" i="217"/>
  <c r="J332" i="217"/>
  <c r="H332" i="217"/>
  <c r="AA332" i="217" s="1"/>
  <c r="AB332" i="217" s="1"/>
  <c r="AE331" i="217"/>
  <c r="AA331" i="217"/>
  <c r="AB331" i="217" s="1"/>
  <c r="U331" i="217"/>
  <c r="P331" i="217"/>
  <c r="N331" i="217"/>
  <c r="K331" i="217"/>
  <c r="J331" i="217"/>
  <c r="R331" i="217" s="1"/>
  <c r="H331" i="217"/>
  <c r="AP330" i="217"/>
  <c r="AE330" i="217"/>
  <c r="U330" i="217"/>
  <c r="P330" i="217"/>
  <c r="N330" i="217"/>
  <c r="K330" i="217"/>
  <c r="J330" i="217"/>
  <c r="H330" i="217"/>
  <c r="AA330" i="217" s="1"/>
  <c r="AB330" i="217" s="1"/>
  <c r="AP329" i="217"/>
  <c r="AO329" i="217"/>
  <c r="AF329" i="217"/>
  <c r="AE329" i="217"/>
  <c r="AA329" i="217"/>
  <c r="AB329" i="217" s="1"/>
  <c r="S329" i="217"/>
  <c r="P329" i="217"/>
  <c r="N329" i="217"/>
  <c r="J329" i="217"/>
  <c r="I329" i="217"/>
  <c r="AO328" i="217"/>
  <c r="AF328" i="217"/>
  <c r="AB328" i="217"/>
  <c r="U328" i="217"/>
  <c r="S328" i="217"/>
  <c r="P328" i="217"/>
  <c r="N328" i="217"/>
  <c r="K328" i="217"/>
  <c r="J328" i="217" s="1"/>
  <c r="H328" i="217"/>
  <c r="AA328" i="217" s="1"/>
  <c r="AF327" i="217"/>
  <c r="AB327" i="217"/>
  <c r="W327" i="217"/>
  <c r="U327" i="217"/>
  <c r="AP327" i="217" s="1"/>
  <c r="P327" i="217"/>
  <c r="N327" i="217"/>
  <c r="K327" i="217"/>
  <c r="J327" i="217" s="1"/>
  <c r="H327" i="217"/>
  <c r="AA327" i="217" s="1"/>
  <c r="W326" i="217"/>
  <c r="U326" i="217"/>
  <c r="P326" i="217"/>
  <c r="N326" i="217"/>
  <c r="K326" i="217"/>
  <c r="J326" i="217"/>
  <c r="H326" i="217"/>
  <c r="AA326" i="217" s="1"/>
  <c r="AB326" i="217" s="1"/>
  <c r="AF325" i="217"/>
  <c r="W325" i="217"/>
  <c r="U325" i="217"/>
  <c r="AO325" i="217" s="1"/>
  <c r="P325" i="217"/>
  <c r="N325" i="217"/>
  <c r="K325" i="217"/>
  <c r="J325" i="217"/>
  <c r="H325" i="217"/>
  <c r="AA325" i="217" s="1"/>
  <c r="AB325" i="217" s="1"/>
  <c r="AO324" i="217"/>
  <c r="AF324" i="217"/>
  <c r="U324" i="217"/>
  <c r="S324" i="217"/>
  <c r="P324" i="217"/>
  <c r="N324" i="217"/>
  <c r="K324" i="217"/>
  <c r="J324" i="217" s="1"/>
  <c r="H324" i="217"/>
  <c r="AA324" i="217" s="1"/>
  <c r="AB324" i="217" s="1"/>
  <c r="AO323" i="217"/>
  <c r="AF323" i="217"/>
  <c r="AA323" i="217"/>
  <c r="AB323" i="217" s="1"/>
  <c r="U323" i="217"/>
  <c r="AP323" i="217" s="1"/>
  <c r="P323" i="217"/>
  <c r="N323" i="217"/>
  <c r="K323" i="217"/>
  <c r="J323" i="217"/>
  <c r="H323" i="217"/>
  <c r="AO322" i="217"/>
  <c r="AE322" i="217"/>
  <c r="AB322" i="217"/>
  <c r="AA322" i="217"/>
  <c r="X322" i="217"/>
  <c r="U322" i="217"/>
  <c r="P322" i="217"/>
  <c r="S322" i="217" s="1"/>
  <c r="N322" i="217"/>
  <c r="J322" i="217"/>
  <c r="I322" i="217"/>
  <c r="AB321" i="217"/>
  <c r="AA321" i="217"/>
  <c r="U321" i="217"/>
  <c r="R321" i="217"/>
  <c r="P321" i="217"/>
  <c r="N321" i="217"/>
  <c r="J321" i="217"/>
  <c r="AC321" i="217" s="1"/>
  <c r="AD321" i="217" s="1"/>
  <c r="I321" i="217"/>
  <c r="AF320" i="217"/>
  <c r="AA320" i="217"/>
  <c r="AB320" i="217" s="1"/>
  <c r="U320" i="217"/>
  <c r="P320" i="217"/>
  <c r="N320" i="217"/>
  <c r="J320" i="217"/>
  <c r="I320" i="217"/>
  <c r="AO320" i="217" s="1"/>
  <c r="AP319" i="217"/>
  <c r="AO319" i="217"/>
  <c r="AF319" i="217"/>
  <c r="AA319" i="217"/>
  <c r="AB319" i="217" s="1"/>
  <c r="P319" i="217"/>
  <c r="N319" i="217"/>
  <c r="J319" i="217"/>
  <c r="I319" i="217"/>
  <c r="AP318" i="217"/>
  <c r="AO318" i="217"/>
  <c r="AF318" i="217"/>
  <c r="AC318" i="217"/>
  <c r="AD318" i="217" s="1"/>
  <c r="AB318" i="217"/>
  <c r="AA318" i="217"/>
  <c r="R318" i="217"/>
  <c r="P318" i="217"/>
  <c r="N318" i="217"/>
  <c r="J318" i="217"/>
  <c r="S318" i="217" s="1"/>
  <c r="I318" i="217"/>
  <c r="AE318" i="217" s="1"/>
  <c r="AP317" i="217"/>
  <c r="AO317" i="217"/>
  <c r="AF317" i="217"/>
  <c r="AE317" i="217"/>
  <c r="AB317" i="217"/>
  <c r="AA317" i="217"/>
  <c r="P317" i="217"/>
  <c r="S317" i="217" s="1"/>
  <c r="N317" i="217"/>
  <c r="J317" i="217"/>
  <c r="I317" i="217"/>
  <c r="AB316" i="217"/>
  <c r="AA316" i="217"/>
  <c r="U316" i="217"/>
  <c r="R316" i="217"/>
  <c r="P316" i="217"/>
  <c r="N316" i="217"/>
  <c r="J316" i="217"/>
  <c r="AC316" i="217" s="1"/>
  <c r="AD316" i="217" s="1"/>
  <c r="I316" i="217"/>
  <c r="AF315" i="217"/>
  <c r="AA315" i="217"/>
  <c r="AB315" i="217" s="1"/>
  <c r="U315" i="217"/>
  <c r="S315" i="217"/>
  <c r="P315" i="217"/>
  <c r="N315" i="217"/>
  <c r="J315" i="217"/>
  <c r="I315" i="217"/>
  <c r="AO315" i="217" s="1"/>
  <c r="AE314" i="217"/>
  <c r="AA314" i="217"/>
  <c r="AB314" i="217" s="1"/>
  <c r="U314" i="217"/>
  <c r="P314" i="217"/>
  <c r="N314" i="217"/>
  <c r="R314" i="217" s="1"/>
  <c r="J314" i="217"/>
  <c r="AC314" i="217" s="1"/>
  <c r="AD314" i="217" s="1"/>
  <c r="I314" i="217"/>
  <c r="AP313" i="217"/>
  <c r="AO313" i="217"/>
  <c r="AF313" i="217"/>
  <c r="AC313" i="217"/>
  <c r="AD313" i="217" s="1"/>
  <c r="AA313" i="217"/>
  <c r="AB313" i="217" s="1"/>
  <c r="P313" i="217"/>
  <c r="N313" i="217"/>
  <c r="R313" i="217" s="1"/>
  <c r="J313" i="217"/>
  <c r="S313" i="217" s="1"/>
  <c r="I313" i="217"/>
  <c r="AE313" i="217" s="1"/>
  <c r="AP312" i="217"/>
  <c r="AO312" i="217"/>
  <c r="AF312" i="217"/>
  <c r="AC312" i="217"/>
  <c r="AD312" i="217" s="1"/>
  <c r="AB312" i="217"/>
  <c r="AA312" i="217"/>
  <c r="P312" i="217"/>
  <c r="N312" i="217"/>
  <c r="R312" i="217" s="1"/>
  <c r="J312" i="217"/>
  <c r="I312" i="217"/>
  <c r="AE312" i="217" s="1"/>
  <c r="AP311" i="217"/>
  <c r="AO311" i="217"/>
  <c r="AC311" i="217"/>
  <c r="AD311" i="217" s="1"/>
  <c r="AA311" i="217"/>
  <c r="AB311" i="217" s="1"/>
  <c r="U311" i="217"/>
  <c r="AF311" i="217" s="1"/>
  <c r="P311" i="217"/>
  <c r="S311" i="217" s="1"/>
  <c r="N311" i="217"/>
  <c r="J311" i="217"/>
  <c r="I311" i="217"/>
  <c r="AP310" i="217"/>
  <c r="AO310" i="217"/>
  <c r="AF310" i="217"/>
  <c r="AC310" i="217"/>
  <c r="AD310" i="217" s="1"/>
  <c r="AB310" i="217"/>
  <c r="AA310" i="217"/>
  <c r="R310" i="217"/>
  <c r="P310" i="217"/>
  <c r="N310" i="217"/>
  <c r="J310" i="217"/>
  <c r="I310" i="217"/>
  <c r="AE310" i="217" s="1"/>
  <c r="AP309" i="217"/>
  <c r="AD309" i="217"/>
  <c r="AB309" i="217"/>
  <c r="AA309" i="217"/>
  <c r="U309" i="217"/>
  <c r="R309" i="217"/>
  <c r="P309" i="217"/>
  <c r="N309" i="217"/>
  <c r="J309" i="217"/>
  <c r="AC309" i="217" s="1"/>
  <c r="I309" i="217"/>
  <c r="AE309" i="217" s="1"/>
  <c r="AP308" i="217"/>
  <c r="AC308" i="217"/>
  <c r="AD308" i="217" s="1"/>
  <c r="AA308" i="217"/>
  <c r="AB308" i="217" s="1"/>
  <c r="U308" i="217"/>
  <c r="AF308" i="217" s="1"/>
  <c r="P308" i="217"/>
  <c r="S308" i="217" s="1"/>
  <c r="N308" i="217"/>
  <c r="J308" i="217"/>
  <c r="R308" i="217" s="1"/>
  <c r="I308" i="217"/>
  <c r="AB307" i="217"/>
  <c r="AA307" i="217"/>
  <c r="U307" i="217"/>
  <c r="AO307" i="217" s="1"/>
  <c r="P307" i="217"/>
  <c r="N307" i="217"/>
  <c r="J307" i="217"/>
  <c r="R307" i="217" s="1"/>
  <c r="I307" i="217"/>
  <c r="AP306" i="217"/>
  <c r="AO306" i="217"/>
  <c r="AF306" i="217"/>
  <c r="AC306" i="217"/>
  <c r="AD306" i="217" s="1"/>
  <c r="AA306" i="217"/>
  <c r="AB306" i="217" s="1"/>
  <c r="P306" i="217"/>
  <c r="N306" i="217"/>
  <c r="R306" i="217" s="1"/>
  <c r="J306" i="217"/>
  <c r="S306" i="217" s="1"/>
  <c r="I306" i="217"/>
  <c r="AE306" i="217" s="1"/>
  <c r="AE299" i="217"/>
  <c r="AA299" i="217"/>
  <c r="AB299" i="217" s="1"/>
  <c r="U299" i="217"/>
  <c r="P299" i="217"/>
  <c r="N299" i="217"/>
  <c r="K299" i="217"/>
  <c r="J299" i="217" s="1"/>
  <c r="H299" i="217"/>
  <c r="AO298" i="217"/>
  <c r="AE298" i="217"/>
  <c r="W298" i="217"/>
  <c r="U298" i="217"/>
  <c r="AF298" i="217" s="1"/>
  <c r="P298" i="217"/>
  <c r="N298" i="217"/>
  <c r="K298" i="217"/>
  <c r="J298" i="217"/>
  <c r="H298" i="217"/>
  <c r="AA298" i="217" s="1"/>
  <c r="AB298" i="217" s="1"/>
  <c r="AP297" i="217"/>
  <c r="AB297" i="217"/>
  <c r="AA297" i="217"/>
  <c r="V297" i="217"/>
  <c r="U297" i="217" s="1"/>
  <c r="AO297" i="217" s="1"/>
  <c r="R297" i="217"/>
  <c r="P297" i="217"/>
  <c r="N297" i="217"/>
  <c r="J297" i="217"/>
  <c r="AC297" i="217" s="1"/>
  <c r="AD297" i="217" s="1"/>
  <c r="AP296" i="217"/>
  <c r="AC296" i="217"/>
  <c r="AD296" i="217" s="1"/>
  <c r="U296" i="217"/>
  <c r="AF296" i="217" s="1"/>
  <c r="P296" i="217"/>
  <c r="S296" i="217" s="1"/>
  <c r="N296" i="217"/>
  <c r="K296" i="217"/>
  <c r="J296" i="217" s="1"/>
  <c r="R296" i="217" s="1"/>
  <c r="H296" i="217"/>
  <c r="AA296" i="217" s="1"/>
  <c r="AB296" i="217" s="1"/>
  <c r="AC295" i="217"/>
  <c r="AD295" i="217" s="1"/>
  <c r="W295" i="217"/>
  <c r="U295" i="217"/>
  <c r="AF295" i="217" s="1"/>
  <c r="P295" i="217"/>
  <c r="N295" i="217"/>
  <c r="K295" i="217"/>
  <c r="J295" i="217"/>
  <c r="H295" i="217"/>
  <c r="AA295" i="217" s="1"/>
  <c r="AB295" i="217" s="1"/>
  <c r="AE294" i="217"/>
  <c r="U294" i="217"/>
  <c r="Q294" i="217"/>
  <c r="P294" i="217"/>
  <c r="N294" i="217"/>
  <c r="K294" i="217"/>
  <c r="J294" i="217"/>
  <c r="H294" i="217"/>
  <c r="AA294" i="217" s="1"/>
  <c r="AB294" i="217" s="1"/>
  <c r="AO293" i="217"/>
  <c r="U293" i="217"/>
  <c r="P293" i="217"/>
  <c r="N293" i="217"/>
  <c r="K293" i="217"/>
  <c r="J293" i="217"/>
  <c r="H293" i="217"/>
  <c r="AA293" i="217" s="1"/>
  <c r="AB293" i="217" s="1"/>
  <c r="AO292" i="217"/>
  <c r="AF292" i="217"/>
  <c r="AB292" i="217"/>
  <c r="U292" i="217"/>
  <c r="AP292" i="217" s="1"/>
  <c r="P292" i="217"/>
  <c r="N292" i="217"/>
  <c r="K292" i="217"/>
  <c r="J292" i="217"/>
  <c r="H292" i="217"/>
  <c r="AA292" i="217" s="1"/>
  <c r="AO291" i="217"/>
  <c r="AF291" i="217"/>
  <c r="U291" i="217"/>
  <c r="P291" i="217"/>
  <c r="N291" i="217"/>
  <c r="K291" i="217"/>
  <c r="J291" i="217"/>
  <c r="H291" i="217"/>
  <c r="AA291" i="217" s="1"/>
  <c r="AB291" i="217" s="1"/>
  <c r="AF290" i="217"/>
  <c r="AB290" i="217"/>
  <c r="W290" i="217"/>
  <c r="U290" i="217"/>
  <c r="P290" i="217"/>
  <c r="N290" i="217"/>
  <c r="K290" i="217"/>
  <c r="J290" i="217" s="1"/>
  <c r="S290" i="217" s="1"/>
  <c r="H290" i="217"/>
  <c r="AA290" i="217" s="1"/>
  <c r="AC289" i="217"/>
  <c r="AD289" i="217" s="1"/>
  <c r="V289" i="217"/>
  <c r="U289" i="217"/>
  <c r="R289" i="217"/>
  <c r="P289" i="217"/>
  <c r="N289" i="217"/>
  <c r="J289" i="217"/>
  <c r="S289" i="217" s="1"/>
  <c r="V288" i="217"/>
  <c r="U288" i="217"/>
  <c r="P288" i="217"/>
  <c r="N288" i="217"/>
  <c r="J288" i="217"/>
  <c r="AA287" i="217"/>
  <c r="AB287" i="217" s="1"/>
  <c r="X287" i="217"/>
  <c r="W287" i="217"/>
  <c r="U287" i="217"/>
  <c r="P287" i="217"/>
  <c r="N287" i="217"/>
  <c r="K287" i="217"/>
  <c r="J287" i="217" s="1"/>
  <c r="S287" i="217" s="1"/>
  <c r="I287" i="217"/>
  <c r="AC286" i="217"/>
  <c r="AD286" i="217" s="1"/>
  <c r="V286" i="217"/>
  <c r="U286" i="217"/>
  <c r="P286" i="217"/>
  <c r="N286" i="217"/>
  <c r="K286" i="217"/>
  <c r="J286" i="217"/>
  <c r="S286" i="217" s="1"/>
  <c r="X285" i="217"/>
  <c r="V285" i="217"/>
  <c r="U285" i="217" s="1"/>
  <c r="P285" i="217"/>
  <c r="N285" i="217"/>
  <c r="K285" i="217"/>
  <c r="J285" i="217"/>
  <c r="AC285" i="217" s="1"/>
  <c r="AD285" i="217" s="1"/>
  <c r="V284" i="217"/>
  <c r="U284" i="217"/>
  <c r="S284" i="217"/>
  <c r="P284" i="217"/>
  <c r="N284" i="217"/>
  <c r="K284" i="217"/>
  <c r="J284" i="217" s="1"/>
  <c r="AO283" i="217"/>
  <c r="AF283" i="217"/>
  <c r="U283" i="217"/>
  <c r="AP283" i="217" s="1"/>
  <c r="Q283" i="217"/>
  <c r="P283" i="217"/>
  <c r="O283" i="217"/>
  <c r="N283" i="217"/>
  <c r="R283" i="217" s="1"/>
  <c r="M283" i="217"/>
  <c r="K283" i="217"/>
  <c r="J283" i="217"/>
  <c r="AE283" i="217" s="1"/>
  <c r="H283" i="217"/>
  <c r="AA283" i="217" s="1"/>
  <c r="AB283" i="217" s="1"/>
  <c r="AO276" i="217"/>
  <c r="AF276" i="217"/>
  <c r="AE276" i="217"/>
  <c r="AA276" i="217"/>
  <c r="AB276" i="217" s="1"/>
  <c r="U276" i="217"/>
  <c r="AP276" i="217" s="1"/>
  <c r="P276" i="217"/>
  <c r="N276" i="217"/>
  <c r="K276" i="217"/>
  <c r="J276" i="217"/>
  <c r="AC276" i="217" s="1"/>
  <c r="AD276" i="217" s="1"/>
  <c r="H276" i="217"/>
  <c r="AO275" i="217"/>
  <c r="AF275" i="217"/>
  <c r="AE275" i="217"/>
  <c r="U275" i="217"/>
  <c r="AP275" i="217" s="1"/>
  <c r="P275" i="217"/>
  <c r="N275" i="217"/>
  <c r="K275" i="217"/>
  <c r="J275" i="217"/>
  <c r="AC275" i="217" s="1"/>
  <c r="AD275" i="217" s="1"/>
  <c r="H275" i="217"/>
  <c r="AA275" i="217" s="1"/>
  <c r="AB275" i="217" s="1"/>
  <c r="AO274" i="217"/>
  <c r="AF274" i="217"/>
  <c r="U274" i="217"/>
  <c r="P274" i="217"/>
  <c r="N274" i="217"/>
  <c r="K274" i="217"/>
  <c r="J274" i="217"/>
  <c r="H274" i="217"/>
  <c r="AA274" i="217" s="1"/>
  <c r="AB274" i="217" s="1"/>
  <c r="AO273" i="217"/>
  <c r="AF273" i="217"/>
  <c r="AB273" i="217"/>
  <c r="U273" i="217"/>
  <c r="P273" i="217"/>
  <c r="N273" i="217"/>
  <c r="K273" i="217"/>
  <c r="J273" i="217"/>
  <c r="H273" i="217"/>
  <c r="AA273" i="217" s="1"/>
  <c r="AO272" i="217"/>
  <c r="AF272" i="217"/>
  <c r="AB272" i="217"/>
  <c r="U272" i="217"/>
  <c r="P272" i="217"/>
  <c r="N272" i="217"/>
  <c r="K272" i="217"/>
  <c r="J272" i="217"/>
  <c r="H272" i="217"/>
  <c r="AA272" i="217" s="1"/>
  <c r="AO271" i="217"/>
  <c r="AF271" i="217"/>
  <c r="U271" i="217"/>
  <c r="P271" i="217"/>
  <c r="N271" i="217"/>
  <c r="K271" i="217"/>
  <c r="J271" i="217"/>
  <c r="H271" i="217"/>
  <c r="AA271" i="217" s="1"/>
  <c r="AB271" i="217" s="1"/>
  <c r="AF270" i="217"/>
  <c r="AA270" i="217"/>
  <c r="AB270" i="217" s="1"/>
  <c r="W270" i="217"/>
  <c r="U270" i="217"/>
  <c r="P270" i="217"/>
  <c r="N270" i="217"/>
  <c r="K270" i="217"/>
  <c r="J270" i="217"/>
  <c r="H270" i="217"/>
  <c r="AF269" i="217"/>
  <c r="AC269" i="217"/>
  <c r="AD269" i="217" s="1"/>
  <c r="AB269" i="217"/>
  <c r="AA269" i="217"/>
  <c r="U269" i="217"/>
  <c r="S269" i="217"/>
  <c r="P269" i="217"/>
  <c r="N269" i="217"/>
  <c r="J269" i="217"/>
  <c r="R269" i="217" s="1"/>
  <c r="I269" i="217"/>
  <c r="AO269" i="217" s="1"/>
  <c r="AO268" i="217"/>
  <c r="AF268" i="217"/>
  <c r="U268" i="217"/>
  <c r="P268" i="217"/>
  <c r="N268" i="217"/>
  <c r="K268" i="217"/>
  <c r="J268" i="217"/>
  <c r="AE268" i="217" s="1"/>
  <c r="H268" i="217"/>
  <c r="AA268" i="217" s="1"/>
  <c r="AB268" i="217" s="1"/>
  <c r="AC267" i="217"/>
  <c r="AD267" i="217" s="1"/>
  <c r="AB267" i="217"/>
  <c r="AA267" i="217"/>
  <c r="R267" i="217"/>
  <c r="P267" i="217"/>
  <c r="N267" i="217"/>
  <c r="J267" i="217"/>
  <c r="S267" i="217" s="1"/>
  <c r="I267" i="217"/>
  <c r="AE267" i="217" s="1"/>
  <c r="AA266" i="217"/>
  <c r="AB266" i="217" s="1"/>
  <c r="P266" i="217"/>
  <c r="N266" i="217"/>
  <c r="K266" i="217"/>
  <c r="J266" i="217"/>
  <c r="H266" i="217"/>
  <c r="AF265" i="217"/>
  <c r="AE265" i="217"/>
  <c r="W265" i="217"/>
  <c r="U265" i="217"/>
  <c r="AO265" i="217" s="1"/>
  <c r="P265" i="217"/>
  <c r="N265" i="217"/>
  <c r="K265" i="217"/>
  <c r="J265" i="217"/>
  <c r="AC265" i="217" s="1"/>
  <c r="AD265" i="217" s="1"/>
  <c r="H265" i="217"/>
  <c r="AA265" i="217" s="1"/>
  <c r="AB265" i="217" s="1"/>
  <c r="AF264" i="217"/>
  <c r="AA264" i="217"/>
  <c r="AB264" i="217" s="1"/>
  <c r="W264" i="217"/>
  <c r="U264" i="217"/>
  <c r="AO264" i="217" s="1"/>
  <c r="P264" i="217"/>
  <c r="N264" i="217"/>
  <c r="K264" i="217"/>
  <c r="J264" i="217"/>
  <c r="H264" i="217"/>
  <c r="AO263" i="217"/>
  <c r="AF263" i="217"/>
  <c r="AB263" i="217"/>
  <c r="U263" i="217"/>
  <c r="AP263" i="217" s="1"/>
  <c r="P263" i="217"/>
  <c r="N263" i="217"/>
  <c r="K263" i="217"/>
  <c r="J263" i="217"/>
  <c r="H263" i="217"/>
  <c r="AA263" i="217" s="1"/>
  <c r="AO262" i="217"/>
  <c r="AF262" i="217"/>
  <c r="U262" i="217"/>
  <c r="P262" i="217"/>
  <c r="N262" i="217"/>
  <c r="K262" i="217"/>
  <c r="J262" i="217"/>
  <c r="H262" i="217"/>
  <c r="AA262" i="217" s="1"/>
  <c r="AB262" i="217" s="1"/>
  <c r="AO261" i="217"/>
  <c r="AF261" i="217"/>
  <c r="U261" i="217"/>
  <c r="AP261" i="217" s="1"/>
  <c r="P261" i="217"/>
  <c r="N261" i="217"/>
  <c r="K261" i="217"/>
  <c r="J261" i="217"/>
  <c r="H261" i="217"/>
  <c r="AA261" i="217" s="1"/>
  <c r="AB261" i="217" s="1"/>
  <c r="AO260" i="217"/>
  <c r="AF260" i="217"/>
  <c r="U260" i="217"/>
  <c r="AP260" i="217" s="1"/>
  <c r="P260" i="217"/>
  <c r="N260" i="217"/>
  <c r="K260" i="217"/>
  <c r="J260" i="217"/>
  <c r="H260" i="217"/>
  <c r="AA260" i="217" s="1"/>
  <c r="AB260" i="217" s="1"/>
  <c r="AF259" i="217"/>
  <c r="AB259" i="217"/>
  <c r="AA259" i="217"/>
  <c r="W259" i="217"/>
  <c r="U259" i="217"/>
  <c r="P259" i="217"/>
  <c r="N259" i="217"/>
  <c r="K259" i="217"/>
  <c r="J259" i="217" s="1"/>
  <c r="S259" i="217" s="1"/>
  <c r="H259" i="217"/>
  <c r="AO258" i="217"/>
  <c r="AC258" i="217"/>
  <c r="AD258" i="217" s="1"/>
  <c r="AB258" i="217"/>
  <c r="AA258" i="217"/>
  <c r="U258" i="217"/>
  <c r="AF258" i="217" s="1"/>
  <c r="S258" i="217"/>
  <c r="P258" i="217"/>
  <c r="N258" i="217"/>
  <c r="J258" i="217"/>
  <c r="R258" i="217" s="1"/>
  <c r="I258" i="217"/>
  <c r="AE258" i="217" s="1"/>
  <c r="AO257" i="217"/>
  <c r="AF257" i="217"/>
  <c r="U257" i="217"/>
  <c r="AP257" i="217" s="1"/>
  <c r="P257" i="217"/>
  <c r="N257" i="217"/>
  <c r="K257" i="217"/>
  <c r="J257" i="217"/>
  <c r="H257" i="217"/>
  <c r="AA257" i="217" s="1"/>
  <c r="AB257" i="217" s="1"/>
  <c r="AO256" i="217"/>
  <c r="AF256" i="217"/>
  <c r="U256" i="217"/>
  <c r="AP256" i="217" s="1"/>
  <c r="P256" i="217"/>
  <c r="N256" i="217"/>
  <c r="K256" i="217"/>
  <c r="J256" i="217"/>
  <c r="H256" i="217"/>
  <c r="AA256" i="217" s="1"/>
  <c r="AB256" i="217" s="1"/>
  <c r="AO255" i="217"/>
  <c r="AF255" i="217"/>
  <c r="U255" i="217"/>
  <c r="AP255" i="217" s="1"/>
  <c r="P255" i="217"/>
  <c r="N255" i="217"/>
  <c r="K255" i="217"/>
  <c r="J255" i="217"/>
  <c r="H255" i="217"/>
  <c r="AA255" i="217" s="1"/>
  <c r="AB255" i="217" s="1"/>
  <c r="AO254" i="217"/>
  <c r="AF254" i="217"/>
  <c r="U254" i="217"/>
  <c r="AP254" i="217" s="1"/>
  <c r="P254" i="217"/>
  <c r="N254" i="217"/>
  <c r="K254" i="217"/>
  <c r="J254" i="217"/>
  <c r="H254" i="217"/>
  <c r="AA254" i="217" s="1"/>
  <c r="AB254" i="217" s="1"/>
  <c r="AO253" i="217"/>
  <c r="AF253" i="217"/>
  <c r="U253" i="217"/>
  <c r="AP253" i="217" s="1"/>
  <c r="P253" i="217"/>
  <c r="N253" i="217"/>
  <c r="K253" i="217"/>
  <c r="J253" i="217"/>
  <c r="H253" i="217"/>
  <c r="AA253" i="217" s="1"/>
  <c r="AB253" i="217" s="1"/>
  <c r="AO252" i="217"/>
  <c r="AF252" i="217"/>
  <c r="U252" i="217"/>
  <c r="AP252" i="217" s="1"/>
  <c r="P252" i="217"/>
  <c r="N252" i="217"/>
  <c r="K252" i="217"/>
  <c r="J252" i="217"/>
  <c r="H252" i="217"/>
  <c r="AA252" i="217" s="1"/>
  <c r="AB252" i="217" s="1"/>
  <c r="AB251" i="217"/>
  <c r="AA251" i="217"/>
  <c r="U251" i="217"/>
  <c r="AP251" i="217" s="1"/>
  <c r="R251" i="217"/>
  <c r="P251" i="217"/>
  <c r="N251" i="217"/>
  <c r="J251" i="217"/>
  <c r="AC251" i="217" s="1"/>
  <c r="AD251" i="217" s="1"/>
  <c r="I251" i="217"/>
  <c r="AF250" i="217"/>
  <c r="AE250" i="217"/>
  <c r="AA250" i="217"/>
  <c r="AB250" i="217" s="1"/>
  <c r="U250" i="217"/>
  <c r="AP250" i="217" s="1"/>
  <c r="P250" i="217"/>
  <c r="N250" i="217"/>
  <c r="K250" i="217"/>
  <c r="J250" i="217"/>
  <c r="AC250" i="217" s="1"/>
  <c r="AD250" i="217" s="1"/>
  <c r="H250" i="217"/>
  <c r="AF249" i="217"/>
  <c r="AE249" i="217"/>
  <c r="AA249" i="217"/>
  <c r="AB249" i="217" s="1"/>
  <c r="U249" i="217"/>
  <c r="AP249" i="217" s="1"/>
  <c r="P249" i="217"/>
  <c r="N249" i="217"/>
  <c r="K249" i="217"/>
  <c r="J249" i="217"/>
  <c r="AC249" i="217" s="1"/>
  <c r="AD249" i="217" s="1"/>
  <c r="H249" i="217"/>
  <c r="AF248" i="217"/>
  <c r="AE248" i="217"/>
  <c r="U248" i="217"/>
  <c r="AP248" i="217" s="1"/>
  <c r="P248" i="217"/>
  <c r="N248" i="217"/>
  <c r="K248" i="217"/>
  <c r="J248" i="217"/>
  <c r="AC248" i="217" s="1"/>
  <c r="AD248" i="217" s="1"/>
  <c r="H248" i="217"/>
  <c r="AA248" i="217" s="1"/>
  <c r="AB248" i="217" s="1"/>
  <c r="AF247" i="217"/>
  <c r="AE247" i="217"/>
  <c r="U247" i="217"/>
  <c r="AP247" i="217" s="1"/>
  <c r="P247" i="217"/>
  <c r="N247" i="217"/>
  <c r="K247" i="217"/>
  <c r="J247" i="217"/>
  <c r="AC247" i="217" s="1"/>
  <c r="AD247" i="217" s="1"/>
  <c r="H247" i="217"/>
  <c r="AA247" i="217" s="1"/>
  <c r="AB247" i="217" s="1"/>
  <c r="AF246" i="217"/>
  <c r="AE246" i="217"/>
  <c r="AA246" i="217"/>
  <c r="AB246" i="217" s="1"/>
  <c r="U246" i="217"/>
  <c r="AP246" i="217" s="1"/>
  <c r="P246" i="217"/>
  <c r="N246" i="217"/>
  <c r="K246" i="217"/>
  <c r="J246" i="217"/>
  <c r="AC246" i="217" s="1"/>
  <c r="AD246" i="217" s="1"/>
  <c r="H246" i="217"/>
  <c r="AE245" i="217"/>
  <c r="AA245" i="217"/>
  <c r="AB245" i="217" s="1"/>
  <c r="U245" i="217"/>
  <c r="AP245" i="217" s="1"/>
  <c r="R245" i="217"/>
  <c r="P245" i="217"/>
  <c r="N245" i="217"/>
  <c r="J245" i="217"/>
  <c r="AC245" i="217" s="1"/>
  <c r="AD245" i="217" s="1"/>
  <c r="I245" i="217"/>
  <c r="AF245" i="217" s="1"/>
  <c r="U244" i="217"/>
  <c r="P244" i="217"/>
  <c r="N244" i="217"/>
  <c r="K244" i="217"/>
  <c r="J244" i="217" s="1"/>
  <c r="H244" i="217"/>
  <c r="AA244" i="217" s="1"/>
  <c r="AB244" i="217" s="1"/>
  <c r="U243" i="217"/>
  <c r="P243" i="217"/>
  <c r="N243" i="217"/>
  <c r="K243" i="217"/>
  <c r="J243" i="217" s="1"/>
  <c r="H243" i="217"/>
  <c r="AA243" i="217" s="1"/>
  <c r="AB243" i="217" s="1"/>
  <c r="AP242" i="217"/>
  <c r="U242" i="217"/>
  <c r="P242" i="217"/>
  <c r="N242" i="217"/>
  <c r="K242" i="217"/>
  <c r="J242" i="217" s="1"/>
  <c r="H242" i="217"/>
  <c r="AA242" i="217" s="1"/>
  <c r="AB242" i="217" s="1"/>
  <c r="AP241" i="217"/>
  <c r="U241" i="217"/>
  <c r="P241" i="217"/>
  <c r="N241" i="217"/>
  <c r="K241" i="217"/>
  <c r="J241" i="217" s="1"/>
  <c r="H241" i="217"/>
  <c r="AA241" i="217" s="1"/>
  <c r="AB241" i="217" s="1"/>
  <c r="U240" i="217"/>
  <c r="AP240" i="217" s="1"/>
  <c r="P240" i="217"/>
  <c r="N240" i="217"/>
  <c r="K240" i="217"/>
  <c r="J240" i="217" s="1"/>
  <c r="H240" i="217"/>
  <c r="AA240" i="217" s="1"/>
  <c r="AB240" i="217" s="1"/>
  <c r="U239" i="217"/>
  <c r="P239" i="217"/>
  <c r="N239" i="217"/>
  <c r="K239" i="217"/>
  <c r="J239" i="217" s="1"/>
  <c r="H239" i="217"/>
  <c r="AA239" i="217" s="1"/>
  <c r="AB239" i="217" s="1"/>
  <c r="AP238" i="217"/>
  <c r="U238" i="217"/>
  <c r="P238" i="217"/>
  <c r="N238" i="217"/>
  <c r="K238" i="217"/>
  <c r="J238" i="217" s="1"/>
  <c r="H238" i="217"/>
  <c r="AA238" i="217" s="1"/>
  <c r="AB238" i="217" s="1"/>
  <c r="AP237" i="217"/>
  <c r="U237" i="217"/>
  <c r="P237" i="217"/>
  <c r="N237" i="217"/>
  <c r="K237" i="217"/>
  <c r="J237" i="217" s="1"/>
  <c r="H237" i="217"/>
  <c r="AA237" i="217" s="1"/>
  <c r="AB237" i="217" s="1"/>
  <c r="U236" i="217"/>
  <c r="AP236" i="217" s="1"/>
  <c r="P236" i="217"/>
  <c r="N236" i="217"/>
  <c r="K236" i="217"/>
  <c r="J236" i="217" s="1"/>
  <c r="H236" i="217"/>
  <c r="AA236" i="217" s="1"/>
  <c r="AB236" i="217" s="1"/>
  <c r="AA235" i="217"/>
  <c r="AB235" i="217" s="1"/>
  <c r="U235" i="217"/>
  <c r="P235" i="217"/>
  <c r="N235" i="217"/>
  <c r="K235" i="217"/>
  <c r="J235" i="217" s="1"/>
  <c r="H235" i="217"/>
  <c r="AA234" i="217"/>
  <c r="AB234" i="217" s="1"/>
  <c r="U234" i="217"/>
  <c r="P234" i="217"/>
  <c r="N234" i="217"/>
  <c r="K234" i="217"/>
  <c r="J234" i="217" s="1"/>
  <c r="AE234" i="217" s="1"/>
  <c r="H234" i="217"/>
  <c r="AE233" i="217"/>
  <c r="AA233" i="217"/>
  <c r="AB233" i="217" s="1"/>
  <c r="U233" i="217"/>
  <c r="P233" i="217"/>
  <c r="N233" i="217"/>
  <c r="K233" i="217"/>
  <c r="J233" i="217" s="1"/>
  <c r="H233" i="217"/>
  <c r="AP232" i="217"/>
  <c r="AA232" i="217"/>
  <c r="AB232" i="217" s="1"/>
  <c r="X232" i="217"/>
  <c r="W232" i="217" s="1"/>
  <c r="U232" i="217" s="1"/>
  <c r="S232" i="217"/>
  <c r="P232" i="217"/>
  <c r="N232" i="217"/>
  <c r="K232" i="217"/>
  <c r="J232" i="217" s="1"/>
  <c r="R232" i="217" s="1"/>
  <c r="I232" i="217"/>
  <c r="AE232" i="217" s="1"/>
  <c r="AO231" i="217"/>
  <c r="AF231" i="217"/>
  <c r="U231" i="217"/>
  <c r="P231" i="217"/>
  <c r="N231" i="217"/>
  <c r="K231" i="217"/>
  <c r="J231" i="217" s="1"/>
  <c r="H231" i="217"/>
  <c r="AA231" i="217" s="1"/>
  <c r="AB231" i="217" s="1"/>
  <c r="AB230" i="217"/>
  <c r="AA230" i="217"/>
  <c r="P230" i="217"/>
  <c r="N230" i="217"/>
  <c r="J230" i="217"/>
  <c r="S230" i="217" s="1"/>
  <c r="I230" i="217"/>
  <c r="AF229" i="217"/>
  <c r="AE229" i="217"/>
  <c r="AA229" i="217"/>
  <c r="AB229" i="217" s="1"/>
  <c r="U229" i="217"/>
  <c r="AO229" i="217" s="1"/>
  <c r="P229" i="217"/>
  <c r="N229" i="217"/>
  <c r="K229" i="217"/>
  <c r="J229" i="217"/>
  <c r="H229" i="217"/>
  <c r="AP228" i="217"/>
  <c r="AF228" i="217"/>
  <c r="AE228" i="217"/>
  <c r="AB228" i="217"/>
  <c r="U228" i="217"/>
  <c r="AO228" i="217" s="1"/>
  <c r="P228" i="217"/>
  <c r="N228" i="217"/>
  <c r="K228" i="217"/>
  <c r="J228" i="217"/>
  <c r="H228" i="217"/>
  <c r="AA228" i="217" s="1"/>
  <c r="AF227" i="217"/>
  <c r="U227" i="217"/>
  <c r="AO227" i="217" s="1"/>
  <c r="P227" i="217"/>
  <c r="N227" i="217"/>
  <c r="K227" i="217"/>
  <c r="J227" i="217"/>
  <c r="H227" i="217"/>
  <c r="AA227" i="217" s="1"/>
  <c r="AB227" i="217" s="1"/>
  <c r="AE226" i="217"/>
  <c r="U226" i="217"/>
  <c r="P226" i="217"/>
  <c r="N226" i="217"/>
  <c r="K226" i="217"/>
  <c r="J226" i="217"/>
  <c r="H226" i="217"/>
  <c r="AA226" i="217" s="1"/>
  <c r="AB226" i="217" s="1"/>
  <c r="AF225" i="217"/>
  <c r="AA225" i="217"/>
  <c r="AB225" i="217" s="1"/>
  <c r="W225" i="217"/>
  <c r="U225" i="217"/>
  <c r="AO225" i="217" s="1"/>
  <c r="P225" i="217"/>
  <c r="N225" i="217"/>
  <c r="K225" i="217"/>
  <c r="J225" i="217"/>
  <c r="H225" i="217"/>
  <c r="AC224" i="217"/>
  <c r="AD224" i="217" s="1"/>
  <c r="AB224" i="217"/>
  <c r="AA224" i="217"/>
  <c r="R224" i="217"/>
  <c r="P224" i="217"/>
  <c r="N224" i="217"/>
  <c r="J224" i="217"/>
  <c r="S224" i="217" s="1"/>
  <c r="I224" i="217"/>
  <c r="AE224" i="217" s="1"/>
  <c r="AA223" i="217"/>
  <c r="AB223" i="217" s="1"/>
  <c r="W223" i="217"/>
  <c r="U223" i="217"/>
  <c r="AO223" i="217" s="1"/>
  <c r="R223" i="217"/>
  <c r="P223" i="217"/>
  <c r="N223" i="217"/>
  <c r="K223" i="217"/>
  <c r="J223" i="217"/>
  <c r="H223" i="217"/>
  <c r="AB222" i="217"/>
  <c r="AA222" i="217"/>
  <c r="U222" i="217"/>
  <c r="AP222" i="217" s="1"/>
  <c r="R222" i="217"/>
  <c r="P222" i="217"/>
  <c r="N222" i="217"/>
  <c r="J222" i="217"/>
  <c r="AC222" i="217" s="1"/>
  <c r="AD222" i="217" s="1"/>
  <c r="I222" i="217"/>
  <c r="AE222" i="217" s="1"/>
  <c r="U221" i="217"/>
  <c r="AP221" i="217" s="1"/>
  <c r="P221" i="217"/>
  <c r="N221" i="217"/>
  <c r="K221" i="217"/>
  <c r="J221" i="217" s="1"/>
  <c r="H221" i="217"/>
  <c r="AA221" i="217" s="1"/>
  <c r="AB221" i="217" s="1"/>
  <c r="AE220" i="217"/>
  <c r="AA220" i="217"/>
  <c r="AB220" i="217" s="1"/>
  <c r="U220" i="217"/>
  <c r="AP220" i="217" s="1"/>
  <c r="P220" i="217"/>
  <c r="N220" i="217"/>
  <c r="J220" i="217"/>
  <c r="AC220" i="217" s="1"/>
  <c r="AD220" i="217" s="1"/>
  <c r="I220" i="217"/>
  <c r="AP219" i="217"/>
  <c r="U219" i="217"/>
  <c r="P219" i="217"/>
  <c r="N219" i="217"/>
  <c r="K219" i="217"/>
  <c r="J219" i="217" s="1"/>
  <c r="H219" i="217"/>
  <c r="AA219" i="217" s="1"/>
  <c r="AB219" i="217" s="1"/>
  <c r="AD218" i="217"/>
  <c r="AB218" i="217"/>
  <c r="AA218" i="217"/>
  <c r="U218" i="217"/>
  <c r="P218" i="217"/>
  <c r="N218" i="217"/>
  <c r="J218" i="217"/>
  <c r="AC218" i="217" s="1"/>
  <c r="I218" i="217"/>
  <c r="AE218" i="217" s="1"/>
  <c r="AO217" i="217"/>
  <c r="AF217" i="217"/>
  <c r="U217" i="217"/>
  <c r="AP217" i="217" s="1"/>
  <c r="P217" i="217"/>
  <c r="N217" i="217"/>
  <c r="K217" i="217"/>
  <c r="J217" i="217" s="1"/>
  <c r="H217" i="217"/>
  <c r="AA217" i="217" s="1"/>
  <c r="AB217" i="217" s="1"/>
  <c r="AO216" i="217"/>
  <c r="AF216" i="217"/>
  <c r="U216" i="217"/>
  <c r="P216" i="217"/>
  <c r="N216" i="217"/>
  <c r="K216" i="217"/>
  <c r="J216" i="217" s="1"/>
  <c r="H216" i="217"/>
  <c r="AA216" i="217" s="1"/>
  <c r="AB216" i="217" s="1"/>
  <c r="AO215" i="217"/>
  <c r="AF215" i="217"/>
  <c r="AC215" i="217"/>
  <c r="AD215" i="217" s="1"/>
  <c r="U215" i="217"/>
  <c r="S215" i="217"/>
  <c r="P215" i="217"/>
  <c r="N215" i="217"/>
  <c r="K215" i="217"/>
  <c r="J215" i="217" s="1"/>
  <c r="H215" i="217"/>
  <c r="AA215" i="217" s="1"/>
  <c r="AB215" i="217" s="1"/>
  <c r="AO214" i="217"/>
  <c r="AF214" i="217"/>
  <c r="U214" i="217"/>
  <c r="S214" i="217"/>
  <c r="P214" i="217"/>
  <c r="N214" i="217"/>
  <c r="K214" i="217"/>
  <c r="J214" i="217" s="1"/>
  <c r="H214" i="217"/>
  <c r="AA214" i="217" s="1"/>
  <c r="AB214" i="217" s="1"/>
  <c r="AO213" i="217"/>
  <c r="AF213" i="217"/>
  <c r="U213" i="217"/>
  <c r="S213" i="217"/>
  <c r="P213" i="217"/>
  <c r="N213" i="217"/>
  <c r="K213" i="217"/>
  <c r="J213" i="217" s="1"/>
  <c r="H213" i="217"/>
  <c r="AA213" i="217" s="1"/>
  <c r="AB213" i="217" s="1"/>
  <c r="W212" i="217"/>
  <c r="U212" i="217"/>
  <c r="P212" i="217"/>
  <c r="N212" i="217"/>
  <c r="K212" i="217"/>
  <c r="J212" i="217" s="1"/>
  <c r="H212" i="217"/>
  <c r="AA212" i="217" s="1"/>
  <c r="AB212" i="217" s="1"/>
  <c r="U211" i="217"/>
  <c r="P211" i="217"/>
  <c r="N211" i="217"/>
  <c r="K211" i="217"/>
  <c r="J211" i="217" s="1"/>
  <c r="H211" i="217"/>
  <c r="AA211" i="217" s="1"/>
  <c r="AB211" i="217" s="1"/>
  <c r="AP210" i="217"/>
  <c r="U210" i="217"/>
  <c r="P210" i="217"/>
  <c r="N210" i="217"/>
  <c r="K210" i="217"/>
  <c r="J210" i="217" s="1"/>
  <c r="H210" i="217"/>
  <c r="AA210" i="217" s="1"/>
  <c r="AB210" i="217" s="1"/>
  <c r="AP209" i="217"/>
  <c r="U209" i="217"/>
  <c r="P209" i="217"/>
  <c r="N209" i="217"/>
  <c r="K209" i="217"/>
  <c r="J209" i="217" s="1"/>
  <c r="H209" i="217"/>
  <c r="AA209" i="217" s="1"/>
  <c r="AB209" i="217" s="1"/>
  <c r="U208" i="217"/>
  <c r="P208" i="217"/>
  <c r="N208" i="217"/>
  <c r="K208" i="217"/>
  <c r="J208" i="217" s="1"/>
  <c r="H208" i="217"/>
  <c r="AA208" i="217" s="1"/>
  <c r="AB208" i="217" s="1"/>
  <c r="U207" i="217"/>
  <c r="P207" i="217"/>
  <c r="N207" i="217"/>
  <c r="K207" i="217"/>
  <c r="J207" i="217" s="1"/>
  <c r="H207" i="217"/>
  <c r="AA207" i="217" s="1"/>
  <c r="AB207" i="217" s="1"/>
  <c r="AP206" i="217"/>
  <c r="U206" i="217"/>
  <c r="P206" i="217"/>
  <c r="N206" i="217"/>
  <c r="K206" i="217"/>
  <c r="J206" i="217" s="1"/>
  <c r="H206" i="217"/>
  <c r="AA206" i="217" s="1"/>
  <c r="AB206" i="217" s="1"/>
  <c r="AP205" i="217"/>
  <c r="U205" i="217"/>
  <c r="P205" i="217"/>
  <c r="N205" i="217"/>
  <c r="K205" i="217"/>
  <c r="J205" i="217" s="1"/>
  <c r="H205" i="217"/>
  <c r="AA205" i="217" s="1"/>
  <c r="AB205" i="217" s="1"/>
  <c r="U204" i="217"/>
  <c r="P204" i="217"/>
  <c r="N204" i="217"/>
  <c r="K204" i="217"/>
  <c r="J204" i="217" s="1"/>
  <c r="H204" i="217"/>
  <c r="AA204" i="217" s="1"/>
  <c r="AB204" i="217" s="1"/>
  <c r="U203" i="217"/>
  <c r="P203" i="217"/>
  <c r="N203" i="217"/>
  <c r="K203" i="217"/>
  <c r="J203" i="217" s="1"/>
  <c r="H203" i="217"/>
  <c r="AA203" i="217" s="1"/>
  <c r="AB203" i="217" s="1"/>
  <c r="AP202" i="217"/>
  <c r="U202" i="217"/>
  <c r="P202" i="217"/>
  <c r="N202" i="217"/>
  <c r="K202" i="217"/>
  <c r="J202" i="217" s="1"/>
  <c r="H202" i="217"/>
  <c r="AA202" i="217" s="1"/>
  <c r="AB202" i="217" s="1"/>
  <c r="AP201" i="217"/>
  <c r="AO201" i="217"/>
  <c r="U201" i="217"/>
  <c r="AF201" i="217" s="1"/>
  <c r="S201" i="217"/>
  <c r="P201" i="217"/>
  <c r="N201" i="217"/>
  <c r="K201" i="217"/>
  <c r="J201" i="217" s="1"/>
  <c r="H201" i="217"/>
  <c r="AA201" i="217" s="1"/>
  <c r="AB201" i="217" s="1"/>
  <c r="AO200" i="217"/>
  <c r="AC200" i="217"/>
  <c r="AD200" i="217" s="1"/>
  <c r="U200" i="217"/>
  <c r="AF200" i="217" s="1"/>
  <c r="S200" i="217"/>
  <c r="P200" i="217"/>
  <c r="N200" i="217"/>
  <c r="K200" i="217"/>
  <c r="J200" i="217" s="1"/>
  <c r="H200" i="217"/>
  <c r="AA200" i="217" s="1"/>
  <c r="AB200" i="217" s="1"/>
  <c r="U199" i="217"/>
  <c r="S199" i="217"/>
  <c r="P199" i="217"/>
  <c r="N199" i="217"/>
  <c r="K199" i="217"/>
  <c r="J199" i="217" s="1"/>
  <c r="H199" i="217"/>
  <c r="AA199" i="217" s="1"/>
  <c r="AB199" i="217" s="1"/>
  <c r="AO198" i="217"/>
  <c r="AC198" i="217"/>
  <c r="AD198" i="217" s="1"/>
  <c r="U198" i="217"/>
  <c r="AF198" i="217" s="1"/>
  <c r="Q198" i="217"/>
  <c r="P198" i="217"/>
  <c r="S198" i="217" s="1"/>
  <c r="N198" i="217"/>
  <c r="K198" i="217"/>
  <c r="J198" i="217"/>
  <c r="R198" i="217" s="1"/>
  <c r="H198" i="217"/>
  <c r="AA198" i="217" s="1"/>
  <c r="AB198" i="217" s="1"/>
  <c r="AE197" i="217"/>
  <c r="AD197" i="217"/>
  <c r="AA197" i="217"/>
  <c r="AB197" i="217" s="1"/>
  <c r="U197" i="217"/>
  <c r="P197" i="217"/>
  <c r="N197" i="217"/>
  <c r="K197" i="217"/>
  <c r="J197" i="217"/>
  <c r="AC197" i="217" s="1"/>
  <c r="H197" i="217"/>
  <c r="AP196" i="217"/>
  <c r="AE196" i="217"/>
  <c r="U196" i="217"/>
  <c r="P196" i="217"/>
  <c r="N196" i="217"/>
  <c r="K196" i="217"/>
  <c r="J196" i="217"/>
  <c r="AC196" i="217" s="1"/>
  <c r="AD196" i="217" s="1"/>
  <c r="H196" i="217"/>
  <c r="AA196" i="217" s="1"/>
  <c r="AB196" i="217" s="1"/>
  <c r="AE195" i="217"/>
  <c r="AD195" i="217"/>
  <c r="AA195" i="217"/>
  <c r="AB195" i="217" s="1"/>
  <c r="U195" i="217"/>
  <c r="P195" i="217"/>
  <c r="N195" i="217"/>
  <c r="K195" i="217"/>
  <c r="J195" i="217"/>
  <c r="AC195" i="217" s="1"/>
  <c r="H195" i="217"/>
  <c r="AE194" i="217"/>
  <c r="U194" i="217"/>
  <c r="P194" i="217"/>
  <c r="N194" i="217"/>
  <c r="K194" i="217"/>
  <c r="J194" i="217" s="1"/>
  <c r="H194" i="217"/>
  <c r="AA194" i="217" s="1"/>
  <c r="AB194" i="217" s="1"/>
  <c r="AP193" i="217"/>
  <c r="U193" i="217"/>
  <c r="P193" i="217"/>
  <c r="N193" i="217"/>
  <c r="K193" i="217"/>
  <c r="J193" i="217" s="1"/>
  <c r="H193" i="217"/>
  <c r="AA193" i="217" s="1"/>
  <c r="AB193" i="217" s="1"/>
  <c r="AA192" i="217"/>
  <c r="AB192" i="217" s="1"/>
  <c r="U192" i="217"/>
  <c r="P192" i="217"/>
  <c r="N192" i="217"/>
  <c r="K192" i="217"/>
  <c r="J192" i="217" s="1"/>
  <c r="H192" i="217"/>
  <c r="AE191" i="217"/>
  <c r="U191" i="217"/>
  <c r="P191" i="217"/>
  <c r="N191" i="217"/>
  <c r="K191" i="217"/>
  <c r="J191" i="217" s="1"/>
  <c r="H191" i="217"/>
  <c r="AA191" i="217" s="1"/>
  <c r="AB191" i="217" s="1"/>
  <c r="AE190" i="217"/>
  <c r="U190" i="217"/>
  <c r="P190" i="217"/>
  <c r="N190" i="217"/>
  <c r="K190" i="217"/>
  <c r="J190" i="217" s="1"/>
  <c r="H190" i="217"/>
  <c r="AA190" i="217" s="1"/>
  <c r="AB190" i="217" s="1"/>
  <c r="AP189" i="217"/>
  <c r="U189" i="217"/>
  <c r="P189" i="217"/>
  <c r="N189" i="217"/>
  <c r="K189" i="217"/>
  <c r="J189" i="217" s="1"/>
  <c r="H189" i="217"/>
  <c r="AA189" i="217" s="1"/>
  <c r="AB189" i="217" s="1"/>
  <c r="AA188" i="217"/>
  <c r="AB188" i="217" s="1"/>
  <c r="U188" i="217"/>
  <c r="P188" i="217"/>
  <c r="N188" i="217"/>
  <c r="K188" i="217"/>
  <c r="J188" i="217" s="1"/>
  <c r="H188" i="217"/>
  <c r="AE187" i="217"/>
  <c r="U187" i="217"/>
  <c r="P187" i="217"/>
  <c r="N187" i="217"/>
  <c r="K187" i="217"/>
  <c r="J187" i="217" s="1"/>
  <c r="H187" i="217"/>
  <c r="AA187" i="217" s="1"/>
  <c r="AB187" i="217" s="1"/>
  <c r="AE186" i="217"/>
  <c r="U186" i="217"/>
  <c r="P186" i="217"/>
  <c r="N186" i="217"/>
  <c r="K186" i="217"/>
  <c r="J186" i="217" s="1"/>
  <c r="H186" i="217"/>
  <c r="AA186" i="217" s="1"/>
  <c r="AB186" i="217" s="1"/>
  <c r="AP185" i="217"/>
  <c r="U185" i="217"/>
  <c r="P185" i="217"/>
  <c r="N185" i="217"/>
  <c r="K185" i="217"/>
  <c r="J185" i="217" s="1"/>
  <c r="H185" i="217"/>
  <c r="AA185" i="217" s="1"/>
  <c r="AB185" i="217" s="1"/>
  <c r="AA184" i="217"/>
  <c r="AB184" i="217" s="1"/>
  <c r="U184" i="217"/>
  <c r="P184" i="217"/>
  <c r="N184" i="217"/>
  <c r="K184" i="217"/>
  <c r="J184" i="217" s="1"/>
  <c r="H184" i="217"/>
  <c r="AE183" i="217"/>
  <c r="U183" i="217"/>
  <c r="P183" i="217"/>
  <c r="N183" i="217"/>
  <c r="K183" i="217"/>
  <c r="J183" i="217" s="1"/>
  <c r="H183" i="217"/>
  <c r="AA183" i="217" s="1"/>
  <c r="AB183" i="217" s="1"/>
  <c r="AE182" i="217"/>
  <c r="U182" i="217"/>
  <c r="P182" i="217"/>
  <c r="N182" i="217"/>
  <c r="K182" i="217"/>
  <c r="J182" i="217" s="1"/>
  <c r="H182" i="217"/>
  <c r="AA182" i="217" s="1"/>
  <c r="AB182" i="217" s="1"/>
  <c r="AP181" i="217"/>
  <c r="AC181" i="217"/>
  <c r="AD181" i="217" s="1"/>
  <c r="U181" i="217"/>
  <c r="AF181" i="217" s="1"/>
  <c r="S181" i="217"/>
  <c r="P181" i="217"/>
  <c r="N181" i="217"/>
  <c r="K181" i="217"/>
  <c r="J181" i="217" s="1"/>
  <c r="R181" i="217" s="1"/>
  <c r="H181" i="217"/>
  <c r="AA181" i="217" s="1"/>
  <c r="AB181" i="217" s="1"/>
  <c r="AC180" i="217"/>
  <c r="AD180" i="217" s="1"/>
  <c r="U180" i="217"/>
  <c r="AF180" i="217" s="1"/>
  <c r="P180" i="217"/>
  <c r="N180" i="217"/>
  <c r="K180" i="217"/>
  <c r="J180" i="217"/>
  <c r="H180" i="217"/>
  <c r="AA180" i="217" s="1"/>
  <c r="AB180" i="217" s="1"/>
  <c r="AO179" i="217"/>
  <c r="AF179" i="217"/>
  <c r="AA179" i="217"/>
  <c r="AB179" i="217" s="1"/>
  <c r="U179" i="217"/>
  <c r="AP179" i="217" s="1"/>
  <c r="P179" i="217"/>
  <c r="N179" i="217"/>
  <c r="K179" i="217"/>
  <c r="J179" i="217"/>
  <c r="H179" i="217"/>
  <c r="AO178" i="217"/>
  <c r="AF178" i="217"/>
  <c r="AA178" i="217"/>
  <c r="AB178" i="217" s="1"/>
  <c r="U178" i="217"/>
  <c r="AP178" i="217" s="1"/>
  <c r="P178" i="217"/>
  <c r="N178" i="217"/>
  <c r="K178" i="217"/>
  <c r="J178" i="217"/>
  <c r="H178" i="217"/>
  <c r="AO177" i="217"/>
  <c r="AF177" i="217"/>
  <c r="AA177" i="217"/>
  <c r="AB177" i="217" s="1"/>
  <c r="U177" i="217"/>
  <c r="AP177" i="217" s="1"/>
  <c r="P177" i="217"/>
  <c r="N177" i="217"/>
  <c r="K177" i="217"/>
  <c r="J177" i="217"/>
  <c r="H177" i="217"/>
  <c r="AO176" i="217"/>
  <c r="AF176" i="217"/>
  <c r="AA176" i="217"/>
  <c r="AB176" i="217" s="1"/>
  <c r="U176" i="217"/>
  <c r="AP176" i="217" s="1"/>
  <c r="P176" i="217"/>
  <c r="N176" i="217"/>
  <c r="K176" i="217"/>
  <c r="J176" i="217"/>
  <c r="H176" i="217"/>
  <c r="AO175" i="217"/>
  <c r="AF175" i="217"/>
  <c r="AA175" i="217"/>
  <c r="AB175" i="217" s="1"/>
  <c r="U175" i="217"/>
  <c r="AP175" i="217" s="1"/>
  <c r="P175" i="217"/>
  <c r="N175" i="217"/>
  <c r="K175" i="217"/>
  <c r="J175" i="217"/>
  <c r="H175" i="217"/>
  <c r="AO174" i="217"/>
  <c r="AF174" i="217"/>
  <c r="AA174" i="217"/>
  <c r="AB174" i="217" s="1"/>
  <c r="U174" i="217"/>
  <c r="AP174" i="217" s="1"/>
  <c r="P174" i="217"/>
  <c r="N174" i="217"/>
  <c r="K174" i="217"/>
  <c r="J174" i="217"/>
  <c r="H174" i="217"/>
  <c r="AF173" i="217"/>
  <c r="AE173" i="217"/>
  <c r="AA173" i="217"/>
  <c r="AB173" i="217" s="1"/>
  <c r="U173" i="217"/>
  <c r="AP173" i="217" s="1"/>
  <c r="P173" i="217"/>
  <c r="N173" i="217"/>
  <c r="K173" i="217"/>
  <c r="J173" i="217"/>
  <c r="H173" i="217"/>
  <c r="AF172" i="217"/>
  <c r="AE172" i="217"/>
  <c r="U172" i="217"/>
  <c r="P172" i="217"/>
  <c r="N172" i="217"/>
  <c r="K172" i="217"/>
  <c r="J172" i="217"/>
  <c r="H172" i="217"/>
  <c r="AA172" i="217" s="1"/>
  <c r="AB172" i="217" s="1"/>
  <c r="AF171" i="217"/>
  <c r="AA171" i="217"/>
  <c r="AB171" i="217" s="1"/>
  <c r="U171" i="217"/>
  <c r="P171" i="217"/>
  <c r="N171" i="217"/>
  <c r="K171" i="217"/>
  <c r="J171" i="217"/>
  <c r="H171" i="217"/>
  <c r="AF170" i="217"/>
  <c r="AA170" i="217"/>
  <c r="AB170" i="217" s="1"/>
  <c r="U170" i="217"/>
  <c r="AP170" i="217" s="1"/>
  <c r="P170" i="217"/>
  <c r="N170" i="217"/>
  <c r="K170" i="217"/>
  <c r="J170" i="217"/>
  <c r="H170" i="217"/>
  <c r="AF169" i="217"/>
  <c r="AE169" i="217"/>
  <c r="AA169" i="217"/>
  <c r="AB169" i="217" s="1"/>
  <c r="U169" i="217"/>
  <c r="P169" i="217"/>
  <c r="N169" i="217"/>
  <c r="K169" i="217"/>
  <c r="J169" i="217"/>
  <c r="H169" i="217"/>
  <c r="AF168" i="217"/>
  <c r="AB168" i="217"/>
  <c r="U168" i="217"/>
  <c r="P168" i="217"/>
  <c r="N168" i="217"/>
  <c r="K168" i="217"/>
  <c r="J168" i="217"/>
  <c r="H168" i="217"/>
  <c r="AA168" i="217" s="1"/>
  <c r="AF167" i="217"/>
  <c r="AA167" i="217"/>
  <c r="AB167" i="217" s="1"/>
  <c r="U167" i="217"/>
  <c r="P167" i="217"/>
  <c r="N167" i="217"/>
  <c r="K167" i="217"/>
  <c r="J167" i="217"/>
  <c r="H167" i="217"/>
  <c r="AO166" i="217"/>
  <c r="AF166" i="217"/>
  <c r="U166" i="217"/>
  <c r="P166" i="217"/>
  <c r="N166" i="217"/>
  <c r="K166" i="217"/>
  <c r="J166" i="217"/>
  <c r="H166" i="217"/>
  <c r="AA166" i="217" s="1"/>
  <c r="AB166" i="217" s="1"/>
  <c r="AO165" i="217"/>
  <c r="AF165" i="217"/>
  <c r="AA165" i="217"/>
  <c r="AB165" i="217" s="1"/>
  <c r="U165" i="217"/>
  <c r="P165" i="217"/>
  <c r="N165" i="217"/>
  <c r="K165" i="217"/>
  <c r="J165" i="217"/>
  <c r="H165" i="217"/>
  <c r="AF164" i="217"/>
  <c r="AA164" i="217"/>
  <c r="AB164" i="217" s="1"/>
  <c r="U164" i="217"/>
  <c r="AP164" i="217" s="1"/>
  <c r="P164" i="217"/>
  <c r="N164" i="217"/>
  <c r="K164" i="217"/>
  <c r="J164" i="217"/>
  <c r="H164" i="217"/>
  <c r="AF163" i="217"/>
  <c r="AE163" i="217"/>
  <c r="AA163" i="217"/>
  <c r="AB163" i="217" s="1"/>
  <c r="U163" i="217"/>
  <c r="P163" i="217"/>
  <c r="N163" i="217"/>
  <c r="K163" i="217"/>
  <c r="J163" i="217"/>
  <c r="H163" i="217"/>
  <c r="AF162" i="217"/>
  <c r="AE162" i="217"/>
  <c r="AB162" i="217"/>
  <c r="U162" i="217"/>
  <c r="P162" i="217"/>
  <c r="N162" i="217"/>
  <c r="K162" i="217"/>
  <c r="J162" i="217"/>
  <c r="H162" i="217"/>
  <c r="AA162" i="217" s="1"/>
  <c r="AF161" i="217"/>
  <c r="AB161" i="217"/>
  <c r="U161" i="217"/>
  <c r="P161" i="217"/>
  <c r="N161" i="217"/>
  <c r="K161" i="217"/>
  <c r="J161" i="217"/>
  <c r="H161" i="217"/>
  <c r="AA161" i="217" s="1"/>
  <c r="AF160" i="217"/>
  <c r="AA160" i="217"/>
  <c r="AB160" i="217" s="1"/>
  <c r="U160" i="217"/>
  <c r="AP160" i="217" s="1"/>
  <c r="P160" i="217"/>
  <c r="N160" i="217"/>
  <c r="K160" i="217"/>
  <c r="J160" i="217"/>
  <c r="H160" i="217"/>
  <c r="AF159" i="217"/>
  <c r="AA159" i="217"/>
  <c r="AB159" i="217" s="1"/>
  <c r="U159" i="217"/>
  <c r="P159" i="217"/>
  <c r="N159" i="217"/>
  <c r="K159" i="217"/>
  <c r="J159" i="217"/>
  <c r="H159" i="217"/>
  <c r="AF158" i="217"/>
  <c r="AE158" i="217"/>
  <c r="AB158" i="217"/>
  <c r="U158" i="217"/>
  <c r="P158" i="217"/>
  <c r="N158" i="217"/>
  <c r="K158" i="217"/>
  <c r="J158" i="217"/>
  <c r="H158" i="217"/>
  <c r="AA158" i="217" s="1"/>
  <c r="AF157" i="217"/>
  <c r="U157" i="217"/>
  <c r="P157" i="217"/>
  <c r="N157" i="217"/>
  <c r="K157" i="217"/>
  <c r="J157" i="217"/>
  <c r="H157" i="217"/>
  <c r="AA157" i="217" s="1"/>
  <c r="AB157" i="217" s="1"/>
  <c r="AF156" i="217"/>
  <c r="AA156" i="217"/>
  <c r="AB156" i="217" s="1"/>
  <c r="U156" i="217"/>
  <c r="AP156" i="217" s="1"/>
  <c r="P156" i="217"/>
  <c r="N156" i="217"/>
  <c r="K156" i="217"/>
  <c r="J156" i="217"/>
  <c r="H156" i="217"/>
  <c r="AF155" i="217"/>
  <c r="AE155" i="217"/>
  <c r="AA155" i="217"/>
  <c r="AB155" i="217" s="1"/>
  <c r="U155" i="217"/>
  <c r="AP155" i="217" s="1"/>
  <c r="P155" i="217"/>
  <c r="N155" i="217"/>
  <c r="K155" i="217"/>
  <c r="J155" i="217"/>
  <c r="H155" i="217"/>
  <c r="AF154" i="217"/>
  <c r="AE154" i="217"/>
  <c r="U154" i="217"/>
  <c r="P154" i="217"/>
  <c r="N154" i="217"/>
  <c r="K154" i="217"/>
  <c r="J154" i="217"/>
  <c r="H154" i="217"/>
  <c r="AA154" i="217" s="1"/>
  <c r="AB154" i="217" s="1"/>
  <c r="AF153" i="217"/>
  <c r="AA153" i="217"/>
  <c r="AB153" i="217" s="1"/>
  <c r="U153" i="217"/>
  <c r="P153" i="217"/>
  <c r="N153" i="217"/>
  <c r="K153" i="217"/>
  <c r="J153" i="217"/>
  <c r="H153" i="217"/>
  <c r="AF152" i="217"/>
  <c r="AA152" i="217"/>
  <c r="AB152" i="217" s="1"/>
  <c r="U152" i="217"/>
  <c r="AP152" i="217" s="1"/>
  <c r="P152" i="217"/>
  <c r="N152" i="217"/>
  <c r="K152" i="217"/>
  <c r="J152" i="217"/>
  <c r="H152" i="217"/>
  <c r="AF151" i="217"/>
  <c r="AE151" i="217"/>
  <c r="AA151" i="217"/>
  <c r="AB151" i="217" s="1"/>
  <c r="U151" i="217"/>
  <c r="P151" i="217"/>
  <c r="N151" i="217"/>
  <c r="K151" i="217"/>
  <c r="J151" i="217"/>
  <c r="H151" i="217"/>
  <c r="AF150" i="217"/>
  <c r="AB150" i="217"/>
  <c r="U150" i="217"/>
  <c r="P150" i="217"/>
  <c r="N150" i="217"/>
  <c r="K150" i="217"/>
  <c r="J150" i="217"/>
  <c r="H150" i="217"/>
  <c r="AA150" i="217" s="1"/>
  <c r="AF149" i="217"/>
  <c r="AA149" i="217"/>
  <c r="AB149" i="217" s="1"/>
  <c r="U149" i="217"/>
  <c r="P149" i="217"/>
  <c r="N149" i="217"/>
  <c r="K149" i="217"/>
  <c r="J149" i="217"/>
  <c r="H149" i="217"/>
  <c r="AF148" i="217"/>
  <c r="AA148" i="217"/>
  <c r="AB148" i="217" s="1"/>
  <c r="U148" i="217"/>
  <c r="AP148" i="217" s="1"/>
  <c r="P148" i="217"/>
  <c r="N148" i="217"/>
  <c r="K148" i="217"/>
  <c r="J148" i="217"/>
  <c r="H148" i="217"/>
  <c r="AF147" i="217"/>
  <c r="AE147" i="217"/>
  <c r="AA147" i="217"/>
  <c r="AB147" i="217" s="1"/>
  <c r="U147" i="217"/>
  <c r="P147" i="217"/>
  <c r="N147" i="217"/>
  <c r="K147" i="217"/>
  <c r="J147" i="217"/>
  <c r="H147" i="217"/>
  <c r="AF146" i="217"/>
  <c r="AE146" i="217"/>
  <c r="AB146" i="217"/>
  <c r="U146" i="217"/>
  <c r="P146" i="217"/>
  <c r="N146" i="217"/>
  <c r="K146" i="217"/>
  <c r="J146" i="217"/>
  <c r="H146" i="217"/>
  <c r="AA146" i="217" s="1"/>
  <c r="AF145" i="217"/>
  <c r="U145" i="217"/>
  <c r="P145" i="217"/>
  <c r="N145" i="217"/>
  <c r="K145" i="217"/>
  <c r="J145" i="217"/>
  <c r="H145" i="217"/>
  <c r="AA145" i="217" s="1"/>
  <c r="AB145" i="217" s="1"/>
  <c r="AF144" i="217"/>
  <c r="AA144" i="217"/>
  <c r="AB144" i="217" s="1"/>
  <c r="U144" i="217"/>
  <c r="AP144" i="217" s="1"/>
  <c r="P144" i="217"/>
  <c r="N144" i="217"/>
  <c r="K144" i="217"/>
  <c r="J144" i="217"/>
  <c r="H144" i="217"/>
  <c r="AF143" i="217"/>
  <c r="AA143" i="217"/>
  <c r="AB143" i="217" s="1"/>
  <c r="U143" i="217"/>
  <c r="P143" i="217"/>
  <c r="N143" i="217"/>
  <c r="K143" i="217"/>
  <c r="J143" i="217"/>
  <c r="H143" i="217"/>
  <c r="V142" i="217"/>
  <c r="U142" i="217"/>
  <c r="P142" i="217"/>
  <c r="N142" i="217"/>
  <c r="J142" i="217"/>
  <c r="AO141" i="217"/>
  <c r="AF141" i="217"/>
  <c r="U141" i="217"/>
  <c r="S141" i="217"/>
  <c r="P141" i="217"/>
  <c r="N141" i="217"/>
  <c r="K141" i="217"/>
  <c r="J141" i="217" s="1"/>
  <c r="H141" i="217"/>
  <c r="AA141" i="217" s="1"/>
  <c r="AB141" i="217" s="1"/>
  <c r="AO140" i="217"/>
  <c r="AF140" i="217"/>
  <c r="U140" i="217"/>
  <c r="S140" i="217"/>
  <c r="P140" i="217"/>
  <c r="N140" i="217"/>
  <c r="K140" i="217"/>
  <c r="J140" i="217" s="1"/>
  <c r="H140" i="217"/>
  <c r="AA140" i="217" s="1"/>
  <c r="AB140" i="217" s="1"/>
  <c r="AO139" i="217"/>
  <c r="AF139" i="217"/>
  <c r="U139" i="217"/>
  <c r="S139" i="217"/>
  <c r="P139" i="217"/>
  <c r="N139" i="217"/>
  <c r="K139" i="217"/>
  <c r="J139" i="217" s="1"/>
  <c r="H139" i="217"/>
  <c r="AA139" i="217" s="1"/>
  <c r="AB139" i="217" s="1"/>
  <c r="AO138" i="217"/>
  <c r="AF138" i="217"/>
  <c r="U138" i="217"/>
  <c r="S138" i="217"/>
  <c r="P138" i="217"/>
  <c r="N138" i="217"/>
  <c r="K138" i="217"/>
  <c r="J138" i="217" s="1"/>
  <c r="H138" i="217"/>
  <c r="AA138" i="217" s="1"/>
  <c r="AB138" i="217" s="1"/>
  <c r="AO137" i="217"/>
  <c r="AF137" i="217"/>
  <c r="U137" i="217"/>
  <c r="S137" i="217"/>
  <c r="P137" i="217"/>
  <c r="N137" i="217"/>
  <c r="K137" i="217"/>
  <c r="J137" i="217" s="1"/>
  <c r="H137" i="217"/>
  <c r="AA137" i="217" s="1"/>
  <c r="AB137" i="217" s="1"/>
  <c r="AO136" i="217"/>
  <c r="AF136" i="217"/>
  <c r="U136" i="217"/>
  <c r="S136" i="217"/>
  <c r="P136" i="217"/>
  <c r="N136" i="217"/>
  <c r="K136" i="217"/>
  <c r="J136" i="217" s="1"/>
  <c r="H136" i="217"/>
  <c r="AA136" i="217" s="1"/>
  <c r="AB136" i="217" s="1"/>
  <c r="AO135" i="217"/>
  <c r="AF135" i="217"/>
  <c r="U135" i="217"/>
  <c r="S135" i="217"/>
  <c r="P135" i="217"/>
  <c r="N135" i="217"/>
  <c r="K135" i="217"/>
  <c r="J135" i="217" s="1"/>
  <c r="H135" i="217"/>
  <c r="AA135" i="217" s="1"/>
  <c r="AB135" i="217" s="1"/>
  <c r="AO134" i="217"/>
  <c r="AF134" i="217"/>
  <c r="U134" i="217"/>
  <c r="S134" i="217"/>
  <c r="P134" i="217"/>
  <c r="N134" i="217"/>
  <c r="K134" i="217"/>
  <c r="J134" i="217" s="1"/>
  <c r="H134" i="217"/>
  <c r="AA134" i="217" s="1"/>
  <c r="AB134" i="217" s="1"/>
  <c r="AO133" i="217"/>
  <c r="AF133" i="217"/>
  <c r="U133" i="217"/>
  <c r="S133" i="217"/>
  <c r="P133" i="217"/>
  <c r="N133" i="217"/>
  <c r="K133" i="217"/>
  <c r="J133" i="217" s="1"/>
  <c r="H133" i="217"/>
  <c r="AA133" i="217" s="1"/>
  <c r="AB133" i="217" s="1"/>
  <c r="AO132" i="217"/>
  <c r="AF132" i="217"/>
  <c r="U132" i="217"/>
  <c r="S132" i="217"/>
  <c r="P132" i="217"/>
  <c r="N132" i="217"/>
  <c r="K132" i="217"/>
  <c r="J132" i="217" s="1"/>
  <c r="H132" i="217"/>
  <c r="AA132" i="217" s="1"/>
  <c r="AB132" i="217" s="1"/>
  <c r="AO131" i="217"/>
  <c r="AF131" i="217"/>
  <c r="U131" i="217"/>
  <c r="S131" i="217"/>
  <c r="P131" i="217"/>
  <c r="N131" i="217"/>
  <c r="K131" i="217"/>
  <c r="J131" i="217" s="1"/>
  <c r="H131" i="217"/>
  <c r="AA131" i="217" s="1"/>
  <c r="AB131" i="217" s="1"/>
  <c r="AO130" i="217"/>
  <c r="AF130" i="217"/>
  <c r="U130" i="217"/>
  <c r="S130" i="217"/>
  <c r="P130" i="217"/>
  <c r="N130" i="217"/>
  <c r="K130" i="217"/>
  <c r="J130" i="217" s="1"/>
  <c r="H130" i="217"/>
  <c r="AA130" i="217" s="1"/>
  <c r="AB130" i="217" s="1"/>
  <c r="AC129" i="217"/>
  <c r="AD129" i="217" s="1"/>
  <c r="V129" i="217"/>
  <c r="U129" i="217" s="1"/>
  <c r="R129" i="217"/>
  <c r="P129" i="217"/>
  <c r="N129" i="217"/>
  <c r="J129" i="217"/>
  <c r="S129" i="217" s="1"/>
  <c r="AO128" i="217"/>
  <c r="AC128" i="217"/>
  <c r="AD128" i="217" s="1"/>
  <c r="U128" i="217"/>
  <c r="AF128" i="217" s="1"/>
  <c r="S128" i="217"/>
  <c r="P128" i="217"/>
  <c r="N128" i="217"/>
  <c r="K128" i="217"/>
  <c r="J128" i="217" s="1"/>
  <c r="H128" i="217"/>
  <c r="AA128" i="217" s="1"/>
  <c r="AB128" i="217" s="1"/>
  <c r="U127" i="217"/>
  <c r="P127" i="217"/>
  <c r="N127" i="217"/>
  <c r="K127" i="217"/>
  <c r="J127" i="217" s="1"/>
  <c r="H127" i="217"/>
  <c r="AA127" i="217" s="1"/>
  <c r="AB127" i="217" s="1"/>
  <c r="AO126" i="217"/>
  <c r="AC126" i="217"/>
  <c r="AD126" i="217" s="1"/>
  <c r="U126" i="217"/>
  <c r="AF126" i="217" s="1"/>
  <c r="S126" i="217"/>
  <c r="P126" i="217"/>
  <c r="N126" i="217"/>
  <c r="K126" i="217"/>
  <c r="J126" i="217" s="1"/>
  <c r="H126" i="217"/>
  <c r="AA126" i="217" s="1"/>
  <c r="AB126" i="217" s="1"/>
  <c r="AP125" i="217"/>
  <c r="AO125" i="217"/>
  <c r="U125" i="217"/>
  <c r="AF125" i="217" s="1"/>
  <c r="S125" i="217"/>
  <c r="P125" i="217"/>
  <c r="N125" i="217"/>
  <c r="K125" i="217"/>
  <c r="J125" i="217" s="1"/>
  <c r="H125" i="217"/>
  <c r="AA125" i="217" s="1"/>
  <c r="AB125" i="217" s="1"/>
  <c r="AO124" i="217"/>
  <c r="AD124" i="217"/>
  <c r="AC124" i="217"/>
  <c r="U124" i="217"/>
  <c r="AF124" i="217" s="1"/>
  <c r="S124" i="217"/>
  <c r="P124" i="217"/>
  <c r="N124" i="217"/>
  <c r="K124" i="217"/>
  <c r="J124" i="217" s="1"/>
  <c r="H124" i="217"/>
  <c r="AA124" i="217" s="1"/>
  <c r="AB124" i="217" s="1"/>
  <c r="AP123" i="217"/>
  <c r="U123" i="217"/>
  <c r="AF123" i="217" s="1"/>
  <c r="S123" i="217"/>
  <c r="P123" i="217"/>
  <c r="N123" i="217"/>
  <c r="K123" i="217"/>
  <c r="J123" i="217" s="1"/>
  <c r="H123" i="217"/>
  <c r="AA123" i="217" s="1"/>
  <c r="AB123" i="217" s="1"/>
  <c r="AF122" i="217"/>
  <c r="U122" i="217"/>
  <c r="S122" i="217"/>
  <c r="P122" i="217"/>
  <c r="N122" i="217"/>
  <c r="K122" i="217"/>
  <c r="J122" i="217" s="1"/>
  <c r="H122" i="217"/>
  <c r="AA122" i="217" s="1"/>
  <c r="AB122" i="217" s="1"/>
  <c r="U121" i="217"/>
  <c r="P121" i="217"/>
  <c r="N121" i="217"/>
  <c r="K121" i="217"/>
  <c r="J121" i="217" s="1"/>
  <c r="H121" i="217"/>
  <c r="AO120" i="217"/>
  <c r="AA120" i="217"/>
  <c r="AB120" i="217" s="1"/>
  <c r="U120" i="217"/>
  <c r="P120" i="217"/>
  <c r="N120" i="217"/>
  <c r="K120" i="217"/>
  <c r="J120" i="217" s="1"/>
  <c r="H120" i="217"/>
  <c r="AO119" i="217"/>
  <c r="AA119" i="217"/>
  <c r="AB119" i="217" s="1"/>
  <c r="U119" i="217"/>
  <c r="P119" i="217"/>
  <c r="N119" i="217"/>
  <c r="K119" i="217"/>
  <c r="J119" i="217" s="1"/>
  <c r="H119" i="217"/>
  <c r="AO118" i="217"/>
  <c r="AA118" i="217"/>
  <c r="AB118" i="217" s="1"/>
  <c r="U118" i="217"/>
  <c r="P118" i="217"/>
  <c r="N118" i="217"/>
  <c r="K118" i="217"/>
  <c r="J118" i="217" s="1"/>
  <c r="H118" i="217"/>
  <c r="AO117" i="217"/>
  <c r="AA117" i="217"/>
  <c r="AB117" i="217" s="1"/>
  <c r="U117" i="217"/>
  <c r="P117" i="217"/>
  <c r="N117" i="217"/>
  <c r="K117" i="217"/>
  <c r="J117" i="217" s="1"/>
  <c r="H117" i="217"/>
  <c r="AO116" i="217"/>
  <c r="AA116" i="217"/>
  <c r="AB116" i="217" s="1"/>
  <c r="U116" i="217"/>
  <c r="P116" i="217"/>
  <c r="N116" i="217"/>
  <c r="K116" i="217"/>
  <c r="J116" i="217" s="1"/>
  <c r="H116" i="217"/>
  <c r="V115" i="217"/>
  <c r="U115" i="217"/>
  <c r="P115" i="217"/>
  <c r="N115" i="217"/>
  <c r="K115" i="217"/>
  <c r="J115" i="217"/>
  <c r="AC115" i="217" s="1"/>
  <c r="AD115" i="217" s="1"/>
  <c r="X114" i="217"/>
  <c r="V114" i="217" s="1"/>
  <c r="U114" i="217" s="1"/>
  <c r="P114" i="217"/>
  <c r="N114" i="217"/>
  <c r="K114" i="217"/>
  <c r="J114" i="217"/>
  <c r="V113" i="217"/>
  <c r="U113" i="217"/>
  <c r="S113" i="217"/>
  <c r="P113" i="217"/>
  <c r="N113" i="217"/>
  <c r="K113" i="217"/>
  <c r="J113" i="217" s="1"/>
  <c r="AC112" i="217"/>
  <c r="AD112" i="217" s="1"/>
  <c r="W112" i="217"/>
  <c r="U112" i="217"/>
  <c r="AO112" i="217" s="1"/>
  <c r="S112" i="217"/>
  <c r="P112" i="217"/>
  <c r="N112" i="217"/>
  <c r="K112" i="217"/>
  <c r="J112" i="217" s="1"/>
  <c r="H112" i="217"/>
  <c r="AA112" i="217" s="1"/>
  <c r="AB112" i="217" s="1"/>
  <c r="AC111" i="217"/>
  <c r="AD111" i="217" s="1"/>
  <c r="W111" i="217"/>
  <c r="U111" i="217"/>
  <c r="AF111" i="217" s="1"/>
  <c r="P111" i="217"/>
  <c r="N111" i="217"/>
  <c r="K111" i="217"/>
  <c r="J111" i="217"/>
  <c r="H111" i="217"/>
  <c r="AA111" i="217" s="1"/>
  <c r="AB111" i="217" s="1"/>
  <c r="AE110" i="217"/>
  <c r="AA110" i="217"/>
  <c r="AB110" i="217" s="1"/>
  <c r="U110" i="217"/>
  <c r="AP110" i="217" s="1"/>
  <c r="P110" i="217"/>
  <c r="N110" i="217"/>
  <c r="K110" i="217"/>
  <c r="J110" i="217"/>
  <c r="AC110" i="217" s="1"/>
  <c r="AD110" i="217" s="1"/>
  <c r="H110" i="217"/>
  <c r="AP109" i="217"/>
  <c r="AF109" i="217"/>
  <c r="AE109" i="217"/>
  <c r="W109" i="217"/>
  <c r="U109" i="217"/>
  <c r="AO109" i="217" s="1"/>
  <c r="P109" i="217"/>
  <c r="N109" i="217"/>
  <c r="K109" i="217"/>
  <c r="J109" i="217"/>
  <c r="H109" i="217"/>
  <c r="AA109" i="217" s="1"/>
  <c r="AB109" i="217" s="1"/>
  <c r="AF108" i="217"/>
  <c r="AE108" i="217"/>
  <c r="AA108" i="217"/>
  <c r="AB108" i="217" s="1"/>
  <c r="W108" i="217"/>
  <c r="U108" i="217"/>
  <c r="AP108" i="217" s="1"/>
  <c r="P108" i="217"/>
  <c r="N108" i="217"/>
  <c r="K108" i="217"/>
  <c r="J108" i="217"/>
  <c r="AC108" i="217" s="1"/>
  <c r="AD108" i="217" s="1"/>
  <c r="H108" i="217"/>
  <c r="AO107" i="217"/>
  <c r="AC107" i="217"/>
  <c r="AD107" i="217" s="1"/>
  <c r="AB107" i="217"/>
  <c r="W107" i="217"/>
  <c r="U107" i="217"/>
  <c r="S107" i="217"/>
  <c r="P107" i="217"/>
  <c r="N107" i="217"/>
  <c r="K107" i="217"/>
  <c r="J107" i="217" s="1"/>
  <c r="H107" i="217"/>
  <c r="AA107" i="217" s="1"/>
  <c r="AO106" i="217"/>
  <c r="W106" i="217"/>
  <c r="U106" i="217"/>
  <c r="AF106" i="217" s="1"/>
  <c r="P106" i="217"/>
  <c r="N106" i="217"/>
  <c r="K106" i="217"/>
  <c r="J106" i="217"/>
  <c r="H106" i="217"/>
  <c r="AA106" i="217" s="1"/>
  <c r="AB106" i="217" s="1"/>
  <c r="AE105" i="217"/>
  <c r="AA105" i="217"/>
  <c r="AB105" i="217" s="1"/>
  <c r="V105" i="217"/>
  <c r="U105" i="217" s="1"/>
  <c r="S105" i="217"/>
  <c r="P105" i="217"/>
  <c r="N105" i="217"/>
  <c r="J105" i="217"/>
  <c r="AE104" i="217"/>
  <c r="U104" i="217"/>
  <c r="P104" i="217"/>
  <c r="N104" i="217"/>
  <c r="K104" i="217"/>
  <c r="J104" i="217" s="1"/>
  <c r="S104" i="217" s="1"/>
  <c r="H104" i="217"/>
  <c r="AA104" i="217" s="1"/>
  <c r="AB104" i="217" s="1"/>
  <c r="AE103" i="217"/>
  <c r="AD103" i="217"/>
  <c r="W103" i="217"/>
  <c r="U103" i="217"/>
  <c r="P103" i="217"/>
  <c r="N103" i="217"/>
  <c r="K103" i="217"/>
  <c r="J103" i="217"/>
  <c r="AC103" i="217" s="1"/>
  <c r="H103" i="217"/>
  <c r="AA103" i="217" s="1"/>
  <c r="AB103" i="217" s="1"/>
  <c r="AP102" i="217"/>
  <c r="AF102" i="217"/>
  <c r="W102" i="217"/>
  <c r="U102" i="217"/>
  <c r="AO102" i="217" s="1"/>
  <c r="P102" i="217"/>
  <c r="N102" i="217"/>
  <c r="K102" i="217"/>
  <c r="J102" i="217"/>
  <c r="H102" i="217"/>
  <c r="AA102" i="217" s="1"/>
  <c r="AB102" i="217" s="1"/>
  <c r="AF101" i="217"/>
  <c r="AA101" i="217"/>
  <c r="AB101" i="217" s="1"/>
  <c r="W101" i="217"/>
  <c r="U101" i="217"/>
  <c r="P101" i="217"/>
  <c r="N101" i="217"/>
  <c r="K101" i="217"/>
  <c r="J101" i="217"/>
  <c r="AC101" i="217" s="1"/>
  <c r="AD101" i="217" s="1"/>
  <c r="H101" i="217"/>
  <c r="AC100" i="217"/>
  <c r="AD100" i="217" s="1"/>
  <c r="W100" i="217"/>
  <c r="U100" i="217"/>
  <c r="S100" i="217"/>
  <c r="P100" i="217"/>
  <c r="N100" i="217"/>
  <c r="K100" i="217"/>
  <c r="J100" i="217" s="1"/>
  <c r="H100" i="217"/>
  <c r="AA100" i="217" s="1"/>
  <c r="AB100" i="217" s="1"/>
  <c r="AC99" i="217"/>
  <c r="AD99" i="217" s="1"/>
  <c r="W99" i="217"/>
  <c r="U99" i="217"/>
  <c r="AF99" i="217" s="1"/>
  <c r="P99" i="217"/>
  <c r="N99" i="217"/>
  <c r="K99" i="217"/>
  <c r="J99" i="217"/>
  <c r="H99" i="217"/>
  <c r="AA99" i="217" s="1"/>
  <c r="AB99" i="217" s="1"/>
  <c r="AE98" i="217"/>
  <c r="P98" i="217"/>
  <c r="N98" i="217"/>
  <c r="K98" i="217"/>
  <c r="J98" i="217"/>
  <c r="H98" i="217"/>
  <c r="AA98" i="217" s="1"/>
  <c r="AB98" i="217" s="1"/>
  <c r="AE97" i="217"/>
  <c r="AA97" i="217"/>
  <c r="AB97" i="217" s="1"/>
  <c r="U97" i="217"/>
  <c r="P97" i="217"/>
  <c r="N97" i="217"/>
  <c r="K97" i="217"/>
  <c r="J97" i="217"/>
  <c r="AC97" i="217" s="1"/>
  <c r="AD97" i="217" s="1"/>
  <c r="H97" i="217"/>
  <c r="AE96" i="217"/>
  <c r="AD96" i="217"/>
  <c r="U96" i="217"/>
  <c r="P96" i="217"/>
  <c r="N96" i="217"/>
  <c r="K96" i="217"/>
  <c r="J96" i="217"/>
  <c r="AC96" i="217" s="1"/>
  <c r="H96" i="217"/>
  <c r="AA96" i="217" s="1"/>
  <c r="AB96" i="217" s="1"/>
  <c r="AE95" i="217"/>
  <c r="AA95" i="217"/>
  <c r="AB95" i="217" s="1"/>
  <c r="U95" i="217"/>
  <c r="P95" i="217"/>
  <c r="N95" i="217"/>
  <c r="K95" i="217"/>
  <c r="J95" i="217"/>
  <c r="AC95" i="217" s="1"/>
  <c r="AD95" i="217" s="1"/>
  <c r="H95" i="217"/>
  <c r="AP94" i="217"/>
  <c r="AF94" i="217"/>
  <c r="AE94" i="217"/>
  <c r="W94" i="217"/>
  <c r="U94" i="217"/>
  <c r="AO94" i="217" s="1"/>
  <c r="P94" i="217"/>
  <c r="N94" i="217"/>
  <c r="K94" i="217"/>
  <c r="J94" i="217"/>
  <c r="H94" i="217"/>
  <c r="AA94" i="217" s="1"/>
  <c r="AB94" i="217" s="1"/>
  <c r="AO93" i="217"/>
  <c r="AF93" i="217"/>
  <c r="AA93" i="217"/>
  <c r="AB93" i="217" s="1"/>
  <c r="U93" i="217"/>
  <c r="AP93" i="217" s="1"/>
  <c r="P93" i="217"/>
  <c r="N93" i="217"/>
  <c r="K93" i="217"/>
  <c r="J93" i="217"/>
  <c r="H93" i="217"/>
  <c r="AO92" i="217"/>
  <c r="AF92" i="217"/>
  <c r="AA92" i="217"/>
  <c r="AB92" i="217" s="1"/>
  <c r="U92" i="217"/>
  <c r="AP92" i="217" s="1"/>
  <c r="P92" i="217"/>
  <c r="N92" i="217"/>
  <c r="K92" i="217"/>
  <c r="J92" i="217"/>
  <c r="H92" i="217"/>
  <c r="AO91" i="217"/>
  <c r="AF91" i="217"/>
  <c r="AA91" i="217"/>
  <c r="AB91" i="217" s="1"/>
  <c r="U91" i="217"/>
  <c r="AP91" i="217" s="1"/>
  <c r="P91" i="217"/>
  <c r="N91" i="217"/>
  <c r="K91" i="217"/>
  <c r="J91" i="217"/>
  <c r="H91" i="217"/>
  <c r="AO90" i="217"/>
  <c r="AF90" i="217"/>
  <c r="AA90" i="217"/>
  <c r="AB90" i="217" s="1"/>
  <c r="U90" i="217"/>
  <c r="AP90" i="217" s="1"/>
  <c r="P90" i="217"/>
  <c r="N90" i="217"/>
  <c r="K90" i="217"/>
  <c r="J90" i="217"/>
  <c r="H90" i="217"/>
  <c r="AO89" i="217"/>
  <c r="AF89" i="217"/>
  <c r="AA89" i="217"/>
  <c r="AB89" i="217" s="1"/>
  <c r="U89" i="217"/>
  <c r="AP89" i="217" s="1"/>
  <c r="P89" i="217"/>
  <c r="N89" i="217"/>
  <c r="K89" i="217"/>
  <c r="J89" i="217"/>
  <c r="H89" i="217"/>
  <c r="AO88" i="217"/>
  <c r="AF88" i="217"/>
  <c r="AA88" i="217"/>
  <c r="AB88" i="217" s="1"/>
  <c r="U88" i="217"/>
  <c r="AP88" i="217" s="1"/>
  <c r="P88" i="217"/>
  <c r="N88" i="217"/>
  <c r="K88" i="217"/>
  <c r="J88" i="217"/>
  <c r="H88" i="217"/>
  <c r="AO87" i="217"/>
  <c r="AF87" i="217"/>
  <c r="AA87" i="217"/>
  <c r="AB87" i="217" s="1"/>
  <c r="U87" i="217"/>
  <c r="AP87" i="217" s="1"/>
  <c r="P87" i="217"/>
  <c r="N87" i="217"/>
  <c r="K87" i="217"/>
  <c r="J87" i="217"/>
  <c r="H87" i="217"/>
  <c r="AO86" i="217"/>
  <c r="AF86" i="217"/>
  <c r="AA86" i="217"/>
  <c r="AB86" i="217" s="1"/>
  <c r="U86" i="217"/>
  <c r="AP86" i="217" s="1"/>
  <c r="P86" i="217"/>
  <c r="N86" i="217"/>
  <c r="K86" i="217"/>
  <c r="J86" i="217"/>
  <c r="H86" i="217"/>
  <c r="AO85" i="217"/>
  <c r="AF85" i="217"/>
  <c r="AA85" i="217"/>
  <c r="AB85" i="217" s="1"/>
  <c r="U85" i="217"/>
  <c r="AP85" i="217" s="1"/>
  <c r="P85" i="217"/>
  <c r="N85" i="217"/>
  <c r="K85" i="217"/>
  <c r="J85" i="217"/>
  <c r="H85" i="217"/>
  <c r="AO84" i="217"/>
  <c r="AF84" i="217"/>
  <c r="AA84" i="217"/>
  <c r="AB84" i="217" s="1"/>
  <c r="U84" i="217"/>
  <c r="AP84" i="217" s="1"/>
  <c r="P84" i="217"/>
  <c r="N84" i="217"/>
  <c r="K84" i="217"/>
  <c r="J84" i="217"/>
  <c r="H84" i="217"/>
  <c r="AO83" i="217"/>
  <c r="AF83" i="217"/>
  <c r="AA83" i="217"/>
  <c r="AB83" i="217" s="1"/>
  <c r="U83" i="217"/>
  <c r="AP83" i="217" s="1"/>
  <c r="P83" i="217"/>
  <c r="N83" i="217"/>
  <c r="K83" i="217"/>
  <c r="J83" i="217"/>
  <c r="H83" i="217"/>
  <c r="AO82" i="217"/>
  <c r="AF82" i="217"/>
  <c r="AA82" i="217"/>
  <c r="AB82" i="217" s="1"/>
  <c r="U82" i="217"/>
  <c r="AP82" i="217" s="1"/>
  <c r="P82" i="217"/>
  <c r="N82" i="217"/>
  <c r="K82" i="217"/>
  <c r="J82" i="217"/>
  <c r="H82" i="217"/>
  <c r="AO81" i="217"/>
  <c r="AF81" i="217"/>
  <c r="AA81" i="217"/>
  <c r="AB81" i="217" s="1"/>
  <c r="U81" i="217"/>
  <c r="AP81" i="217" s="1"/>
  <c r="P81" i="217"/>
  <c r="N81" i="217"/>
  <c r="K81" i="217"/>
  <c r="J81" i="217"/>
  <c r="H81" i="217"/>
  <c r="AO80" i="217"/>
  <c r="AF80" i="217"/>
  <c r="AA80" i="217"/>
  <c r="AB80" i="217" s="1"/>
  <c r="U80" i="217"/>
  <c r="AP80" i="217" s="1"/>
  <c r="P80" i="217"/>
  <c r="N80" i="217"/>
  <c r="K80" i="217"/>
  <c r="J80" i="217"/>
  <c r="H80" i="217"/>
  <c r="AO79" i="217"/>
  <c r="AF79" i="217"/>
  <c r="AA79" i="217"/>
  <c r="AB79" i="217" s="1"/>
  <c r="U79" i="217"/>
  <c r="AP79" i="217" s="1"/>
  <c r="P79" i="217"/>
  <c r="N79" i="217"/>
  <c r="K79" i="217"/>
  <c r="J79" i="217"/>
  <c r="H79" i="217"/>
  <c r="AO78" i="217"/>
  <c r="AF78" i="217"/>
  <c r="AA78" i="217"/>
  <c r="AB78" i="217" s="1"/>
  <c r="U78" i="217"/>
  <c r="AP78" i="217" s="1"/>
  <c r="P78" i="217"/>
  <c r="N78" i="217"/>
  <c r="K78" i="217"/>
  <c r="J78" i="217"/>
  <c r="H78" i="217"/>
  <c r="AF77" i="217"/>
  <c r="AE77" i="217"/>
  <c r="AA77" i="217"/>
  <c r="AB77" i="217" s="1"/>
  <c r="W77" i="217"/>
  <c r="U77" i="217"/>
  <c r="AP77" i="217" s="1"/>
  <c r="P77" i="217"/>
  <c r="N77" i="217"/>
  <c r="K77" i="217"/>
  <c r="J77" i="217"/>
  <c r="AC77" i="217" s="1"/>
  <c r="AD77" i="217" s="1"/>
  <c r="H77" i="217"/>
  <c r="AO76" i="217"/>
  <c r="AF76" i="217"/>
  <c r="U76" i="217"/>
  <c r="AP76" i="217" s="1"/>
  <c r="P76" i="217"/>
  <c r="N76" i="217"/>
  <c r="K76" i="217"/>
  <c r="J76" i="217"/>
  <c r="AE76" i="217" s="1"/>
  <c r="H76" i="217"/>
  <c r="AA76" i="217" s="1"/>
  <c r="AB76" i="217" s="1"/>
  <c r="AO75" i="217"/>
  <c r="AF75" i="217"/>
  <c r="U75" i="217"/>
  <c r="AP75" i="217" s="1"/>
  <c r="P75" i="217"/>
  <c r="N75" i="217"/>
  <c r="K75" i="217"/>
  <c r="J75" i="217"/>
  <c r="AE75" i="217" s="1"/>
  <c r="H75" i="217"/>
  <c r="AA75" i="217" s="1"/>
  <c r="AB75" i="217" s="1"/>
  <c r="AO74" i="217"/>
  <c r="AF74" i="217"/>
  <c r="U74" i="217"/>
  <c r="AP74" i="217" s="1"/>
  <c r="P74" i="217"/>
  <c r="N74" i="217"/>
  <c r="K74" i="217"/>
  <c r="J74" i="217"/>
  <c r="AE74" i="217" s="1"/>
  <c r="H74" i="217"/>
  <c r="AA74" i="217" s="1"/>
  <c r="AB74" i="217" s="1"/>
  <c r="AO73" i="217"/>
  <c r="AF73" i="217"/>
  <c r="U73" i="217"/>
  <c r="AP73" i="217" s="1"/>
  <c r="P73" i="217"/>
  <c r="N73" i="217"/>
  <c r="K73" i="217"/>
  <c r="J73" i="217"/>
  <c r="AE73" i="217" s="1"/>
  <c r="H73" i="217"/>
  <c r="AA73" i="217" s="1"/>
  <c r="AB73" i="217" s="1"/>
  <c r="AO72" i="217"/>
  <c r="AF72" i="217"/>
  <c r="U72" i="217"/>
  <c r="AP72" i="217" s="1"/>
  <c r="P72" i="217"/>
  <c r="N72" i="217"/>
  <c r="K72" i="217"/>
  <c r="J72" i="217"/>
  <c r="AE72" i="217" s="1"/>
  <c r="H72" i="217"/>
  <c r="AA72" i="217" s="1"/>
  <c r="AB72" i="217" s="1"/>
  <c r="AO71" i="217"/>
  <c r="AF71" i="217"/>
  <c r="U71" i="217"/>
  <c r="AP71" i="217" s="1"/>
  <c r="P71" i="217"/>
  <c r="N71" i="217"/>
  <c r="K71" i="217"/>
  <c r="J71" i="217"/>
  <c r="AE71" i="217" s="1"/>
  <c r="H71" i="217"/>
  <c r="AA71" i="217" s="1"/>
  <c r="AB71" i="217" s="1"/>
  <c r="AO70" i="217"/>
  <c r="AF70" i="217"/>
  <c r="U70" i="217"/>
  <c r="AP70" i="217" s="1"/>
  <c r="P70" i="217"/>
  <c r="N70" i="217"/>
  <c r="K70" i="217"/>
  <c r="J70" i="217"/>
  <c r="AE70" i="217" s="1"/>
  <c r="H70" i="217"/>
  <c r="AA70" i="217" s="1"/>
  <c r="AB70" i="217" s="1"/>
  <c r="AO69" i="217"/>
  <c r="AF69" i="217"/>
  <c r="U69" i="217"/>
  <c r="AP69" i="217" s="1"/>
  <c r="P69" i="217"/>
  <c r="N69" i="217"/>
  <c r="K69" i="217"/>
  <c r="J69" i="217"/>
  <c r="AE69" i="217" s="1"/>
  <c r="H69" i="217"/>
  <c r="AA69" i="217" s="1"/>
  <c r="AB69" i="217" s="1"/>
  <c r="AO68" i="217"/>
  <c r="AF68" i="217"/>
  <c r="U68" i="217"/>
  <c r="AP68" i="217" s="1"/>
  <c r="P68" i="217"/>
  <c r="N68" i="217"/>
  <c r="K68" i="217"/>
  <c r="J68" i="217"/>
  <c r="AE68" i="217" s="1"/>
  <c r="H68" i="217"/>
  <c r="AA68" i="217" s="1"/>
  <c r="AB68" i="217" s="1"/>
  <c r="AO67" i="217"/>
  <c r="AF67" i="217"/>
  <c r="U67" i="217"/>
  <c r="P67" i="217"/>
  <c r="N67" i="217"/>
  <c r="K67" i="217"/>
  <c r="J67" i="217" s="1"/>
  <c r="H67" i="217"/>
  <c r="AA67" i="217" s="1"/>
  <c r="AB67" i="217" s="1"/>
  <c r="AO66" i="217"/>
  <c r="AF66" i="217"/>
  <c r="U66" i="217"/>
  <c r="P66" i="217"/>
  <c r="N66" i="217"/>
  <c r="K66" i="217"/>
  <c r="J66" i="217" s="1"/>
  <c r="H66" i="217"/>
  <c r="AA66" i="217" s="1"/>
  <c r="AB66" i="217" s="1"/>
  <c r="AO65" i="217"/>
  <c r="AF65" i="217"/>
  <c r="U65" i="217"/>
  <c r="P65" i="217"/>
  <c r="N65" i="217"/>
  <c r="K65" i="217"/>
  <c r="J65" i="217" s="1"/>
  <c r="H65" i="217"/>
  <c r="AA65" i="217" s="1"/>
  <c r="AB65" i="217" s="1"/>
  <c r="AO64" i="217"/>
  <c r="AF64" i="217"/>
  <c r="U64" i="217"/>
  <c r="P64" i="217"/>
  <c r="N64" i="217"/>
  <c r="K64" i="217"/>
  <c r="J64" i="217" s="1"/>
  <c r="H64" i="217"/>
  <c r="AA64" i="217" s="1"/>
  <c r="AB64" i="217" s="1"/>
  <c r="AO63" i="217"/>
  <c r="AF63" i="217"/>
  <c r="U63" i="217"/>
  <c r="P63" i="217"/>
  <c r="N63" i="217"/>
  <c r="K63" i="217"/>
  <c r="J63" i="217" s="1"/>
  <c r="H63" i="217"/>
  <c r="AA63" i="217" s="1"/>
  <c r="AB63" i="217" s="1"/>
  <c r="AO62" i="217"/>
  <c r="AF62" i="217"/>
  <c r="U62" i="217"/>
  <c r="P62" i="217"/>
  <c r="N62" i="217"/>
  <c r="K62" i="217"/>
  <c r="J62" i="217" s="1"/>
  <c r="H62" i="217"/>
  <c r="AA62" i="217" s="1"/>
  <c r="AB62" i="217" s="1"/>
  <c r="AO61" i="217"/>
  <c r="AF61" i="217"/>
  <c r="U61" i="217"/>
  <c r="P61" i="217"/>
  <c r="N61" i="217"/>
  <c r="K61" i="217"/>
  <c r="J61" i="217" s="1"/>
  <c r="H61" i="217"/>
  <c r="AA61" i="217" s="1"/>
  <c r="AB61" i="217" s="1"/>
  <c r="AO60" i="217"/>
  <c r="AF60" i="217"/>
  <c r="U60" i="217"/>
  <c r="P60" i="217"/>
  <c r="N60" i="217"/>
  <c r="K60" i="217"/>
  <c r="J60" i="217" s="1"/>
  <c r="H60" i="217"/>
  <c r="AA60" i="217" s="1"/>
  <c r="AB60" i="217" s="1"/>
  <c r="AO59" i="217"/>
  <c r="AF59" i="217"/>
  <c r="U59" i="217"/>
  <c r="P59" i="217"/>
  <c r="N59" i="217"/>
  <c r="K59" i="217"/>
  <c r="J59" i="217" s="1"/>
  <c r="H59" i="217"/>
  <c r="AA59" i="217" s="1"/>
  <c r="AB59" i="217" s="1"/>
  <c r="AO58" i="217"/>
  <c r="AF58" i="217"/>
  <c r="U58" i="217"/>
  <c r="P58" i="217"/>
  <c r="N58" i="217"/>
  <c r="K58" i="217"/>
  <c r="J58" i="217" s="1"/>
  <c r="H58" i="217"/>
  <c r="AA58" i="217" s="1"/>
  <c r="AB58" i="217" s="1"/>
  <c r="AO57" i="217"/>
  <c r="AF57" i="217"/>
  <c r="U57" i="217"/>
  <c r="P57" i="217"/>
  <c r="N57" i="217"/>
  <c r="K57" i="217"/>
  <c r="J57" i="217" s="1"/>
  <c r="H57" i="217"/>
  <c r="AA57" i="217" s="1"/>
  <c r="AB57" i="217" s="1"/>
  <c r="AO56" i="217"/>
  <c r="AF56" i="217"/>
  <c r="U56" i="217"/>
  <c r="P56" i="217"/>
  <c r="N56" i="217"/>
  <c r="K56" i="217"/>
  <c r="J56" i="217" s="1"/>
  <c r="H56" i="217"/>
  <c r="AA56" i="217" s="1"/>
  <c r="AB56" i="217" s="1"/>
  <c r="AO55" i="217"/>
  <c r="AF55" i="217"/>
  <c r="U55" i="217"/>
  <c r="P55" i="217"/>
  <c r="N55" i="217"/>
  <c r="K55" i="217"/>
  <c r="J55" i="217" s="1"/>
  <c r="H55" i="217"/>
  <c r="AA55" i="217" s="1"/>
  <c r="AB55" i="217" s="1"/>
  <c r="AO54" i="217"/>
  <c r="AF54" i="217"/>
  <c r="U54" i="217"/>
  <c r="P54" i="217"/>
  <c r="N54" i="217"/>
  <c r="K54" i="217"/>
  <c r="J54" i="217" s="1"/>
  <c r="H54" i="217"/>
  <c r="AA54" i="217" s="1"/>
  <c r="AB54" i="217" s="1"/>
  <c r="AO53" i="217"/>
  <c r="AF53" i="217"/>
  <c r="U53" i="217"/>
  <c r="P53" i="217"/>
  <c r="N53" i="217"/>
  <c r="K53" i="217"/>
  <c r="J53" i="217" s="1"/>
  <c r="H53" i="217"/>
  <c r="AA53" i="217" s="1"/>
  <c r="AB53" i="217" s="1"/>
  <c r="AO52" i="217"/>
  <c r="AF52" i="217"/>
  <c r="U52" i="217"/>
  <c r="P52" i="217"/>
  <c r="N52" i="217"/>
  <c r="K52" i="217"/>
  <c r="J52" i="217" s="1"/>
  <c r="H52" i="217"/>
  <c r="AA52" i="217" s="1"/>
  <c r="AB52" i="217" s="1"/>
  <c r="AO51" i="217"/>
  <c r="AF51" i="217"/>
  <c r="U51" i="217"/>
  <c r="P51" i="217"/>
  <c r="N51" i="217"/>
  <c r="K51" i="217"/>
  <c r="J51" i="217" s="1"/>
  <c r="H51" i="217"/>
  <c r="AA51" i="217" s="1"/>
  <c r="AB51" i="217" s="1"/>
  <c r="AO50" i="217"/>
  <c r="AF50" i="217"/>
  <c r="U50" i="217"/>
  <c r="P50" i="217"/>
  <c r="N50" i="217"/>
  <c r="K50" i="217"/>
  <c r="J50" i="217" s="1"/>
  <c r="H50" i="217"/>
  <c r="AA50" i="217" s="1"/>
  <c r="AB50" i="217" s="1"/>
  <c r="AO49" i="217"/>
  <c r="AF49" i="217"/>
  <c r="U49" i="217"/>
  <c r="P49" i="217"/>
  <c r="N49" i="217"/>
  <c r="K49" i="217"/>
  <c r="J49" i="217" s="1"/>
  <c r="H49" i="217"/>
  <c r="AA49" i="217" s="1"/>
  <c r="AB49" i="217" s="1"/>
  <c r="AO48" i="217"/>
  <c r="AF48" i="217"/>
  <c r="U48" i="217"/>
  <c r="P48" i="217"/>
  <c r="N48" i="217"/>
  <c r="K48" i="217"/>
  <c r="J48" i="217" s="1"/>
  <c r="H48" i="217"/>
  <c r="AA48" i="217" s="1"/>
  <c r="AB48" i="217" s="1"/>
  <c r="AO47" i="217"/>
  <c r="AF47" i="217"/>
  <c r="U47" i="217"/>
  <c r="P47" i="217"/>
  <c r="N47" i="217"/>
  <c r="K47" i="217"/>
  <c r="J47" i="217" s="1"/>
  <c r="H47" i="217"/>
  <c r="AA47" i="217" s="1"/>
  <c r="AB47" i="217" s="1"/>
  <c r="AO46" i="217"/>
  <c r="AF46" i="217"/>
  <c r="U46" i="217"/>
  <c r="P46" i="217"/>
  <c r="N46" i="217"/>
  <c r="K46" i="217"/>
  <c r="J46" i="217" s="1"/>
  <c r="H46" i="217"/>
  <c r="AA46" i="217" s="1"/>
  <c r="AB46" i="217" s="1"/>
  <c r="AO45" i="217"/>
  <c r="AF45" i="217"/>
  <c r="U45" i="217"/>
  <c r="P45" i="217"/>
  <c r="N45" i="217"/>
  <c r="K45" i="217"/>
  <c r="J45" i="217" s="1"/>
  <c r="H45" i="217"/>
  <c r="AA45" i="217" s="1"/>
  <c r="AB45" i="217" s="1"/>
  <c r="AO44" i="217"/>
  <c r="AF44" i="217"/>
  <c r="U44" i="217"/>
  <c r="P44" i="217"/>
  <c r="N44" i="217"/>
  <c r="K44" i="217"/>
  <c r="J44" i="217" s="1"/>
  <c r="H44" i="217"/>
  <c r="AA44" i="217" s="1"/>
  <c r="AB44" i="217" s="1"/>
  <c r="AO43" i="217"/>
  <c r="AF43" i="217"/>
  <c r="U43" i="217"/>
  <c r="P43" i="217"/>
  <c r="N43" i="217"/>
  <c r="K43" i="217"/>
  <c r="J43" i="217" s="1"/>
  <c r="H43" i="217"/>
  <c r="AA43" i="217" s="1"/>
  <c r="AB43" i="217" s="1"/>
  <c r="AO42" i="217"/>
  <c r="AF42" i="217"/>
  <c r="U42" i="217"/>
  <c r="P42" i="217"/>
  <c r="N42" i="217"/>
  <c r="K42" i="217"/>
  <c r="J42" i="217" s="1"/>
  <c r="H42" i="217"/>
  <c r="AA42" i="217" s="1"/>
  <c r="AB42" i="217" s="1"/>
  <c r="AO41" i="217"/>
  <c r="AF41" i="217"/>
  <c r="U41" i="217"/>
  <c r="P41" i="217"/>
  <c r="N41" i="217"/>
  <c r="K41" i="217"/>
  <c r="J41" i="217" s="1"/>
  <c r="H41" i="217"/>
  <c r="AA41" i="217" s="1"/>
  <c r="AB41" i="217" s="1"/>
  <c r="AO40" i="217"/>
  <c r="AF40" i="217"/>
  <c r="U40" i="217"/>
  <c r="P40" i="217"/>
  <c r="N40" i="217"/>
  <c r="K40" i="217"/>
  <c r="J40" i="217" s="1"/>
  <c r="H40" i="217"/>
  <c r="AA40" i="217" s="1"/>
  <c r="AB40" i="217" s="1"/>
  <c r="AO39" i="217"/>
  <c r="AF39" i="217"/>
  <c r="U39" i="217"/>
  <c r="P39" i="217"/>
  <c r="N39" i="217"/>
  <c r="K39" i="217"/>
  <c r="J39" i="217" s="1"/>
  <c r="H39" i="217"/>
  <c r="AA39" i="217" s="1"/>
  <c r="AB39" i="217" s="1"/>
  <c r="AO38" i="217"/>
  <c r="AF38" i="217"/>
  <c r="U38" i="217"/>
  <c r="P38" i="217"/>
  <c r="N38" i="217"/>
  <c r="K38" i="217"/>
  <c r="J38" i="217" s="1"/>
  <c r="H38" i="217"/>
  <c r="AA38" i="217" s="1"/>
  <c r="AB38" i="217" s="1"/>
  <c r="AO37" i="217"/>
  <c r="AF37" i="217"/>
  <c r="U37" i="217"/>
  <c r="P37" i="217"/>
  <c r="N37" i="217"/>
  <c r="K37" i="217"/>
  <c r="J37" i="217" s="1"/>
  <c r="H37" i="217"/>
  <c r="AA37" i="217" s="1"/>
  <c r="AB37" i="217" s="1"/>
  <c r="AO36" i="217"/>
  <c r="AF36" i="217"/>
  <c r="U36" i="217"/>
  <c r="P36" i="217"/>
  <c r="N36" i="217"/>
  <c r="K36" i="217"/>
  <c r="J36" i="217" s="1"/>
  <c r="H36" i="217"/>
  <c r="AA36" i="217" s="1"/>
  <c r="AB36" i="217" s="1"/>
  <c r="AO35" i="217"/>
  <c r="AF35" i="217"/>
  <c r="U35" i="217"/>
  <c r="P35" i="217"/>
  <c r="N35" i="217"/>
  <c r="K35" i="217"/>
  <c r="J35" i="217" s="1"/>
  <c r="H35" i="217"/>
  <c r="AA35" i="217" s="1"/>
  <c r="AB35" i="217" s="1"/>
  <c r="AO34" i="217"/>
  <c r="AF34" i="217"/>
  <c r="U34" i="217"/>
  <c r="P34" i="217"/>
  <c r="N34" i="217"/>
  <c r="K34" i="217"/>
  <c r="J34" i="217" s="1"/>
  <c r="H34" i="217"/>
  <c r="AA34" i="217" s="1"/>
  <c r="AB34" i="217" s="1"/>
  <c r="AO33" i="217"/>
  <c r="AF33" i="217"/>
  <c r="U33" i="217"/>
  <c r="P33" i="217"/>
  <c r="N33" i="217"/>
  <c r="K33" i="217"/>
  <c r="J33" i="217" s="1"/>
  <c r="H33" i="217"/>
  <c r="AA33" i="217" s="1"/>
  <c r="AB33" i="217" s="1"/>
  <c r="AO32" i="217"/>
  <c r="AF32" i="217"/>
  <c r="U32" i="217"/>
  <c r="P32" i="217"/>
  <c r="N32" i="217"/>
  <c r="K32" i="217"/>
  <c r="J32" i="217" s="1"/>
  <c r="H32" i="217"/>
  <c r="AA32" i="217" s="1"/>
  <c r="AB32" i="217" s="1"/>
  <c r="AO31" i="217"/>
  <c r="AF31" i="217"/>
  <c r="U31" i="217"/>
  <c r="P31" i="217"/>
  <c r="N31" i="217"/>
  <c r="K31" i="217"/>
  <c r="J31" i="217" s="1"/>
  <c r="H31" i="217"/>
  <c r="AA31" i="217" s="1"/>
  <c r="AB31" i="217" s="1"/>
  <c r="AO30" i="217"/>
  <c r="AF30" i="217"/>
  <c r="U30" i="217"/>
  <c r="P30" i="217"/>
  <c r="N30" i="217"/>
  <c r="K30" i="217"/>
  <c r="J30" i="217" s="1"/>
  <c r="H30" i="217"/>
  <c r="AA30" i="217" s="1"/>
  <c r="AB30" i="217" s="1"/>
  <c r="AO29" i="217"/>
  <c r="AF29" i="217"/>
  <c r="U29" i="217"/>
  <c r="P29" i="217"/>
  <c r="N29" i="217"/>
  <c r="K29" i="217"/>
  <c r="J29" i="217" s="1"/>
  <c r="H29" i="217"/>
  <c r="AA29" i="217" s="1"/>
  <c r="AB29" i="217" s="1"/>
  <c r="AO28" i="217"/>
  <c r="AB28" i="217"/>
  <c r="W28" i="217"/>
  <c r="U28" i="217"/>
  <c r="P28" i="217"/>
  <c r="N28" i="217"/>
  <c r="K28" i="217"/>
  <c r="J28" i="217" s="1"/>
  <c r="AC28" i="217" s="1"/>
  <c r="AD28" i="217" s="1"/>
  <c r="H28" i="217"/>
  <c r="AA28" i="217" s="1"/>
  <c r="AO27" i="217"/>
  <c r="U27" i="217"/>
  <c r="AF27" i="217" s="1"/>
  <c r="S27" i="217"/>
  <c r="P27" i="217"/>
  <c r="N27" i="217"/>
  <c r="K27" i="217"/>
  <c r="J27" i="217" s="1"/>
  <c r="H27" i="217"/>
  <c r="AA27" i="217" s="1"/>
  <c r="AB27" i="217" s="1"/>
  <c r="AC26" i="217"/>
  <c r="AD26" i="217" s="1"/>
  <c r="U26" i="217"/>
  <c r="AF26" i="217" s="1"/>
  <c r="P26" i="217"/>
  <c r="N26" i="217"/>
  <c r="K26" i="217"/>
  <c r="J26" i="217" s="1"/>
  <c r="S26" i="217" s="1"/>
  <c r="H26" i="217"/>
  <c r="AA26" i="217" s="1"/>
  <c r="AB26" i="217" s="1"/>
  <c r="AO25" i="217"/>
  <c r="U25" i="217"/>
  <c r="AF25" i="217" s="1"/>
  <c r="S25" i="217"/>
  <c r="P25" i="217"/>
  <c r="N25" i="217"/>
  <c r="K25" i="217"/>
  <c r="J25" i="217" s="1"/>
  <c r="H25" i="217"/>
  <c r="AA25" i="217" s="1"/>
  <c r="AB25" i="217" s="1"/>
  <c r="AC24" i="217"/>
  <c r="AD24" i="217" s="1"/>
  <c r="U24" i="217"/>
  <c r="AF24" i="217" s="1"/>
  <c r="P24" i="217"/>
  <c r="N24" i="217"/>
  <c r="K24" i="217"/>
  <c r="J24" i="217" s="1"/>
  <c r="S24" i="217" s="1"/>
  <c r="H24" i="217"/>
  <c r="AA24" i="217" s="1"/>
  <c r="AB24" i="217" s="1"/>
  <c r="AO23" i="217"/>
  <c r="U23" i="217"/>
  <c r="AF23" i="217" s="1"/>
  <c r="S23" i="217"/>
  <c r="P23" i="217"/>
  <c r="N23" i="217"/>
  <c r="K23" i="217"/>
  <c r="J23" i="217" s="1"/>
  <c r="H23" i="217"/>
  <c r="AA23" i="217" s="1"/>
  <c r="AB23" i="217" s="1"/>
  <c r="AC22" i="217"/>
  <c r="AD22" i="217" s="1"/>
  <c r="U22" i="217"/>
  <c r="AF22" i="217" s="1"/>
  <c r="P22" i="217"/>
  <c r="N22" i="217"/>
  <c r="K22" i="217"/>
  <c r="J22" i="217" s="1"/>
  <c r="S22" i="217" s="1"/>
  <c r="H22" i="217"/>
  <c r="AA22" i="217" s="1"/>
  <c r="AB22" i="217" s="1"/>
  <c r="AO21" i="217"/>
  <c r="U21" i="217"/>
  <c r="AF21" i="217" s="1"/>
  <c r="S21" i="217"/>
  <c r="P21" i="217"/>
  <c r="N21" i="217"/>
  <c r="K21" i="217"/>
  <c r="J21" i="217" s="1"/>
  <c r="H21" i="217"/>
  <c r="AA21" i="217" s="1"/>
  <c r="AB21" i="217" s="1"/>
  <c r="AC20" i="217"/>
  <c r="AD20" i="217" s="1"/>
  <c r="U20" i="217"/>
  <c r="AF20" i="217" s="1"/>
  <c r="P20" i="217"/>
  <c r="N20" i="217"/>
  <c r="K20" i="217"/>
  <c r="J20" i="217" s="1"/>
  <c r="S20" i="217" s="1"/>
  <c r="H20" i="217"/>
  <c r="AA20" i="217" s="1"/>
  <c r="AB20" i="217" s="1"/>
  <c r="AO19" i="217"/>
  <c r="U19" i="217"/>
  <c r="AF19" i="217" s="1"/>
  <c r="S19" i="217"/>
  <c r="P19" i="217"/>
  <c r="N19" i="217"/>
  <c r="K19" i="217"/>
  <c r="J19" i="217" s="1"/>
  <c r="H19" i="217"/>
  <c r="AA19" i="217" s="1"/>
  <c r="AB19" i="217" s="1"/>
  <c r="AC18" i="217"/>
  <c r="AD18" i="217" s="1"/>
  <c r="U18" i="217"/>
  <c r="AF18" i="217" s="1"/>
  <c r="P18" i="217"/>
  <c r="N18" i="217"/>
  <c r="K18" i="217"/>
  <c r="J18" i="217" s="1"/>
  <c r="S18" i="217" s="1"/>
  <c r="H18" i="217"/>
  <c r="AA18" i="217" s="1"/>
  <c r="AB18" i="217" s="1"/>
  <c r="AA17" i="217"/>
  <c r="AB17" i="217" s="1"/>
  <c r="U17" i="217"/>
  <c r="AF17" i="217" s="1"/>
  <c r="P17" i="217"/>
  <c r="N17" i="217"/>
  <c r="K17" i="217"/>
  <c r="J17" i="217" s="1"/>
  <c r="AC17" i="217" s="1"/>
  <c r="AD17" i="217" s="1"/>
  <c r="H17" i="217"/>
  <c r="AO16" i="217"/>
  <c r="AD16" i="217"/>
  <c r="AC16" i="217"/>
  <c r="U16" i="217"/>
  <c r="AF16" i="217" s="1"/>
  <c r="S16" i="217"/>
  <c r="P16" i="217"/>
  <c r="N16" i="217"/>
  <c r="K16" i="217"/>
  <c r="J16" i="217" s="1"/>
  <c r="H16" i="217"/>
  <c r="AA16" i="217" s="1"/>
  <c r="AB16" i="217" s="1"/>
  <c r="U15" i="217"/>
  <c r="AF15" i="217" s="1"/>
  <c r="P15" i="217"/>
  <c r="N15" i="217"/>
  <c r="K15" i="217"/>
  <c r="J15" i="217" s="1"/>
  <c r="AC15" i="217" s="1"/>
  <c r="AD15" i="217" s="1"/>
  <c r="H15" i="217"/>
  <c r="AA15" i="217" s="1"/>
  <c r="AB15" i="217" s="1"/>
  <c r="AO14" i="217"/>
  <c r="AD14" i="217"/>
  <c r="AC14" i="217"/>
  <c r="U14" i="217"/>
  <c r="AF14" i="217" s="1"/>
  <c r="S14" i="217"/>
  <c r="P14" i="217"/>
  <c r="N14" i="217"/>
  <c r="K14" i="217"/>
  <c r="J14" i="217" s="1"/>
  <c r="H14" i="217"/>
  <c r="AA14" i="217" s="1"/>
  <c r="AB14" i="217" s="1"/>
  <c r="U13" i="217"/>
  <c r="AF13" i="217" s="1"/>
  <c r="P13" i="217"/>
  <c r="N13" i="217"/>
  <c r="K13" i="217"/>
  <c r="J13" i="217" s="1"/>
  <c r="AC13" i="217" s="1"/>
  <c r="AD13" i="217" s="1"/>
  <c r="H13" i="217"/>
  <c r="AA13" i="217" s="1"/>
  <c r="AB13" i="217" s="1"/>
  <c r="AA12" i="217"/>
  <c r="AB12" i="217" s="1"/>
  <c r="U12" i="217"/>
  <c r="AF12" i="217" s="1"/>
  <c r="S12" i="217"/>
  <c r="P12" i="217"/>
  <c r="N12" i="217"/>
  <c r="J12" i="217"/>
  <c r="I12" i="217"/>
  <c r="AB11" i="217"/>
  <c r="AA11" i="217"/>
  <c r="U11" i="217"/>
  <c r="R11" i="217"/>
  <c r="P11" i="217"/>
  <c r="N11" i="217"/>
  <c r="J11" i="217"/>
  <c r="AC11" i="217" s="1"/>
  <c r="AD11" i="217" s="1"/>
  <c r="I11" i="217"/>
  <c r="AE11" i="217" s="1"/>
  <c r="AC10" i="217"/>
  <c r="AD10" i="217" s="1"/>
  <c r="AB10" i="217"/>
  <c r="AA10" i="217"/>
  <c r="R10" i="217"/>
  <c r="P10" i="217"/>
  <c r="N10" i="217"/>
  <c r="J10" i="217"/>
  <c r="S10" i="217" s="1"/>
  <c r="I10" i="217"/>
  <c r="AE10" i="217" s="1"/>
  <c r="AE9" i="217"/>
  <c r="AD9" i="217"/>
  <c r="AA9" i="217"/>
  <c r="AB9" i="217" s="1"/>
  <c r="U9" i="217"/>
  <c r="P9" i="217"/>
  <c r="N9" i="217"/>
  <c r="K9" i="217"/>
  <c r="J9" i="217"/>
  <c r="AC9" i="217" s="1"/>
  <c r="H9" i="217"/>
  <c r="AE8" i="217"/>
  <c r="AD8" i="217"/>
  <c r="AA8" i="217"/>
  <c r="AB8" i="217" s="1"/>
  <c r="U8" i="217"/>
  <c r="P8" i="217"/>
  <c r="N8" i="217"/>
  <c r="R8" i="217" s="1"/>
  <c r="J8" i="217"/>
  <c r="AC8" i="217" s="1"/>
  <c r="I8" i="217"/>
  <c r="AP7" i="217"/>
  <c r="AC7" i="217"/>
  <c r="AD7" i="217" s="1"/>
  <c r="AA7" i="217"/>
  <c r="AB7" i="217" s="1"/>
  <c r="U7" i="217"/>
  <c r="AF7" i="217" s="1"/>
  <c r="P7" i="217"/>
  <c r="N7" i="217"/>
  <c r="J7" i="217"/>
  <c r="S7" i="217" s="1"/>
  <c r="I7" i="217"/>
  <c r="AC6" i="217"/>
  <c r="AD6" i="217" s="1"/>
  <c r="AA6" i="217"/>
  <c r="AB6" i="217" s="1"/>
  <c r="R6" i="217"/>
  <c r="P6" i="217"/>
  <c r="N6" i="217"/>
  <c r="J6" i="217"/>
  <c r="S6" i="217" s="1"/>
  <c r="I6" i="217"/>
  <c r="AE6" i="217" s="1"/>
  <c r="AF5" i="217"/>
  <c r="AA5" i="217"/>
  <c r="AB5" i="217" s="1"/>
  <c r="U5" i="217"/>
  <c r="AP5" i="217" s="1"/>
  <c r="R5" i="217"/>
  <c r="P5" i="217"/>
  <c r="N5" i="217"/>
  <c r="J5" i="217"/>
  <c r="AC5" i="217" s="1"/>
  <c r="AD5" i="217" s="1"/>
  <c r="I5" i="217"/>
  <c r="AO5" i="217" s="1"/>
  <c r="AE32" i="217" l="1"/>
  <c r="S32" i="217"/>
  <c r="AC32" i="217"/>
  <c r="AD32" i="217" s="1"/>
  <c r="R32" i="217"/>
  <c r="AE52" i="217"/>
  <c r="S52" i="217"/>
  <c r="AC52" i="217"/>
  <c r="AD52" i="217" s="1"/>
  <c r="R52" i="217"/>
  <c r="AE60" i="217"/>
  <c r="S60" i="217"/>
  <c r="AC60" i="217"/>
  <c r="AD60" i="217" s="1"/>
  <c r="R60" i="217"/>
  <c r="AE31" i="217"/>
  <c r="S31" i="217"/>
  <c r="AC31" i="217"/>
  <c r="AD31" i="217" s="1"/>
  <c r="R31" i="217"/>
  <c r="AE39" i="217"/>
  <c r="S39" i="217"/>
  <c r="AC39" i="217"/>
  <c r="AD39" i="217" s="1"/>
  <c r="R39" i="217"/>
  <c r="AE67" i="217"/>
  <c r="S67" i="217"/>
  <c r="AC67" i="217"/>
  <c r="AD67" i="217" s="1"/>
  <c r="R67" i="217"/>
  <c r="AE30" i="217"/>
  <c r="S30" i="217"/>
  <c r="AC30" i="217"/>
  <c r="AD30" i="217" s="1"/>
  <c r="R30" i="217"/>
  <c r="AE34" i="217"/>
  <c r="S34" i="217"/>
  <c r="AC34" i="217"/>
  <c r="AD34" i="217" s="1"/>
  <c r="R34" i="217"/>
  <c r="AE38" i="217"/>
  <c r="S38" i="217"/>
  <c r="AC38" i="217"/>
  <c r="AD38" i="217" s="1"/>
  <c r="R38" i="217"/>
  <c r="AE42" i="217"/>
  <c r="S42" i="217"/>
  <c r="AC42" i="217"/>
  <c r="AD42" i="217" s="1"/>
  <c r="R42" i="217"/>
  <c r="AE46" i="217"/>
  <c r="S46" i="217"/>
  <c r="AC46" i="217"/>
  <c r="AD46" i="217" s="1"/>
  <c r="R46" i="217"/>
  <c r="AE50" i="217"/>
  <c r="S50" i="217"/>
  <c r="AC50" i="217"/>
  <c r="AD50" i="217" s="1"/>
  <c r="R50" i="217"/>
  <c r="AE54" i="217"/>
  <c r="S54" i="217"/>
  <c r="AC54" i="217"/>
  <c r="AD54" i="217" s="1"/>
  <c r="R54" i="217"/>
  <c r="AE58" i="217"/>
  <c r="S58" i="217"/>
  <c r="AC58" i="217"/>
  <c r="AD58" i="217" s="1"/>
  <c r="R58" i="217"/>
  <c r="AE62" i="217"/>
  <c r="S62" i="217"/>
  <c r="AC62" i="217"/>
  <c r="AD62" i="217" s="1"/>
  <c r="R62" i="217"/>
  <c r="AE66" i="217"/>
  <c r="S66" i="217"/>
  <c r="AC66" i="217"/>
  <c r="AD66" i="217" s="1"/>
  <c r="R66" i="217"/>
  <c r="AE36" i="217"/>
  <c r="S36" i="217"/>
  <c r="AC36" i="217"/>
  <c r="AD36" i="217" s="1"/>
  <c r="R36" i="217"/>
  <c r="AE40" i="217"/>
  <c r="S40" i="217"/>
  <c r="AC40" i="217"/>
  <c r="AD40" i="217" s="1"/>
  <c r="R40" i="217"/>
  <c r="AE44" i="217"/>
  <c r="S44" i="217"/>
  <c r="AC44" i="217"/>
  <c r="AD44" i="217" s="1"/>
  <c r="R44" i="217"/>
  <c r="AE48" i="217"/>
  <c r="S48" i="217"/>
  <c r="AC48" i="217"/>
  <c r="AD48" i="217" s="1"/>
  <c r="R48" i="217"/>
  <c r="AE56" i="217"/>
  <c r="S56" i="217"/>
  <c r="AC56" i="217"/>
  <c r="AD56" i="217" s="1"/>
  <c r="R56" i="217"/>
  <c r="AE64" i="217"/>
  <c r="S64" i="217"/>
  <c r="AC64" i="217"/>
  <c r="AD64" i="217" s="1"/>
  <c r="R64" i="217"/>
  <c r="AE35" i="217"/>
  <c r="S35" i="217"/>
  <c r="AC35" i="217"/>
  <c r="AD35" i="217" s="1"/>
  <c r="R35" i="217"/>
  <c r="AE43" i="217"/>
  <c r="S43" i="217"/>
  <c r="AC43" i="217"/>
  <c r="AD43" i="217" s="1"/>
  <c r="R43" i="217"/>
  <c r="AE47" i="217"/>
  <c r="S47" i="217"/>
  <c r="AC47" i="217"/>
  <c r="AD47" i="217" s="1"/>
  <c r="R47" i="217"/>
  <c r="AE51" i="217"/>
  <c r="S51" i="217"/>
  <c r="AC51" i="217"/>
  <c r="AD51" i="217" s="1"/>
  <c r="R51" i="217"/>
  <c r="AE55" i="217"/>
  <c r="S55" i="217"/>
  <c r="AC55" i="217"/>
  <c r="AD55" i="217" s="1"/>
  <c r="R55" i="217"/>
  <c r="AE59" i="217"/>
  <c r="S59" i="217"/>
  <c r="AC59" i="217"/>
  <c r="AD59" i="217" s="1"/>
  <c r="R59" i="217"/>
  <c r="AE63" i="217"/>
  <c r="S63" i="217"/>
  <c r="AC63" i="217"/>
  <c r="AD63" i="217" s="1"/>
  <c r="R63" i="217"/>
  <c r="AE29" i="217"/>
  <c r="S29" i="217"/>
  <c r="AC29" i="217"/>
  <c r="AD29" i="217" s="1"/>
  <c r="R29" i="217"/>
  <c r="AE33" i="217"/>
  <c r="S33" i="217"/>
  <c r="AC33" i="217"/>
  <c r="AD33" i="217" s="1"/>
  <c r="R33" i="217"/>
  <c r="AE37" i="217"/>
  <c r="S37" i="217"/>
  <c r="AC37" i="217"/>
  <c r="AD37" i="217" s="1"/>
  <c r="R37" i="217"/>
  <c r="AE41" i="217"/>
  <c r="S41" i="217"/>
  <c r="AC41" i="217"/>
  <c r="AD41" i="217" s="1"/>
  <c r="R41" i="217"/>
  <c r="AE45" i="217"/>
  <c r="S45" i="217"/>
  <c r="AC45" i="217"/>
  <c r="AD45" i="217" s="1"/>
  <c r="R45" i="217"/>
  <c r="AE49" i="217"/>
  <c r="S49" i="217"/>
  <c r="AC49" i="217"/>
  <c r="AD49" i="217" s="1"/>
  <c r="R49" i="217"/>
  <c r="AE53" i="217"/>
  <c r="S53" i="217"/>
  <c r="AC53" i="217"/>
  <c r="AD53" i="217" s="1"/>
  <c r="R53" i="217"/>
  <c r="AE57" i="217"/>
  <c r="S57" i="217"/>
  <c r="AC57" i="217"/>
  <c r="AD57" i="217" s="1"/>
  <c r="R57" i="217"/>
  <c r="AE61" i="217"/>
  <c r="S61" i="217"/>
  <c r="AC61" i="217"/>
  <c r="AD61" i="217" s="1"/>
  <c r="R61" i="217"/>
  <c r="AE65" i="217"/>
  <c r="S65" i="217"/>
  <c r="AC65" i="217"/>
  <c r="AD65" i="217" s="1"/>
  <c r="R65" i="217"/>
  <c r="AP30" i="217"/>
  <c r="AP35" i="217"/>
  <c r="AP36" i="217"/>
  <c r="AP40" i="217"/>
  <c r="AP45" i="217"/>
  <c r="AP50" i="217"/>
  <c r="AP54" i="217"/>
  <c r="AP61" i="217"/>
  <c r="AP62" i="217"/>
  <c r="AP66" i="217"/>
  <c r="AO97" i="217"/>
  <c r="AF97" i="217"/>
  <c r="R117" i="217"/>
  <c r="S117" i="217"/>
  <c r="AC117" i="217"/>
  <c r="AD117" i="217" s="1"/>
  <c r="AE117" i="217"/>
  <c r="AO8" i="217"/>
  <c r="AF8" i="217"/>
  <c r="AP8" i="217"/>
  <c r="S11" i="217"/>
  <c r="R12" i="217"/>
  <c r="AE12" i="217"/>
  <c r="AO12" i="217"/>
  <c r="AP17" i="217"/>
  <c r="R19" i="217"/>
  <c r="AE19" i="217"/>
  <c r="AP19" i="217"/>
  <c r="R21" i="217"/>
  <c r="AE21" i="217"/>
  <c r="AP21" i="217"/>
  <c r="R23" i="217"/>
  <c r="AE23" i="217"/>
  <c r="AP23" i="217"/>
  <c r="R25" i="217"/>
  <c r="AE25" i="217"/>
  <c r="AP25" i="217"/>
  <c r="R27" i="217"/>
  <c r="AE27" i="217"/>
  <c r="AP27" i="217"/>
  <c r="AE100" i="217"/>
  <c r="R100" i="217"/>
  <c r="AP100" i="217"/>
  <c r="AF100" i="217"/>
  <c r="S101" i="217"/>
  <c r="AC102" i="217"/>
  <c r="AD102" i="217" s="1"/>
  <c r="S102" i="217"/>
  <c r="R102" i="217"/>
  <c r="R116" i="217"/>
  <c r="S116" i="217"/>
  <c r="AC116" i="217"/>
  <c r="AD116" i="217" s="1"/>
  <c r="AE116" i="217"/>
  <c r="R120" i="217"/>
  <c r="S120" i="217"/>
  <c r="AC120" i="217"/>
  <c r="AD120" i="217" s="1"/>
  <c r="AE120" i="217"/>
  <c r="R127" i="217"/>
  <c r="AE127" i="217"/>
  <c r="AC127" i="217"/>
  <c r="AD127" i="217" s="1"/>
  <c r="S127" i="217"/>
  <c r="AC143" i="217"/>
  <c r="AD143" i="217" s="1"/>
  <c r="S143" i="217"/>
  <c r="AE143" i="217"/>
  <c r="R143" i="217"/>
  <c r="S212" i="217"/>
  <c r="AE212" i="217"/>
  <c r="R212" i="217"/>
  <c r="AC212" i="217"/>
  <c r="AD212" i="217" s="1"/>
  <c r="R15" i="217"/>
  <c r="AE15" i="217"/>
  <c r="AP15" i="217"/>
  <c r="AP31" i="217"/>
  <c r="AP34" i="217"/>
  <c r="AP37" i="217"/>
  <c r="AP38" i="217"/>
  <c r="AP41" i="217"/>
  <c r="AP47" i="217"/>
  <c r="AP48" i="217"/>
  <c r="AP49" i="217"/>
  <c r="AP55" i="217"/>
  <c r="AP58" i="217"/>
  <c r="AP59" i="217"/>
  <c r="AP60" i="217"/>
  <c r="AP63" i="217"/>
  <c r="AP64" i="217"/>
  <c r="AP65" i="217"/>
  <c r="AO95" i="217"/>
  <c r="AF95" i="217"/>
  <c r="R121" i="217"/>
  <c r="S121" i="217"/>
  <c r="AF127" i="217"/>
  <c r="AO127" i="217"/>
  <c r="AP127" i="217"/>
  <c r="AC150" i="217"/>
  <c r="AD150" i="217" s="1"/>
  <c r="S150" i="217"/>
  <c r="AE150" i="217"/>
  <c r="AC244" i="217"/>
  <c r="AD244" i="217" s="1"/>
  <c r="S244" i="217"/>
  <c r="R244" i="217"/>
  <c r="AE244" i="217"/>
  <c r="AP11" i="217"/>
  <c r="AF11" i="217"/>
  <c r="AP12" i="217"/>
  <c r="R14" i="217"/>
  <c r="AE14" i="217"/>
  <c r="AP14" i="217"/>
  <c r="R16" i="217"/>
  <c r="AE16" i="217"/>
  <c r="AP16" i="217"/>
  <c r="AO18" i="217"/>
  <c r="AC19" i="217"/>
  <c r="AD19" i="217" s="1"/>
  <c r="AO20" i="217"/>
  <c r="AC21" i="217"/>
  <c r="AD21" i="217" s="1"/>
  <c r="AO22" i="217"/>
  <c r="AC23" i="217"/>
  <c r="AD23" i="217" s="1"/>
  <c r="AO24" i="217"/>
  <c r="AC25" i="217"/>
  <c r="AD25" i="217" s="1"/>
  <c r="AO26" i="217"/>
  <c r="AC27" i="217"/>
  <c r="AD27" i="217" s="1"/>
  <c r="S28" i="217"/>
  <c r="R68" i="217"/>
  <c r="AC68" i="217"/>
  <c r="AD68" i="217" s="1"/>
  <c r="R69" i="217"/>
  <c r="AC69" i="217"/>
  <c r="AD69" i="217" s="1"/>
  <c r="R70" i="217"/>
  <c r="AC70" i="217"/>
  <c r="AD70" i="217" s="1"/>
  <c r="R71" i="217"/>
  <c r="AC71" i="217"/>
  <c r="AD71" i="217" s="1"/>
  <c r="R72" i="217"/>
  <c r="AC72" i="217"/>
  <c r="AD72" i="217" s="1"/>
  <c r="R73" i="217"/>
  <c r="AC73" i="217"/>
  <c r="AD73" i="217" s="1"/>
  <c r="R74" i="217"/>
  <c r="AC74" i="217"/>
  <c r="AD74" i="217" s="1"/>
  <c r="R75" i="217"/>
  <c r="AC75" i="217"/>
  <c r="AD75" i="217" s="1"/>
  <c r="R76" i="217"/>
  <c r="AC76" i="217"/>
  <c r="AD76" i="217" s="1"/>
  <c r="R77" i="217"/>
  <c r="AO96" i="217"/>
  <c r="AF96" i="217"/>
  <c r="AP96" i="217"/>
  <c r="S98" i="217"/>
  <c r="S99" i="217"/>
  <c r="AO99" i="217"/>
  <c r="AO100" i="217"/>
  <c r="AP101" i="217"/>
  <c r="AE101" i="217"/>
  <c r="AE102" i="217"/>
  <c r="AF103" i="217"/>
  <c r="AP103" i="217"/>
  <c r="AO103" i="217"/>
  <c r="AC105" i="217"/>
  <c r="AD105" i="217" s="1"/>
  <c r="R105" i="217"/>
  <c r="AO105" i="217"/>
  <c r="AP105" i="217"/>
  <c r="AF105" i="217"/>
  <c r="R119" i="217"/>
  <c r="S119" i="217"/>
  <c r="AC119" i="217"/>
  <c r="AD119" i="217" s="1"/>
  <c r="AE119" i="217"/>
  <c r="AO208" i="217"/>
  <c r="AF208" i="217"/>
  <c r="AP208" i="217"/>
  <c r="R13" i="217"/>
  <c r="AE13" i="217"/>
  <c r="AP13" i="217"/>
  <c r="R17" i="217"/>
  <c r="AE17" i="217"/>
  <c r="AO17" i="217"/>
  <c r="AP29" i="217"/>
  <c r="AP32" i="217"/>
  <c r="AP33" i="217"/>
  <c r="AP39" i="217"/>
  <c r="AP42" i="217"/>
  <c r="AP43" i="217"/>
  <c r="AP44" i="217"/>
  <c r="AP46" i="217"/>
  <c r="AP51" i="217"/>
  <c r="AP52" i="217"/>
  <c r="AP53" i="217"/>
  <c r="AP56" i="217"/>
  <c r="AP57" i="217"/>
  <c r="AP67" i="217"/>
  <c r="AP95" i="217"/>
  <c r="AP97" i="217"/>
  <c r="R101" i="217"/>
  <c r="AE121" i="217"/>
  <c r="R150" i="217"/>
  <c r="AP223" i="217"/>
  <c r="AC223" i="217"/>
  <c r="AD223" i="217" s="1"/>
  <c r="S223" i="217"/>
  <c r="AE223" i="217"/>
  <c r="AE5" i="217"/>
  <c r="R7" i="217"/>
  <c r="AE7" i="217"/>
  <c r="AO7" i="217"/>
  <c r="AO9" i="217"/>
  <c r="AF9" i="217"/>
  <c r="AP9" i="217"/>
  <c r="AO11" i="217"/>
  <c r="AC12" i="217"/>
  <c r="AD12" i="217" s="1"/>
  <c r="S13" i="217"/>
  <c r="AO13" i="217"/>
  <c r="S15" i="217"/>
  <c r="AO15" i="217"/>
  <c r="S17" i="217"/>
  <c r="R18" i="217"/>
  <c r="AE18" i="217"/>
  <c r="AP18" i="217"/>
  <c r="R20" i="217"/>
  <c r="AE20" i="217"/>
  <c r="AP20" i="217"/>
  <c r="R22" i="217"/>
  <c r="AE22" i="217"/>
  <c r="AP22" i="217"/>
  <c r="R24" i="217"/>
  <c r="AE24" i="217"/>
  <c r="AP24" i="217"/>
  <c r="R26" i="217"/>
  <c r="AE26" i="217"/>
  <c r="AP26" i="217"/>
  <c r="AE28" i="217"/>
  <c r="R28" i="217"/>
  <c r="AP28" i="217"/>
  <c r="AF28" i="217"/>
  <c r="S68" i="217"/>
  <c r="S69" i="217"/>
  <c r="S70" i="217"/>
  <c r="S71" i="217"/>
  <c r="S72" i="217"/>
  <c r="S73" i="217"/>
  <c r="S74" i="217"/>
  <c r="S75" i="217"/>
  <c r="S76" i="217"/>
  <c r="S77" i="217"/>
  <c r="AC78" i="217"/>
  <c r="AD78" i="217" s="1"/>
  <c r="S78" i="217"/>
  <c r="R78" i="217"/>
  <c r="AE78" i="217"/>
  <c r="AC79" i="217"/>
  <c r="AD79" i="217" s="1"/>
  <c r="S79" i="217"/>
  <c r="R79" i="217"/>
  <c r="AE79" i="217"/>
  <c r="AC80" i="217"/>
  <c r="AD80" i="217" s="1"/>
  <c r="S80" i="217"/>
  <c r="R80" i="217"/>
  <c r="AE80" i="217"/>
  <c r="AC81" i="217"/>
  <c r="AD81" i="217" s="1"/>
  <c r="S81" i="217"/>
  <c r="R81" i="217"/>
  <c r="AE81" i="217"/>
  <c r="AC82" i="217"/>
  <c r="AD82" i="217" s="1"/>
  <c r="S82" i="217"/>
  <c r="R82" i="217"/>
  <c r="AE82" i="217"/>
  <c r="AC83" i="217"/>
  <c r="AD83" i="217" s="1"/>
  <c r="S83" i="217"/>
  <c r="R83" i="217"/>
  <c r="AE83" i="217"/>
  <c r="AC84" i="217"/>
  <c r="AD84" i="217" s="1"/>
  <c r="S84" i="217"/>
  <c r="R84" i="217"/>
  <c r="AE84" i="217"/>
  <c r="AC85" i="217"/>
  <c r="AD85" i="217" s="1"/>
  <c r="S85" i="217"/>
  <c r="R85" i="217"/>
  <c r="AE85" i="217"/>
  <c r="AC86" i="217"/>
  <c r="AD86" i="217" s="1"/>
  <c r="S86" i="217"/>
  <c r="R86" i="217"/>
  <c r="AE86" i="217"/>
  <c r="AC87" i="217"/>
  <c r="AD87" i="217" s="1"/>
  <c r="S87" i="217"/>
  <c r="R87" i="217"/>
  <c r="AE87" i="217"/>
  <c r="AC88" i="217"/>
  <c r="AD88" i="217" s="1"/>
  <c r="S88" i="217"/>
  <c r="R88" i="217"/>
  <c r="AE88" i="217"/>
  <c r="AC89" i="217"/>
  <c r="AD89" i="217" s="1"/>
  <c r="S89" i="217"/>
  <c r="R89" i="217"/>
  <c r="AE89" i="217"/>
  <c r="AC90" i="217"/>
  <c r="AD90" i="217" s="1"/>
  <c r="S90" i="217"/>
  <c r="R90" i="217"/>
  <c r="AE90" i="217"/>
  <c r="AC91" i="217"/>
  <c r="AD91" i="217" s="1"/>
  <c r="S91" i="217"/>
  <c r="R91" i="217"/>
  <c r="AE91" i="217"/>
  <c r="AC92" i="217"/>
  <c r="AD92" i="217" s="1"/>
  <c r="S92" i="217"/>
  <c r="R92" i="217"/>
  <c r="AE92" i="217"/>
  <c r="AC93" i="217"/>
  <c r="AD93" i="217" s="1"/>
  <c r="S93" i="217"/>
  <c r="R93" i="217"/>
  <c r="AE93" i="217"/>
  <c r="AC94" i="217"/>
  <c r="AD94" i="217" s="1"/>
  <c r="S94" i="217"/>
  <c r="R94" i="217"/>
  <c r="AP99" i="217"/>
  <c r="R104" i="217"/>
  <c r="AC104" i="217"/>
  <c r="AD104" i="217" s="1"/>
  <c r="AF104" i="217"/>
  <c r="AP104" i="217"/>
  <c r="AO104" i="217"/>
  <c r="S106" i="217"/>
  <c r="AE106" i="217"/>
  <c r="AP106" i="217"/>
  <c r="AC106" i="217"/>
  <c r="AD106" i="217" s="1"/>
  <c r="R106" i="217"/>
  <c r="AO110" i="217"/>
  <c r="AF110" i="217"/>
  <c r="R118" i="217"/>
  <c r="S118" i="217"/>
  <c r="AC118" i="217"/>
  <c r="AD118" i="217" s="1"/>
  <c r="AE118" i="217"/>
  <c r="AC159" i="217"/>
  <c r="AD159" i="217" s="1"/>
  <c r="S159" i="217"/>
  <c r="AE159" i="217"/>
  <c r="R159" i="217"/>
  <c r="AC168" i="217"/>
  <c r="AD168" i="217" s="1"/>
  <c r="S168" i="217"/>
  <c r="AE168" i="217"/>
  <c r="R168" i="217"/>
  <c r="AO77" i="217"/>
  <c r="R95" i="217"/>
  <c r="R96" i="217"/>
  <c r="R97" i="217"/>
  <c r="R98" i="217"/>
  <c r="AC98" i="217"/>
  <c r="AD98" i="217" s="1"/>
  <c r="R99" i="217"/>
  <c r="AE99" i="217"/>
  <c r="AO101" i="217"/>
  <c r="R103" i="217"/>
  <c r="R108" i="217"/>
  <c r="S111" i="217"/>
  <c r="AO111" i="217"/>
  <c r="AC114" i="217"/>
  <c r="AD114" i="217" s="1"/>
  <c r="S114" i="217"/>
  <c r="R114" i="217"/>
  <c r="S115" i="217"/>
  <c r="AE122" i="217"/>
  <c r="AC122" i="217"/>
  <c r="AD122" i="217" s="1"/>
  <c r="R122" i="217"/>
  <c r="AP122" i="217"/>
  <c r="AO122" i="217"/>
  <c r="R123" i="217"/>
  <c r="AE123" i="217"/>
  <c r="AC123" i="217"/>
  <c r="AD123" i="217" s="1"/>
  <c r="AP147" i="217"/>
  <c r="AC151" i="217"/>
  <c r="AD151" i="217" s="1"/>
  <c r="S151" i="217"/>
  <c r="R151" i="217"/>
  <c r="AC158" i="217"/>
  <c r="AD158" i="217" s="1"/>
  <c r="S158" i="217"/>
  <c r="R158" i="217"/>
  <c r="AP163" i="217"/>
  <c r="AC169" i="217"/>
  <c r="AD169" i="217" s="1"/>
  <c r="S169" i="217"/>
  <c r="R169" i="217"/>
  <c r="AC204" i="217"/>
  <c r="AD204" i="217" s="1"/>
  <c r="S204" i="217"/>
  <c r="R204" i="217"/>
  <c r="AE204" i="217"/>
  <c r="AE112" i="217"/>
  <c r="R112" i="217"/>
  <c r="AP112" i="217"/>
  <c r="AF112" i="217"/>
  <c r="R115" i="217"/>
  <c r="AP143" i="217"/>
  <c r="AC147" i="217"/>
  <c r="AD147" i="217" s="1"/>
  <c r="S147" i="217"/>
  <c r="R147" i="217"/>
  <c r="AC154" i="217"/>
  <c r="AD154" i="217" s="1"/>
  <c r="S154" i="217"/>
  <c r="R154" i="217"/>
  <c r="AP159" i="217"/>
  <c r="AC163" i="217"/>
  <c r="AD163" i="217" s="1"/>
  <c r="S163" i="217"/>
  <c r="R163" i="217"/>
  <c r="AC172" i="217"/>
  <c r="AD172" i="217" s="1"/>
  <c r="S172" i="217"/>
  <c r="R172" i="217"/>
  <c r="AO182" i="217"/>
  <c r="AF182" i="217"/>
  <c r="AP182" i="217"/>
  <c r="AC188" i="217"/>
  <c r="AD188" i="217" s="1"/>
  <c r="S188" i="217"/>
  <c r="R188" i="217"/>
  <c r="AE188" i="217"/>
  <c r="AO190" i="217"/>
  <c r="AF190" i="217"/>
  <c r="AP190" i="217"/>
  <c r="R199" i="217"/>
  <c r="AE199" i="217"/>
  <c r="AC199" i="217"/>
  <c r="AD199" i="217" s="1"/>
  <c r="AF199" i="217"/>
  <c r="AP199" i="217"/>
  <c r="AO199" i="217"/>
  <c r="AO204" i="217"/>
  <c r="AF204" i="217"/>
  <c r="AP204" i="217"/>
  <c r="AC208" i="217"/>
  <c r="AD208" i="217" s="1"/>
  <c r="S208" i="217"/>
  <c r="R208" i="217"/>
  <c r="AE208" i="217"/>
  <c r="S5" i="217"/>
  <c r="R9" i="217"/>
  <c r="S8" i="217"/>
  <c r="S9" i="217"/>
  <c r="S95" i="217"/>
  <c r="S96" i="217"/>
  <c r="S97" i="217"/>
  <c r="S103" i="217"/>
  <c r="AE107" i="217"/>
  <c r="R107" i="217"/>
  <c r="AP107" i="217"/>
  <c r="AF107" i="217"/>
  <c r="S108" i="217"/>
  <c r="AC109" i="217"/>
  <c r="AD109" i="217" s="1"/>
  <c r="S109" i="217"/>
  <c r="R109" i="217"/>
  <c r="AP111" i="217"/>
  <c r="AC113" i="217"/>
  <c r="AD113" i="217" s="1"/>
  <c r="R113" i="217"/>
  <c r="AF116" i="217"/>
  <c r="AP116" i="217"/>
  <c r="AF117" i="217"/>
  <c r="AP117" i="217"/>
  <c r="AF118" i="217"/>
  <c r="AP118" i="217"/>
  <c r="AF119" i="217"/>
  <c r="AP119" i="217"/>
  <c r="AF120" i="217"/>
  <c r="AP120" i="217"/>
  <c r="AO123" i="217"/>
  <c r="R125" i="217"/>
  <c r="AE125" i="217"/>
  <c r="AC125" i="217"/>
  <c r="AD125" i="217" s="1"/>
  <c r="AE130" i="217"/>
  <c r="AC130" i="217"/>
  <c r="AD130" i="217" s="1"/>
  <c r="R130" i="217"/>
  <c r="AP130" i="217"/>
  <c r="AE131" i="217"/>
  <c r="AC131" i="217"/>
  <c r="AD131" i="217" s="1"/>
  <c r="R131" i="217"/>
  <c r="AP131" i="217"/>
  <c r="AE132" i="217"/>
  <c r="AC132" i="217"/>
  <c r="AD132" i="217" s="1"/>
  <c r="R132" i="217"/>
  <c r="AP132" i="217"/>
  <c r="AE133" i="217"/>
  <c r="AC133" i="217"/>
  <c r="AD133" i="217" s="1"/>
  <c r="R133" i="217"/>
  <c r="AP133" i="217"/>
  <c r="AE134" i="217"/>
  <c r="AC134" i="217"/>
  <c r="AD134" i="217" s="1"/>
  <c r="R134" i="217"/>
  <c r="AP134" i="217"/>
  <c r="AE135" i="217"/>
  <c r="AC135" i="217"/>
  <c r="AD135" i="217" s="1"/>
  <c r="R135" i="217"/>
  <c r="AP135" i="217"/>
  <c r="AE136" i="217"/>
  <c r="AC136" i="217"/>
  <c r="AD136" i="217" s="1"/>
  <c r="R136" i="217"/>
  <c r="AP136" i="217"/>
  <c r="AE137" i="217"/>
  <c r="AC137" i="217"/>
  <c r="AD137" i="217" s="1"/>
  <c r="R137" i="217"/>
  <c r="AP137" i="217"/>
  <c r="AE138" i="217"/>
  <c r="AC138" i="217"/>
  <c r="AD138" i="217" s="1"/>
  <c r="R138" i="217"/>
  <c r="AP138" i="217"/>
  <c r="AE139" i="217"/>
  <c r="AC139" i="217"/>
  <c r="AD139" i="217" s="1"/>
  <c r="R139" i="217"/>
  <c r="AP139" i="217"/>
  <c r="AE140" i="217"/>
  <c r="AC140" i="217"/>
  <c r="AD140" i="217" s="1"/>
  <c r="R140" i="217"/>
  <c r="AP140" i="217"/>
  <c r="AE141" i="217"/>
  <c r="AC141" i="217"/>
  <c r="AD141" i="217" s="1"/>
  <c r="R141" i="217"/>
  <c r="AP141" i="217"/>
  <c r="AC146" i="217"/>
  <c r="AD146" i="217" s="1"/>
  <c r="S146" i="217"/>
  <c r="R146" i="217"/>
  <c r="AP151" i="217"/>
  <c r="AC155" i="217"/>
  <c r="AD155" i="217" s="1"/>
  <c r="S155" i="217"/>
  <c r="R155" i="217"/>
  <c r="AC162" i="217"/>
  <c r="AD162" i="217" s="1"/>
  <c r="S162" i="217"/>
  <c r="R162" i="217"/>
  <c r="AP169" i="217"/>
  <c r="AC173" i="217"/>
  <c r="AD173" i="217" s="1"/>
  <c r="S173" i="217"/>
  <c r="R173" i="217"/>
  <c r="AC184" i="217"/>
  <c r="AD184" i="217" s="1"/>
  <c r="S184" i="217"/>
  <c r="R184" i="217"/>
  <c r="AE184" i="217"/>
  <c r="AO186" i="217"/>
  <c r="AF186" i="217"/>
  <c r="AP186" i="217"/>
  <c r="AC192" i="217"/>
  <c r="AD192" i="217" s="1"/>
  <c r="S192" i="217"/>
  <c r="R192" i="217"/>
  <c r="AE192" i="217"/>
  <c r="AO194" i="217"/>
  <c r="AF194" i="217"/>
  <c r="AP194" i="217"/>
  <c r="AF212" i="217"/>
  <c r="AP212" i="217"/>
  <c r="AO212" i="217"/>
  <c r="R216" i="217"/>
  <c r="AE216" i="217"/>
  <c r="S216" i="217"/>
  <c r="AC216" i="217"/>
  <c r="AD216" i="217" s="1"/>
  <c r="R217" i="217"/>
  <c r="AE217" i="217"/>
  <c r="AC217" i="217"/>
  <c r="AD217" i="217" s="1"/>
  <c r="S217" i="217"/>
  <c r="AO108" i="217"/>
  <c r="R110" i="217"/>
  <c r="R111" i="217"/>
  <c r="AE111" i="217"/>
  <c r="S142" i="217"/>
  <c r="AC145" i="217"/>
  <c r="AD145" i="217" s="1"/>
  <c r="S145" i="217"/>
  <c r="R145" i="217"/>
  <c r="AE145" i="217"/>
  <c r="AP146" i="217"/>
  <c r="AC149" i="217"/>
  <c r="AD149" i="217" s="1"/>
  <c r="S149" i="217"/>
  <c r="R149" i="217"/>
  <c r="AE149" i="217"/>
  <c r="AP150" i="217"/>
  <c r="AC153" i="217"/>
  <c r="AD153" i="217" s="1"/>
  <c r="S153" i="217"/>
  <c r="R153" i="217"/>
  <c r="AE153" i="217"/>
  <c r="AP154" i="217"/>
  <c r="AC157" i="217"/>
  <c r="AD157" i="217" s="1"/>
  <c r="S157" i="217"/>
  <c r="R157" i="217"/>
  <c r="AE157" i="217"/>
  <c r="AP158" i="217"/>
  <c r="AC161" i="217"/>
  <c r="AD161" i="217" s="1"/>
  <c r="S161" i="217"/>
  <c r="R161" i="217"/>
  <c r="AE161" i="217"/>
  <c r="AP162" i="217"/>
  <c r="AC165" i="217"/>
  <c r="AD165" i="217" s="1"/>
  <c r="S165" i="217"/>
  <c r="R165" i="217"/>
  <c r="AE165" i="217"/>
  <c r="AC166" i="217"/>
  <c r="AD166" i="217" s="1"/>
  <c r="S166" i="217"/>
  <c r="R166" i="217"/>
  <c r="AE166" i="217"/>
  <c r="AC167" i="217"/>
  <c r="AD167" i="217" s="1"/>
  <c r="S167" i="217"/>
  <c r="R167" i="217"/>
  <c r="AE167" i="217"/>
  <c r="AP168" i="217"/>
  <c r="AC171" i="217"/>
  <c r="AD171" i="217" s="1"/>
  <c r="S171" i="217"/>
  <c r="R171" i="217"/>
  <c r="AE171" i="217"/>
  <c r="AP172" i="217"/>
  <c r="AO185" i="217"/>
  <c r="AF185" i="217"/>
  <c r="AO189" i="217"/>
  <c r="AF189" i="217"/>
  <c r="AO193" i="217"/>
  <c r="AF193" i="217"/>
  <c r="AO196" i="217"/>
  <c r="AF196" i="217"/>
  <c r="R201" i="217"/>
  <c r="AE201" i="217"/>
  <c r="AC201" i="217"/>
  <c r="AD201" i="217" s="1"/>
  <c r="AC221" i="217"/>
  <c r="AD221" i="217" s="1"/>
  <c r="S221" i="217"/>
  <c r="R221" i="217"/>
  <c r="AE221" i="217"/>
  <c r="AC235" i="217"/>
  <c r="AD235" i="217" s="1"/>
  <c r="S235" i="217"/>
  <c r="R235" i="217"/>
  <c r="AE235" i="217"/>
  <c r="S110" i="217"/>
  <c r="R124" i="217"/>
  <c r="AE124" i="217"/>
  <c r="AP124" i="217"/>
  <c r="R126" i="217"/>
  <c r="AE126" i="217"/>
  <c r="AP126" i="217"/>
  <c r="R128" i="217"/>
  <c r="AE128" i="217"/>
  <c r="AP128" i="217"/>
  <c r="AC144" i="217"/>
  <c r="AD144" i="217" s="1"/>
  <c r="S144" i="217"/>
  <c r="R144" i="217"/>
  <c r="AE144" i="217"/>
  <c r="AP145" i="217"/>
  <c r="AC148" i="217"/>
  <c r="AD148" i="217" s="1"/>
  <c r="S148" i="217"/>
  <c r="R148" i="217"/>
  <c r="AE148" i="217"/>
  <c r="AP149" i="217"/>
  <c r="AC152" i="217"/>
  <c r="AD152" i="217" s="1"/>
  <c r="S152" i="217"/>
  <c r="R152" i="217"/>
  <c r="AE152" i="217"/>
  <c r="AP153" i="217"/>
  <c r="AC156" i="217"/>
  <c r="AD156" i="217" s="1"/>
  <c r="S156" i="217"/>
  <c r="R156" i="217"/>
  <c r="AE156" i="217"/>
  <c r="AP157" i="217"/>
  <c r="AC160" i="217"/>
  <c r="AD160" i="217" s="1"/>
  <c r="S160" i="217"/>
  <c r="R160" i="217"/>
  <c r="AE160" i="217"/>
  <c r="AP161" i="217"/>
  <c r="AC164" i="217"/>
  <c r="AD164" i="217" s="1"/>
  <c r="S164" i="217"/>
  <c r="R164" i="217"/>
  <c r="AE164" i="217"/>
  <c r="AP165" i="217"/>
  <c r="AP166" i="217"/>
  <c r="AP167" i="217"/>
  <c r="AC170" i="217"/>
  <c r="AD170" i="217" s="1"/>
  <c r="S170" i="217"/>
  <c r="R170" i="217"/>
  <c r="AE170" i="217"/>
  <c r="AP171" i="217"/>
  <c r="AC174" i="217"/>
  <c r="AD174" i="217" s="1"/>
  <c r="S174" i="217"/>
  <c r="R174" i="217"/>
  <c r="AE174" i="217"/>
  <c r="AC175" i="217"/>
  <c r="AD175" i="217" s="1"/>
  <c r="S175" i="217"/>
  <c r="R175" i="217"/>
  <c r="AE175" i="217"/>
  <c r="AC176" i="217"/>
  <c r="AD176" i="217" s="1"/>
  <c r="S176" i="217"/>
  <c r="R176" i="217"/>
  <c r="AE176" i="217"/>
  <c r="AC177" i="217"/>
  <c r="AD177" i="217" s="1"/>
  <c r="S177" i="217"/>
  <c r="R177" i="217"/>
  <c r="AE177" i="217"/>
  <c r="AC178" i="217"/>
  <c r="AD178" i="217" s="1"/>
  <c r="S178" i="217"/>
  <c r="R178" i="217"/>
  <c r="AE178" i="217"/>
  <c r="AC179" i="217"/>
  <c r="AD179" i="217" s="1"/>
  <c r="S179" i="217"/>
  <c r="R179" i="217"/>
  <c r="AE179" i="217"/>
  <c r="R180" i="217"/>
  <c r="AE180" i="217"/>
  <c r="S180" i="217"/>
  <c r="AP180" i="217"/>
  <c r="AC185" i="217"/>
  <c r="AD185" i="217" s="1"/>
  <c r="S185" i="217"/>
  <c r="R185" i="217"/>
  <c r="AE185" i="217"/>
  <c r="AC189" i="217"/>
  <c r="AD189" i="217" s="1"/>
  <c r="S189" i="217"/>
  <c r="R189" i="217"/>
  <c r="AE189" i="217"/>
  <c r="AC193" i="217"/>
  <c r="AD193" i="217" s="1"/>
  <c r="S193" i="217"/>
  <c r="R193" i="217"/>
  <c r="AE193" i="217"/>
  <c r="AO203" i="217"/>
  <c r="AF203" i="217"/>
  <c r="AP203" i="217"/>
  <c r="AC205" i="217"/>
  <c r="AD205" i="217" s="1"/>
  <c r="S205" i="217"/>
  <c r="R205" i="217"/>
  <c r="AE205" i="217"/>
  <c r="AO207" i="217"/>
  <c r="AF207" i="217"/>
  <c r="AP207" i="217"/>
  <c r="AC209" i="217"/>
  <c r="AD209" i="217" s="1"/>
  <c r="S209" i="217"/>
  <c r="R209" i="217"/>
  <c r="AE209" i="217"/>
  <c r="AO211" i="217"/>
  <c r="AF211" i="217"/>
  <c r="AP211" i="217"/>
  <c r="R213" i="217"/>
  <c r="AE213" i="217"/>
  <c r="AC213" i="217"/>
  <c r="AD213" i="217" s="1"/>
  <c r="AP213" i="217"/>
  <c r="AP216" i="217"/>
  <c r="AO218" i="217"/>
  <c r="AF218" i="217"/>
  <c r="AP218" i="217"/>
  <c r="AO226" i="217"/>
  <c r="AP226" i="217"/>
  <c r="AF226" i="217"/>
  <c r="R142" i="217"/>
  <c r="AC142" i="217"/>
  <c r="AD142" i="217" s="1"/>
  <c r="AO143" i="217"/>
  <c r="AO144" i="217"/>
  <c r="AO145" i="217"/>
  <c r="AO146" i="217"/>
  <c r="AO147" i="217"/>
  <c r="AO148" i="217"/>
  <c r="AO149" i="217"/>
  <c r="AO150" i="217"/>
  <c r="AO151" i="217"/>
  <c r="AO152" i="217"/>
  <c r="AO153" i="217"/>
  <c r="AO154" i="217"/>
  <c r="AO155" i="217"/>
  <c r="AO156" i="217"/>
  <c r="AO157" i="217"/>
  <c r="AO158" i="217"/>
  <c r="AO159" i="217"/>
  <c r="AO160" i="217"/>
  <c r="AO161" i="217"/>
  <c r="AO162" i="217"/>
  <c r="AO163" i="217"/>
  <c r="AO164" i="217"/>
  <c r="AO167" i="217"/>
  <c r="AO168" i="217"/>
  <c r="AO169" i="217"/>
  <c r="AO170" i="217"/>
  <c r="AO171" i="217"/>
  <c r="AO172" i="217"/>
  <c r="AO173" i="217"/>
  <c r="AE181" i="217"/>
  <c r="AC182" i="217"/>
  <c r="AD182" i="217" s="1"/>
  <c r="S182" i="217"/>
  <c r="R182" i="217"/>
  <c r="AO183" i="217"/>
  <c r="AF183" i="217"/>
  <c r="AP183" i="217"/>
  <c r="AC186" i="217"/>
  <c r="AD186" i="217" s="1"/>
  <c r="S186" i="217"/>
  <c r="R186" i="217"/>
  <c r="AO187" i="217"/>
  <c r="AF187" i="217"/>
  <c r="AP187" i="217"/>
  <c r="AC190" i="217"/>
  <c r="AD190" i="217" s="1"/>
  <c r="S190" i="217"/>
  <c r="R190" i="217"/>
  <c r="AO191" i="217"/>
  <c r="AF191" i="217"/>
  <c r="AP191" i="217"/>
  <c r="AC194" i="217"/>
  <c r="AD194" i="217" s="1"/>
  <c r="S194" i="217"/>
  <c r="R194" i="217"/>
  <c r="AO202" i="217"/>
  <c r="AF202" i="217"/>
  <c r="AC203" i="217"/>
  <c r="AD203" i="217" s="1"/>
  <c r="S203" i="217"/>
  <c r="R203" i="217"/>
  <c r="AE203" i="217"/>
  <c r="AO206" i="217"/>
  <c r="AF206" i="217"/>
  <c r="AC207" i="217"/>
  <c r="AD207" i="217" s="1"/>
  <c r="S207" i="217"/>
  <c r="R207" i="217"/>
  <c r="AE207" i="217"/>
  <c r="AO210" i="217"/>
  <c r="AF210" i="217"/>
  <c r="AC211" i="217"/>
  <c r="AD211" i="217" s="1"/>
  <c r="S211" i="217"/>
  <c r="R211" i="217"/>
  <c r="AE211" i="217"/>
  <c r="R214" i="217"/>
  <c r="AE214" i="217"/>
  <c r="AP214" i="217"/>
  <c r="AO219" i="217"/>
  <c r="AF219" i="217"/>
  <c r="AE231" i="217"/>
  <c r="AC231" i="217"/>
  <c r="AD231" i="217" s="1"/>
  <c r="S231" i="217"/>
  <c r="R231" i="217"/>
  <c r="AF232" i="217"/>
  <c r="AO232" i="217"/>
  <c r="AC240" i="217"/>
  <c r="AD240" i="217" s="1"/>
  <c r="S240" i="217"/>
  <c r="R240" i="217"/>
  <c r="AE240" i="217"/>
  <c r="AE326" i="217"/>
  <c r="R326" i="217"/>
  <c r="S326" i="217"/>
  <c r="AC326" i="217"/>
  <c r="AD326" i="217" s="1"/>
  <c r="AF326" i="217"/>
  <c r="AO326" i="217"/>
  <c r="AP326" i="217"/>
  <c r="AO180" i="217"/>
  <c r="AO181" i="217"/>
  <c r="AC183" i="217"/>
  <c r="AD183" i="217" s="1"/>
  <c r="S183" i="217"/>
  <c r="R183" i="217"/>
  <c r="AO184" i="217"/>
  <c r="AF184" i="217"/>
  <c r="AP184" i="217"/>
  <c r="AC187" i="217"/>
  <c r="AD187" i="217" s="1"/>
  <c r="S187" i="217"/>
  <c r="R187" i="217"/>
  <c r="AO188" i="217"/>
  <c r="AF188" i="217"/>
  <c r="AP188" i="217"/>
  <c r="AC191" i="217"/>
  <c r="AD191" i="217" s="1"/>
  <c r="S191" i="217"/>
  <c r="R191" i="217"/>
  <c r="AO192" i="217"/>
  <c r="AF192" i="217"/>
  <c r="AP192" i="217"/>
  <c r="AO195" i="217"/>
  <c r="AF195" i="217"/>
  <c r="AP195" i="217"/>
  <c r="AO197" i="217"/>
  <c r="AF197" i="217"/>
  <c r="AP197" i="217"/>
  <c r="AP198" i="217"/>
  <c r="R200" i="217"/>
  <c r="AE200" i="217"/>
  <c r="AP200" i="217"/>
  <c r="AC202" i="217"/>
  <c r="AD202" i="217" s="1"/>
  <c r="S202" i="217"/>
  <c r="R202" i="217"/>
  <c r="AE202" i="217"/>
  <c r="AO205" i="217"/>
  <c r="AF205" i="217"/>
  <c r="AC206" i="217"/>
  <c r="AD206" i="217" s="1"/>
  <c r="S206" i="217"/>
  <c r="R206" i="217"/>
  <c r="AE206" i="217"/>
  <c r="AO209" i="217"/>
  <c r="AF209" i="217"/>
  <c r="AC210" i="217"/>
  <c r="AD210" i="217" s="1"/>
  <c r="S210" i="217"/>
  <c r="R210" i="217"/>
  <c r="AE210" i="217"/>
  <c r="AC214" i="217"/>
  <c r="AD214" i="217" s="1"/>
  <c r="R215" i="217"/>
  <c r="AE215" i="217"/>
  <c r="AP215" i="217"/>
  <c r="AC219" i="217"/>
  <c r="AD219" i="217" s="1"/>
  <c r="S219" i="217"/>
  <c r="R219" i="217"/>
  <c r="AE219" i="217"/>
  <c r="AF222" i="217"/>
  <c r="AC225" i="217"/>
  <c r="AD225" i="217" s="1"/>
  <c r="AE225" i="217"/>
  <c r="AP225" i="217"/>
  <c r="S225" i="217"/>
  <c r="R225" i="217"/>
  <c r="AC236" i="217"/>
  <c r="AD236" i="217" s="1"/>
  <c r="S236" i="217"/>
  <c r="R236" i="217"/>
  <c r="AE236" i="217"/>
  <c r="AO243" i="217"/>
  <c r="AF243" i="217"/>
  <c r="AP243" i="217"/>
  <c r="AC227" i="217"/>
  <c r="AD227" i="217" s="1"/>
  <c r="S227" i="217"/>
  <c r="AP227" i="217"/>
  <c r="AE227" i="217"/>
  <c r="R227" i="217"/>
  <c r="AC232" i="217"/>
  <c r="AD232" i="217" s="1"/>
  <c r="AP235" i="217"/>
  <c r="AO239" i="217"/>
  <c r="AF239" i="217"/>
  <c r="AP239" i="217"/>
  <c r="AP244" i="217"/>
  <c r="R195" i="217"/>
  <c r="R196" i="217"/>
  <c r="R197" i="217"/>
  <c r="AE198" i="217"/>
  <c r="R220" i="217"/>
  <c r="AF220" i="217"/>
  <c r="AF221" i="217"/>
  <c r="S222" i="217"/>
  <c r="AO222" i="217"/>
  <c r="AF223" i="217"/>
  <c r="AC228" i="217"/>
  <c r="AD228" i="217" s="1"/>
  <c r="S228" i="217"/>
  <c r="R228" i="217"/>
  <c r="AP229" i="217"/>
  <c r="AO233" i="217"/>
  <c r="AF233" i="217"/>
  <c r="AP233" i="217"/>
  <c r="AO238" i="217"/>
  <c r="AF238" i="217"/>
  <c r="AC239" i="217"/>
  <c r="AD239" i="217" s="1"/>
  <c r="S239" i="217"/>
  <c r="R239" i="217"/>
  <c r="AE239" i="217"/>
  <c r="AO242" i="217"/>
  <c r="AF242" i="217"/>
  <c r="AC243" i="217"/>
  <c r="AD243" i="217" s="1"/>
  <c r="S243" i="217"/>
  <c r="R243" i="217"/>
  <c r="AE243" i="217"/>
  <c r="AE252" i="217"/>
  <c r="AC252" i="217"/>
  <c r="AD252" i="217" s="1"/>
  <c r="S252" i="217"/>
  <c r="R252" i="217"/>
  <c r="AE254" i="217"/>
  <c r="AC254" i="217"/>
  <c r="AD254" i="217" s="1"/>
  <c r="S254" i="217"/>
  <c r="R254" i="217"/>
  <c r="AE256" i="217"/>
  <c r="AC256" i="217"/>
  <c r="AD256" i="217" s="1"/>
  <c r="S256" i="217"/>
  <c r="R256" i="217"/>
  <c r="AE260" i="217"/>
  <c r="AC260" i="217"/>
  <c r="AD260" i="217" s="1"/>
  <c r="S260" i="217"/>
  <c r="R260" i="217"/>
  <c r="AE262" i="217"/>
  <c r="AC262" i="217"/>
  <c r="AD262" i="217" s="1"/>
  <c r="S262" i="217"/>
  <c r="R262" i="217"/>
  <c r="AP264" i="217"/>
  <c r="AC264" i="217"/>
  <c r="AD264" i="217" s="1"/>
  <c r="S264" i="217"/>
  <c r="R264" i="217"/>
  <c r="AE264" i="217"/>
  <c r="S266" i="217"/>
  <c r="AC266" i="217"/>
  <c r="AD266" i="217" s="1"/>
  <c r="R266" i="217"/>
  <c r="AE266" i="217"/>
  <c r="AE293" i="217"/>
  <c r="AC293" i="217"/>
  <c r="AD293" i="217" s="1"/>
  <c r="S293" i="217"/>
  <c r="R293" i="217"/>
  <c r="AC319" i="217"/>
  <c r="AD319" i="217" s="1"/>
  <c r="R319" i="217"/>
  <c r="AE319" i="217"/>
  <c r="S319" i="217"/>
  <c r="R320" i="217"/>
  <c r="AE320" i="217"/>
  <c r="S320" i="217"/>
  <c r="AC320" i="217"/>
  <c r="AD320" i="217" s="1"/>
  <c r="AE341" i="217"/>
  <c r="R341" i="217"/>
  <c r="AC341" i="217"/>
  <c r="AD341" i="217" s="1"/>
  <c r="S341" i="217"/>
  <c r="AF342" i="217"/>
  <c r="AO342" i="217"/>
  <c r="AP342" i="217"/>
  <c r="S195" i="217"/>
  <c r="S196" i="217"/>
  <c r="S197" i="217"/>
  <c r="R218" i="217"/>
  <c r="S220" i="217"/>
  <c r="AO220" i="217"/>
  <c r="AO221" i="217"/>
  <c r="AC229" i="217"/>
  <c r="AD229" i="217" s="1"/>
  <c r="S229" i="217"/>
  <c r="R229" i="217"/>
  <c r="AE230" i="217"/>
  <c r="R230" i="217"/>
  <c r="AC230" i="217"/>
  <c r="AD230" i="217" s="1"/>
  <c r="AC233" i="217"/>
  <c r="AD233" i="217" s="1"/>
  <c r="S233" i="217"/>
  <c r="R233" i="217"/>
  <c r="AO234" i="217"/>
  <c r="AF234" i="217"/>
  <c r="AP234" i="217"/>
  <c r="AO237" i="217"/>
  <c r="AF237" i="217"/>
  <c r="AC238" i="217"/>
  <c r="AD238" i="217" s="1"/>
  <c r="S238" i="217"/>
  <c r="R238" i="217"/>
  <c r="AE238" i="217"/>
  <c r="AO241" i="217"/>
  <c r="AF241" i="217"/>
  <c r="AC242" i="217"/>
  <c r="AD242" i="217" s="1"/>
  <c r="S242" i="217"/>
  <c r="R242" i="217"/>
  <c r="AE242" i="217"/>
  <c r="AP262" i="217"/>
  <c r="AC288" i="217"/>
  <c r="AD288" i="217" s="1"/>
  <c r="R288" i="217"/>
  <c r="S288" i="217"/>
  <c r="S218" i="217"/>
  <c r="AC226" i="217"/>
  <c r="AD226" i="217" s="1"/>
  <c r="S226" i="217"/>
  <c r="R226" i="217"/>
  <c r="AP231" i="217"/>
  <c r="AC234" i="217"/>
  <c r="AD234" i="217" s="1"/>
  <c r="S234" i="217"/>
  <c r="R234" i="217"/>
  <c r="AO235" i="217"/>
  <c r="AF235" i="217"/>
  <c r="AO236" i="217"/>
  <c r="AF236" i="217"/>
  <c r="AC237" i="217"/>
  <c r="AD237" i="217" s="1"/>
  <c r="S237" i="217"/>
  <c r="R237" i="217"/>
  <c r="AE237" i="217"/>
  <c r="AO240" i="217"/>
  <c r="AF240" i="217"/>
  <c r="AC241" i="217"/>
  <c r="AD241" i="217" s="1"/>
  <c r="S241" i="217"/>
  <c r="R241" i="217"/>
  <c r="AE241" i="217"/>
  <c r="AO244" i="217"/>
  <c r="AF244" i="217"/>
  <c r="AE251" i="217"/>
  <c r="AO251" i="217"/>
  <c r="AF251" i="217"/>
  <c r="AE253" i="217"/>
  <c r="AC253" i="217"/>
  <c r="AD253" i="217" s="1"/>
  <c r="S253" i="217"/>
  <c r="R253" i="217"/>
  <c r="AE255" i="217"/>
  <c r="AC255" i="217"/>
  <c r="AD255" i="217" s="1"/>
  <c r="S255" i="217"/>
  <c r="R255" i="217"/>
  <c r="AE257" i="217"/>
  <c r="AC257" i="217"/>
  <c r="AD257" i="217" s="1"/>
  <c r="S257" i="217"/>
  <c r="R257" i="217"/>
  <c r="AE259" i="217"/>
  <c r="R259" i="217"/>
  <c r="AC259" i="217"/>
  <c r="AD259" i="217" s="1"/>
  <c r="AP259" i="217"/>
  <c r="AE261" i="217"/>
  <c r="AC261" i="217"/>
  <c r="AD261" i="217" s="1"/>
  <c r="S261" i="217"/>
  <c r="R261" i="217"/>
  <c r="AE263" i="217"/>
  <c r="AC263" i="217"/>
  <c r="AD263" i="217" s="1"/>
  <c r="S263" i="217"/>
  <c r="R263" i="217"/>
  <c r="AC268" i="217"/>
  <c r="AD268" i="217" s="1"/>
  <c r="S268" i="217"/>
  <c r="R268" i="217"/>
  <c r="AC270" i="217"/>
  <c r="AD270" i="217" s="1"/>
  <c r="AE270" i="217"/>
  <c r="S270" i="217"/>
  <c r="R270" i="217"/>
  <c r="AE291" i="217"/>
  <c r="AC291" i="217"/>
  <c r="AD291" i="217" s="1"/>
  <c r="S291" i="217"/>
  <c r="R291" i="217"/>
  <c r="AE321" i="217"/>
  <c r="AP321" i="217"/>
  <c r="AO321" i="217"/>
  <c r="AF331" i="217"/>
  <c r="AO331" i="217"/>
  <c r="AP331" i="217"/>
  <c r="R246" i="217"/>
  <c r="R247" i="217"/>
  <c r="R248" i="217"/>
  <c r="R249" i="217"/>
  <c r="R250" i="217"/>
  <c r="S251" i="217"/>
  <c r="AP258" i="217"/>
  <c r="AO259" i="217"/>
  <c r="R265" i="217"/>
  <c r="AP268" i="217"/>
  <c r="AP269" i="217"/>
  <c r="AC271" i="217"/>
  <c r="AD271" i="217" s="1"/>
  <c r="S271" i="217"/>
  <c r="R271" i="217"/>
  <c r="AE271" i="217"/>
  <c r="AC272" i="217"/>
  <c r="AD272" i="217" s="1"/>
  <c r="S272" i="217"/>
  <c r="R272" i="217"/>
  <c r="AE272" i="217"/>
  <c r="AC273" i="217"/>
  <c r="AD273" i="217" s="1"/>
  <c r="S273" i="217"/>
  <c r="R273" i="217"/>
  <c r="AE273" i="217"/>
  <c r="AC274" i="217"/>
  <c r="AD274" i="217" s="1"/>
  <c r="S274" i="217"/>
  <c r="R274" i="217"/>
  <c r="AE274" i="217"/>
  <c r="AC284" i="217"/>
  <c r="AD284" i="217" s="1"/>
  <c r="R284" i="217"/>
  <c r="AP291" i="217"/>
  <c r="S295" i="217"/>
  <c r="AE295" i="217"/>
  <c r="R295" i="217"/>
  <c r="AP295" i="217"/>
  <c r="AO314" i="217"/>
  <c r="AP314" i="217"/>
  <c r="AF314" i="217"/>
  <c r="R315" i="217"/>
  <c r="AE315" i="217"/>
  <c r="AE316" i="217"/>
  <c r="AP316" i="217"/>
  <c r="AO316" i="217"/>
  <c r="AF321" i="217"/>
  <c r="AC324" i="217"/>
  <c r="AD324" i="217" s="1"/>
  <c r="R324" i="217"/>
  <c r="S245" i="217"/>
  <c r="AO245" i="217"/>
  <c r="S246" i="217"/>
  <c r="AO246" i="217"/>
  <c r="S247" i="217"/>
  <c r="AO247" i="217"/>
  <c r="S248" i="217"/>
  <c r="AO248" i="217"/>
  <c r="S249" i="217"/>
  <c r="AO249" i="217"/>
  <c r="S250" i="217"/>
  <c r="AO250" i="217"/>
  <c r="S265" i="217"/>
  <c r="AP265" i="217"/>
  <c r="AP270" i="217"/>
  <c r="AP271" i="217"/>
  <c r="AP272" i="217"/>
  <c r="AP273" i="217"/>
  <c r="AP274" i="217"/>
  <c r="R286" i="217"/>
  <c r="AE292" i="217"/>
  <c r="AC292" i="217"/>
  <c r="AD292" i="217" s="1"/>
  <c r="S292" i="217"/>
  <c r="R292" i="217"/>
  <c r="AO294" i="217"/>
  <c r="AP294" i="217"/>
  <c r="AF294" i="217"/>
  <c r="AF299" i="217"/>
  <c r="AP299" i="217"/>
  <c r="AO299" i="217"/>
  <c r="S307" i="217"/>
  <c r="AC307" i="217"/>
  <c r="AD307" i="217" s="1"/>
  <c r="AF316" i="217"/>
  <c r="AE324" i="217"/>
  <c r="AC325" i="217"/>
  <c r="AD325" i="217" s="1"/>
  <c r="AP325" i="217"/>
  <c r="S325" i="217"/>
  <c r="AE325" i="217"/>
  <c r="R325" i="217"/>
  <c r="AF336" i="217"/>
  <c r="AO336" i="217"/>
  <c r="AP336" i="217"/>
  <c r="AE269" i="217"/>
  <c r="R287" i="217"/>
  <c r="AC287" i="217"/>
  <c r="AD287" i="217" s="1"/>
  <c r="AP287" i="217"/>
  <c r="AE287" i="217"/>
  <c r="AE290" i="217"/>
  <c r="R290" i="217"/>
  <c r="AC290" i="217"/>
  <c r="AD290" i="217" s="1"/>
  <c r="AP290" i="217"/>
  <c r="R299" i="217"/>
  <c r="S299" i="217"/>
  <c r="AC299" i="217"/>
  <c r="AD299" i="217" s="1"/>
  <c r="AP307" i="217"/>
  <c r="S310" i="217"/>
  <c r="AC315" i="217"/>
  <c r="AD315" i="217" s="1"/>
  <c r="AF341" i="217"/>
  <c r="AP341" i="217"/>
  <c r="AO341" i="217"/>
  <c r="R275" i="217"/>
  <c r="R276" i="217"/>
  <c r="S283" i="217"/>
  <c r="AC283" i="217"/>
  <c r="AD283" i="217" s="1"/>
  <c r="R285" i="217"/>
  <c r="AF287" i="217"/>
  <c r="AO290" i="217"/>
  <c r="S297" i="217"/>
  <c r="AP315" i="217"/>
  <c r="S316" i="217"/>
  <c r="AP320" i="217"/>
  <c r="S321" i="217"/>
  <c r="AP324" i="217"/>
  <c r="AO327" i="217"/>
  <c r="AF334" i="217"/>
  <c r="AO334" i="217"/>
  <c r="AF337" i="217"/>
  <c r="AO337" i="217"/>
  <c r="AP337" i="217"/>
  <c r="AE339" i="217"/>
  <c r="R339" i="217"/>
  <c r="AF340" i="217"/>
  <c r="AO340" i="217"/>
  <c r="AE342" i="217"/>
  <c r="R342" i="217"/>
  <c r="S342" i="217"/>
  <c r="AC342" i="217"/>
  <c r="AD342" i="217" s="1"/>
  <c r="AE343" i="217"/>
  <c r="R343" i="217"/>
  <c r="AC343" i="217"/>
  <c r="AD343" i="217" s="1"/>
  <c r="AF344" i="217"/>
  <c r="AO344" i="217"/>
  <c r="AP345" i="217"/>
  <c r="R348" i="217"/>
  <c r="AC348" i="217"/>
  <c r="AD348" i="217" s="1"/>
  <c r="R349" i="217"/>
  <c r="AC349" i="217"/>
  <c r="AD349" i="217" s="1"/>
  <c r="AO270" i="217"/>
  <c r="S275" i="217"/>
  <c r="S276" i="217"/>
  <c r="S285" i="217"/>
  <c r="AO287" i="217"/>
  <c r="AP293" i="217"/>
  <c r="AC294" i="217"/>
  <c r="AD294" i="217" s="1"/>
  <c r="S294" i="217"/>
  <c r="AE296" i="217"/>
  <c r="AE297" i="217"/>
  <c r="S298" i="217"/>
  <c r="R298" i="217"/>
  <c r="AC298" i="217"/>
  <c r="AD298" i="217" s="1"/>
  <c r="AP298" i="217"/>
  <c r="AF307" i="217"/>
  <c r="AE308" i="217"/>
  <c r="AO309" i="217"/>
  <c r="AE327" i="217"/>
  <c r="R327" i="217"/>
  <c r="AC327" i="217"/>
  <c r="AD327" i="217" s="1"/>
  <c r="S327" i="217"/>
  <c r="R332" i="217"/>
  <c r="AF332" i="217"/>
  <c r="AO332" i="217"/>
  <c r="R335" i="217"/>
  <c r="AF335" i="217"/>
  <c r="AO335" i="217"/>
  <c r="AP335" i="217"/>
  <c r="AC339" i="217"/>
  <c r="AD339" i="217" s="1"/>
  <c r="AP340" i="217"/>
  <c r="AE344" i="217"/>
  <c r="R344" i="217"/>
  <c r="S344" i="217"/>
  <c r="AC344" i="217"/>
  <c r="AD344" i="217" s="1"/>
  <c r="AE345" i="217"/>
  <c r="R345" i="217"/>
  <c r="AC345" i="217"/>
  <c r="AD345" i="217" s="1"/>
  <c r="AF346" i="217"/>
  <c r="AO346" i="217"/>
  <c r="S348" i="217"/>
  <c r="S349" i="217"/>
  <c r="AF293" i="217"/>
  <c r="R294" i="217"/>
  <c r="AO295" i="217"/>
  <c r="AO296" i="217"/>
  <c r="AF297" i="217"/>
  <c r="AE307" i="217"/>
  <c r="AO308" i="217"/>
  <c r="AF309" i="217"/>
  <c r="R311" i="217"/>
  <c r="AE311" i="217"/>
  <c r="S312" i="217"/>
  <c r="AC317" i="217"/>
  <c r="AD317" i="217" s="1"/>
  <c r="R317" i="217"/>
  <c r="R322" i="217"/>
  <c r="AP322" i="217"/>
  <c r="AF322" i="217"/>
  <c r="AC322" i="217"/>
  <c r="AD322" i="217" s="1"/>
  <c r="AC323" i="217"/>
  <c r="AD323" i="217" s="1"/>
  <c r="S323" i="217"/>
  <c r="R323" i="217"/>
  <c r="AE323" i="217"/>
  <c r="AE328" i="217"/>
  <c r="AC328" i="217"/>
  <c r="AD328" i="217" s="1"/>
  <c r="R328" i="217"/>
  <c r="AP328" i="217"/>
  <c r="R330" i="217"/>
  <c r="AF330" i="217"/>
  <c r="AO330" i="217"/>
  <c r="R333" i="217"/>
  <c r="AF333" i="217"/>
  <c r="AO333" i="217"/>
  <c r="AP333" i="217"/>
  <c r="AF338" i="217"/>
  <c r="AP338" i="217"/>
  <c r="AO338" i="217"/>
  <c r="AO339" i="217"/>
  <c r="AO343" i="217"/>
  <c r="AE346" i="217"/>
  <c r="R346" i="217"/>
  <c r="S346" i="217"/>
  <c r="AC346" i="217"/>
  <c r="AD346" i="217" s="1"/>
  <c r="AE347" i="217"/>
  <c r="R347" i="217"/>
  <c r="AP347" i="217"/>
  <c r="AO347" i="217"/>
  <c r="AF347" i="217"/>
  <c r="S309" i="217"/>
  <c r="S314" i="217"/>
  <c r="AC329" i="217"/>
  <c r="AD329" i="217" s="1"/>
  <c r="R329" i="217"/>
  <c r="AP348" i="217"/>
  <c r="AP349" i="217"/>
  <c r="S330" i="217"/>
  <c r="AC330" i="217"/>
  <c r="AD330" i="217" s="1"/>
  <c r="S331" i="217"/>
  <c r="AC331" i="217"/>
  <c r="AD331" i="217" s="1"/>
  <c r="S332" i="217"/>
  <c r="AC332" i="217"/>
  <c r="AD332" i="217" s="1"/>
  <c r="S333" i="217"/>
  <c r="AC333" i="217"/>
  <c r="AD333" i="217" s="1"/>
  <c r="S334" i="217"/>
  <c r="AC334" i="217"/>
  <c r="AD334" i="217" s="1"/>
  <c r="S335" i="217"/>
  <c r="AC335" i="217"/>
  <c r="AD335" i="217" s="1"/>
  <c r="S336" i="217"/>
  <c r="AC336" i="217"/>
  <c r="AD336" i="217" s="1"/>
  <c r="S337" i="217"/>
  <c r="AC337" i="217"/>
  <c r="AD337" i="217" s="1"/>
  <c r="S338" i="217"/>
  <c r="S340" i="217"/>
  <c r="R338" i="217"/>
  <c r="R340" i="217"/>
  <c r="N73" i="216"/>
  <c r="M73" i="216"/>
  <c r="L73" i="216"/>
  <c r="K73" i="216"/>
  <c r="J73" i="216"/>
  <c r="I73" i="216"/>
  <c r="N72" i="216"/>
  <c r="M72" i="216"/>
  <c r="L72" i="216"/>
  <c r="K72" i="216"/>
  <c r="J72" i="216"/>
  <c r="I72" i="216"/>
  <c r="N71" i="216"/>
  <c r="M71" i="216"/>
  <c r="L71" i="216"/>
  <c r="K71" i="216"/>
  <c r="J71" i="216"/>
  <c r="I71" i="216"/>
  <c r="G66" i="216"/>
  <c r="F66" i="216"/>
  <c r="E66" i="216"/>
  <c r="D66" i="216"/>
  <c r="C66" i="216"/>
  <c r="B66" i="216"/>
  <c r="G65" i="216"/>
  <c r="F65" i="216"/>
  <c r="E65" i="216"/>
  <c r="D65" i="216"/>
  <c r="C65" i="216"/>
  <c r="B65" i="216"/>
  <c r="N64" i="216"/>
  <c r="M64" i="216"/>
  <c r="L64" i="216"/>
  <c r="K64" i="216"/>
  <c r="J64" i="216"/>
  <c r="I64" i="216"/>
  <c r="N63" i="216"/>
  <c r="M63" i="216"/>
  <c r="L63" i="216"/>
  <c r="K63" i="216"/>
  <c r="J63" i="216"/>
  <c r="I63" i="216"/>
  <c r="G62" i="216"/>
  <c r="F62" i="216"/>
  <c r="E62" i="216"/>
  <c r="D62" i="216"/>
  <c r="C62" i="216"/>
  <c r="B62" i="216"/>
  <c r="G61" i="216"/>
  <c r="F61" i="216"/>
  <c r="E61" i="216"/>
  <c r="D61" i="216"/>
  <c r="C61" i="216"/>
  <c r="B61" i="216"/>
  <c r="N60" i="216"/>
  <c r="M60" i="216"/>
  <c r="L60" i="216"/>
  <c r="K60" i="216"/>
  <c r="J60" i="216"/>
  <c r="I60" i="216"/>
  <c r="N59" i="216"/>
  <c r="M59" i="216"/>
  <c r="L59" i="216"/>
  <c r="K59" i="216"/>
  <c r="J59" i="216"/>
  <c r="I59" i="216"/>
  <c r="G58" i="216"/>
  <c r="F58" i="216"/>
  <c r="E58" i="216"/>
  <c r="D58" i="216"/>
  <c r="C58" i="216"/>
  <c r="B58" i="216"/>
  <c r="G57" i="216"/>
  <c r="F57" i="216"/>
  <c r="E57" i="216"/>
  <c r="D57" i="216"/>
  <c r="C57" i="216"/>
  <c r="B57" i="216"/>
  <c r="N56" i="216"/>
  <c r="M56" i="216"/>
  <c r="L56" i="216"/>
  <c r="K56" i="216"/>
  <c r="J56" i="216"/>
  <c r="I56" i="216"/>
  <c r="N55" i="216"/>
  <c r="M55" i="216"/>
  <c r="L55" i="216"/>
  <c r="K55" i="216"/>
  <c r="J55" i="216"/>
  <c r="I55" i="216"/>
  <c r="G54" i="216"/>
  <c r="F54" i="216"/>
  <c r="E54" i="216"/>
  <c r="D54" i="216"/>
  <c r="C54" i="216"/>
  <c r="B54" i="216"/>
  <c r="N53" i="216"/>
  <c r="M53" i="216"/>
  <c r="L53" i="216"/>
  <c r="K53" i="216"/>
  <c r="J53" i="216"/>
  <c r="I53" i="216"/>
  <c r="N52" i="216"/>
  <c r="M52" i="216"/>
  <c r="L52" i="216"/>
  <c r="K52" i="216"/>
  <c r="J52" i="216"/>
  <c r="I52" i="216"/>
  <c r="L51" i="216"/>
  <c r="K51" i="216"/>
  <c r="G51" i="216"/>
  <c r="F51" i="216"/>
  <c r="E51" i="216"/>
  <c r="D51" i="216"/>
  <c r="C51" i="216"/>
  <c r="J51" i="216" s="1"/>
  <c r="B51" i="216"/>
  <c r="I51" i="216" s="1"/>
  <c r="L50" i="216"/>
  <c r="K50" i="216"/>
  <c r="J50" i="216"/>
  <c r="I50" i="216"/>
  <c r="E49" i="216"/>
  <c r="D49" i="216"/>
  <c r="G48" i="216"/>
  <c r="G49" i="216" s="1"/>
  <c r="F48" i="216"/>
  <c r="F49" i="216" s="1"/>
  <c r="E48" i="216"/>
  <c r="D48" i="216"/>
  <c r="C48" i="216"/>
  <c r="C49" i="216" s="1"/>
  <c r="B48" i="216"/>
  <c r="B49" i="216" s="1"/>
  <c r="L47" i="216"/>
  <c r="K47" i="216"/>
  <c r="G47" i="216"/>
  <c r="N47" i="216" s="1"/>
  <c r="F47" i="216"/>
  <c r="M47" i="216" s="1"/>
  <c r="E47" i="216"/>
  <c r="D47" i="216"/>
  <c r="C47" i="216"/>
  <c r="J47" i="216" s="1"/>
  <c r="B47" i="216"/>
  <c r="I47" i="216" s="1"/>
  <c r="G46" i="216"/>
  <c r="F46" i="216"/>
  <c r="E46" i="216"/>
  <c r="D46" i="216"/>
  <c r="C46" i="216"/>
  <c r="B46" i="216"/>
  <c r="N45" i="216"/>
  <c r="M45" i="216"/>
  <c r="L45" i="216"/>
  <c r="K45" i="216"/>
  <c r="J45" i="216"/>
  <c r="I45" i="216"/>
  <c r="N44" i="216"/>
  <c r="M44" i="216"/>
  <c r="L44" i="216"/>
  <c r="K44" i="216"/>
  <c r="J44" i="216"/>
  <c r="I44" i="216"/>
  <c r="G43" i="216"/>
  <c r="F43" i="216"/>
  <c r="E43" i="216"/>
  <c r="D43" i="216"/>
  <c r="C43" i="216"/>
  <c r="B43" i="216"/>
  <c r="N42" i="216"/>
  <c r="M42" i="216"/>
  <c r="L42" i="216"/>
  <c r="K42" i="216"/>
  <c r="J42" i="216"/>
  <c r="I42" i="216"/>
  <c r="N41" i="216"/>
  <c r="M41" i="216"/>
  <c r="L41" i="216"/>
  <c r="K41" i="216"/>
  <c r="J41" i="216"/>
  <c r="I41" i="216"/>
  <c r="G40" i="216"/>
  <c r="F40" i="216"/>
  <c r="E40" i="216"/>
  <c r="D40" i="216"/>
  <c r="C40" i="216"/>
  <c r="B40" i="216"/>
  <c r="G39" i="216"/>
  <c r="F39" i="216"/>
  <c r="E39" i="216"/>
  <c r="D39" i="216"/>
  <c r="C39" i="216"/>
  <c r="B39" i="216"/>
  <c r="G38" i="216"/>
  <c r="F38" i="216"/>
  <c r="E38" i="216"/>
  <c r="D38" i="216"/>
  <c r="C38" i="216"/>
  <c r="B38" i="216"/>
  <c r="N37" i="216"/>
  <c r="M37" i="216"/>
  <c r="L37" i="216"/>
  <c r="K37" i="216"/>
  <c r="J37" i="216"/>
  <c r="I37" i="216"/>
  <c r="N36" i="216"/>
  <c r="M36" i="216"/>
  <c r="L36" i="216"/>
  <c r="K36" i="216"/>
  <c r="J36" i="216"/>
  <c r="I36" i="216"/>
  <c r="G35" i="216"/>
  <c r="F35" i="216"/>
  <c r="E35" i="216"/>
  <c r="D35" i="216"/>
  <c r="C35" i="216"/>
  <c r="B35" i="216"/>
  <c r="N34" i="216"/>
  <c r="M34" i="216"/>
  <c r="L34" i="216"/>
  <c r="K34" i="216"/>
  <c r="J34" i="216"/>
  <c r="I34" i="216"/>
  <c r="N33" i="216"/>
  <c r="M33" i="216"/>
  <c r="L33" i="216"/>
  <c r="K33" i="216"/>
  <c r="J33" i="216"/>
  <c r="I33" i="216"/>
  <c r="G32" i="216"/>
  <c r="F32" i="216"/>
  <c r="E32" i="216"/>
  <c r="D32" i="216"/>
  <c r="C32" i="216"/>
  <c r="B32" i="216"/>
  <c r="N31" i="216"/>
  <c r="M31" i="216"/>
  <c r="L31" i="216"/>
  <c r="K31" i="216"/>
  <c r="J31" i="216"/>
  <c r="I31" i="216"/>
  <c r="N30" i="216"/>
  <c r="M30" i="216"/>
  <c r="L30" i="216"/>
  <c r="K30" i="216"/>
  <c r="J30" i="216"/>
  <c r="I30" i="216"/>
  <c r="E28" i="216"/>
  <c r="D28" i="216"/>
  <c r="G27" i="216"/>
  <c r="G29" i="216" s="1"/>
  <c r="F27" i="216"/>
  <c r="F29" i="216" s="1"/>
  <c r="E27" i="216"/>
  <c r="E29" i="216" s="1"/>
  <c r="D27" i="216"/>
  <c r="D29" i="216" s="1"/>
  <c r="C27" i="216"/>
  <c r="C29" i="216" s="1"/>
  <c r="B27" i="216"/>
  <c r="B29" i="216" s="1"/>
  <c r="L26" i="216"/>
  <c r="K26" i="216"/>
  <c r="G26" i="216"/>
  <c r="G28" i="216" s="1"/>
  <c r="F26" i="216"/>
  <c r="F28" i="216" s="1"/>
  <c r="E26" i="216"/>
  <c r="D26" i="216"/>
  <c r="C26" i="216"/>
  <c r="C28" i="216" s="1"/>
  <c r="B26" i="216"/>
  <c r="B28" i="216" s="1"/>
  <c r="G25" i="216"/>
  <c r="F25" i="216"/>
  <c r="E25" i="216"/>
  <c r="D25" i="216"/>
  <c r="C25" i="216"/>
  <c r="B25" i="216"/>
  <c r="N24" i="216"/>
  <c r="M24" i="216"/>
  <c r="L24" i="216"/>
  <c r="K24" i="216"/>
  <c r="J24" i="216"/>
  <c r="I24" i="216"/>
  <c r="N23" i="216"/>
  <c r="M23" i="216"/>
  <c r="L23" i="216"/>
  <c r="K23" i="216"/>
  <c r="J23" i="216"/>
  <c r="I23" i="216"/>
  <c r="N22" i="216"/>
  <c r="M22" i="216"/>
  <c r="L22" i="216"/>
  <c r="K22" i="216"/>
  <c r="J22" i="216"/>
  <c r="I22" i="216"/>
  <c r="N21" i="216"/>
  <c r="M21" i="216"/>
  <c r="L21" i="216"/>
  <c r="K21" i="216"/>
  <c r="J21" i="216"/>
  <c r="I21" i="216"/>
  <c r="G20" i="216"/>
  <c r="F20" i="216"/>
  <c r="E20" i="216"/>
  <c r="D20" i="216"/>
  <c r="C20" i="216"/>
  <c r="B20" i="216"/>
  <c r="N19" i="216"/>
  <c r="M19" i="216"/>
  <c r="L19" i="216"/>
  <c r="K19" i="216"/>
  <c r="J19" i="216"/>
  <c r="I19" i="216"/>
  <c r="N18" i="216"/>
  <c r="M18" i="216"/>
  <c r="L18" i="216"/>
  <c r="K18" i="216"/>
  <c r="J18" i="216"/>
  <c r="I18" i="216"/>
  <c r="N17" i="216"/>
  <c r="M17" i="216"/>
  <c r="L17" i="216"/>
  <c r="K17" i="216"/>
  <c r="J17" i="216"/>
  <c r="I17" i="216"/>
  <c r="N16" i="216"/>
  <c r="M16" i="216"/>
  <c r="L16" i="216"/>
  <c r="K16" i="216"/>
  <c r="J16" i="216"/>
  <c r="I16" i="216"/>
  <c r="G15" i="216"/>
  <c r="F15" i="216"/>
  <c r="E15" i="216"/>
  <c r="D15" i="216"/>
  <c r="C15" i="216"/>
  <c r="B15" i="216"/>
  <c r="G13" i="216"/>
  <c r="F13" i="216"/>
  <c r="E13" i="216"/>
  <c r="D13" i="216"/>
  <c r="C13" i="216"/>
  <c r="B13" i="216"/>
  <c r="N12" i="216"/>
  <c r="M12" i="216"/>
  <c r="L12" i="216"/>
  <c r="K12" i="216"/>
  <c r="J12" i="216"/>
  <c r="I12" i="216"/>
  <c r="N11" i="216"/>
  <c r="M11" i="216"/>
  <c r="L11" i="216"/>
  <c r="K11" i="216"/>
  <c r="J11" i="216"/>
  <c r="I11" i="216"/>
  <c r="N10" i="216"/>
  <c r="M10" i="216"/>
  <c r="J10" i="216"/>
  <c r="I10" i="216"/>
  <c r="G10" i="216"/>
  <c r="F10" i="216"/>
  <c r="E10" i="216"/>
  <c r="D10" i="216"/>
  <c r="C10" i="216"/>
  <c r="B10" i="216"/>
  <c r="N9" i="216"/>
  <c r="M9" i="216"/>
  <c r="L9" i="216"/>
  <c r="K9" i="216"/>
  <c r="J9" i="216"/>
  <c r="I9" i="216"/>
  <c r="N8" i="216"/>
  <c r="M8" i="216"/>
  <c r="L8" i="216"/>
  <c r="L10" i="216" s="1"/>
  <c r="K8" i="216"/>
  <c r="K10" i="216" s="1"/>
  <c r="J8" i="216"/>
  <c r="I8" i="216"/>
  <c r="N7" i="216"/>
  <c r="N68" i="216" s="1"/>
  <c r="M7" i="216"/>
  <c r="M68" i="216" s="1"/>
  <c r="L7" i="216"/>
  <c r="L69" i="216" s="1"/>
  <c r="K7" i="216"/>
  <c r="K69" i="216" s="1"/>
  <c r="J7" i="216"/>
  <c r="J68" i="216" s="1"/>
  <c r="I7" i="216"/>
  <c r="I68" i="216" s="1"/>
  <c r="N6" i="216"/>
  <c r="M6" i="216"/>
  <c r="L6" i="216"/>
  <c r="K6" i="216"/>
  <c r="J6" i="216"/>
  <c r="I6" i="216"/>
  <c r="N5" i="216"/>
  <c r="M5" i="216"/>
  <c r="L5" i="216"/>
  <c r="K5" i="216"/>
  <c r="J5" i="216"/>
  <c r="I5" i="216"/>
  <c r="L4" i="216"/>
  <c r="L67" i="216" s="1"/>
  <c r="K4" i="216"/>
  <c r="K67" i="216" s="1"/>
  <c r="G4" i="216"/>
  <c r="G14" i="216" s="1"/>
  <c r="F4" i="216"/>
  <c r="F14" i="216" s="1"/>
  <c r="E4" i="216"/>
  <c r="E14" i="216" s="1"/>
  <c r="D4" i="216"/>
  <c r="D14" i="216" s="1"/>
  <c r="C4" i="216"/>
  <c r="C14" i="216" s="1"/>
  <c r="B4" i="216"/>
  <c r="B14" i="216" s="1"/>
  <c r="N3" i="216"/>
  <c r="M3" i="216"/>
  <c r="L3" i="216"/>
  <c r="K3" i="216"/>
  <c r="J3" i="216"/>
  <c r="I3" i="216"/>
  <c r="BZ63" i="205"/>
  <c r="BV63" i="205"/>
  <c r="BF63" i="205"/>
  <c r="BC63" i="205"/>
  <c r="BX63" i="205" s="1"/>
  <c r="BA63" i="205"/>
  <c r="AE63" i="205"/>
  <c r="AD63" i="205"/>
  <c r="AC63" i="205"/>
  <c r="Z63" i="205"/>
  <c r="Y63" i="205"/>
  <c r="X63" i="205"/>
  <c r="W63" i="205"/>
  <c r="Q63" i="205"/>
  <c r="AB63" i="205" s="1"/>
  <c r="P63" i="205"/>
  <c r="AA63" i="205" s="1"/>
  <c r="M63" i="205"/>
  <c r="J63" i="205"/>
  <c r="AT61" i="205"/>
  <c r="AC61" i="205"/>
  <c r="BC57" i="205"/>
  <c r="BA57" i="205"/>
  <c r="AC57" i="205"/>
  <c r="Z57" i="205"/>
  <c r="X57" i="205"/>
  <c r="P57" i="205"/>
  <c r="AA57" i="205" s="1"/>
  <c r="M57" i="205"/>
  <c r="Y57" i="205" s="1"/>
  <c r="J57" i="205"/>
  <c r="BA56" i="205"/>
  <c r="BC56" i="205" s="1"/>
  <c r="AD56" i="205"/>
  <c r="AA56" i="205"/>
  <c r="Z56" i="205"/>
  <c r="Y56" i="205"/>
  <c r="W56" i="205"/>
  <c r="P56" i="205"/>
  <c r="M56" i="205"/>
  <c r="J56" i="205"/>
  <c r="AC56" i="205" s="1"/>
  <c r="BC55" i="205"/>
  <c r="BA55" i="205"/>
  <c r="AE55" i="205"/>
  <c r="Z55" i="205"/>
  <c r="P55" i="205"/>
  <c r="AA55" i="205" s="1"/>
  <c r="M55" i="205"/>
  <c r="Y55" i="205" s="1"/>
  <c r="J55" i="205"/>
  <c r="AD55" i="205" s="1"/>
  <c r="BF54" i="205"/>
  <c r="BA54" i="205"/>
  <c r="BC54" i="205" s="1"/>
  <c r="BZ54" i="205" s="1"/>
  <c r="AD54" i="205"/>
  <c r="Z54" i="205"/>
  <c r="Q54" i="205"/>
  <c r="AB54" i="205" s="1"/>
  <c r="P54" i="205"/>
  <c r="AA54" i="205" s="1"/>
  <c r="M54" i="205"/>
  <c r="AC54" i="205" s="1"/>
  <c r="J54" i="205"/>
  <c r="AE54" i="205" s="1"/>
  <c r="BZ53" i="205"/>
  <c r="BC53" i="205"/>
  <c r="BF53" i="205" s="1"/>
  <c r="Q53" i="205" s="1"/>
  <c r="BA53" i="205"/>
  <c r="Z53" i="205"/>
  <c r="Y53" i="205"/>
  <c r="P53" i="205"/>
  <c r="M53" i="205"/>
  <c r="J53" i="205"/>
  <c r="CY52" i="205"/>
  <c r="BC52" i="205"/>
  <c r="BA52" i="205"/>
  <c r="AC52" i="205"/>
  <c r="P52" i="205"/>
  <c r="M52" i="205"/>
  <c r="J52" i="205"/>
  <c r="BZ51" i="205"/>
  <c r="BY51" i="205"/>
  <c r="BX51" i="205"/>
  <c r="BW51" i="205"/>
  <c r="BV51" i="205"/>
  <c r="BU51" i="205"/>
  <c r="BT51" i="205"/>
  <c r="BS51" i="205"/>
  <c r="BF51" i="205"/>
  <c r="AQ51" i="205"/>
  <c r="AA51" i="205"/>
  <c r="Z51" i="205"/>
  <c r="Y51" i="205"/>
  <c r="Q51" i="205"/>
  <c r="AB51" i="205" s="1"/>
  <c r="P51" i="205"/>
  <c r="M51" i="205"/>
  <c r="J51" i="205"/>
  <c r="BC50" i="205"/>
  <c r="BF50" i="205" s="1"/>
  <c r="Q50" i="205" s="1"/>
  <c r="AB50" i="205" s="1"/>
  <c r="BA50" i="205"/>
  <c r="Z50" i="205"/>
  <c r="Y50" i="205"/>
  <c r="P50" i="205"/>
  <c r="AA50" i="205" s="1"/>
  <c r="M50" i="205"/>
  <c r="J50" i="205"/>
  <c r="AC50" i="205" s="1"/>
  <c r="BC49" i="205"/>
  <c r="BF49" i="205" s="1"/>
  <c r="Q49" i="205" s="1"/>
  <c r="AB49" i="205" s="1"/>
  <c r="BA49" i="205"/>
  <c r="AC49" i="205"/>
  <c r="Z49" i="205"/>
  <c r="Y49" i="205"/>
  <c r="W49" i="205"/>
  <c r="P49" i="205"/>
  <c r="AA49" i="205" s="1"/>
  <c r="M49" i="205"/>
  <c r="J49" i="205"/>
  <c r="AA46" i="205"/>
  <c r="Z46" i="205"/>
  <c r="W46" i="205"/>
  <c r="P46" i="205"/>
  <c r="M46" i="205"/>
  <c r="J46" i="205"/>
  <c r="BF44" i="205"/>
  <c r="Q44" i="205" s="1"/>
  <c r="AB44" i="205" s="1"/>
  <c r="BA44" i="205"/>
  <c r="BC44" i="205" s="1"/>
  <c r="AD44" i="205"/>
  <c r="X44" i="205"/>
  <c r="P44" i="205"/>
  <c r="AA44" i="205" s="1"/>
  <c r="M44" i="205"/>
  <c r="J44" i="205"/>
  <c r="AC44" i="205" s="1"/>
  <c r="BA43" i="205"/>
  <c r="BC43" i="205" s="1"/>
  <c r="O43" i="205"/>
  <c r="L43" i="205"/>
  <c r="M43" i="205" s="1"/>
  <c r="G43" i="205"/>
  <c r="J43" i="205" s="1"/>
  <c r="DA41" i="205"/>
  <c r="CZ41" i="205"/>
  <c r="CY41" i="205"/>
  <c r="BT41" i="205"/>
  <c r="BA41" i="205"/>
  <c r="BC41" i="205" s="1"/>
  <c r="BV41" i="205" s="1"/>
  <c r="AM41" i="205"/>
  <c r="AL41" i="205"/>
  <c r="AK41" i="205"/>
  <c r="AB41" i="205"/>
  <c r="Y41" i="205"/>
  <c r="Q41" i="205"/>
  <c r="O41" i="205"/>
  <c r="N41" i="205"/>
  <c r="L41" i="205"/>
  <c r="M41" i="205" s="1"/>
  <c r="K41" i="205"/>
  <c r="J41" i="205"/>
  <c r="I41" i="205"/>
  <c r="AE41" i="205" s="1"/>
  <c r="G41" i="205"/>
  <c r="BG40" i="205"/>
  <c r="BH40" i="205" s="1"/>
  <c r="BC40" i="205"/>
  <c r="BF40" i="205" s="1"/>
  <c r="BA40" i="205"/>
  <c r="AL40" i="205"/>
  <c r="AM40" i="205" s="1"/>
  <c r="AD40" i="205"/>
  <c r="AB40" i="205"/>
  <c r="Z40" i="205"/>
  <c r="X40" i="205"/>
  <c r="P40" i="205"/>
  <c r="AA40" i="205" s="1"/>
  <c r="M40" i="205"/>
  <c r="Y40" i="205" s="1"/>
  <c r="J40" i="205"/>
  <c r="CT38" i="205"/>
  <c r="CS38" i="205"/>
  <c r="CR38" i="205"/>
  <c r="CQ38" i="205"/>
  <c r="CP38" i="205"/>
  <c r="CO38" i="205"/>
  <c r="CN38" i="205"/>
  <c r="CM38" i="205"/>
  <c r="CL38" i="205"/>
  <c r="BX38" i="205"/>
  <c r="BA38" i="205"/>
  <c r="BC38" i="205" s="1"/>
  <c r="AM38" i="205"/>
  <c r="AB38" i="205"/>
  <c r="Z38" i="205"/>
  <c r="M38" i="205"/>
  <c r="Y38" i="205" s="1"/>
  <c r="J38" i="205"/>
  <c r="BZ37" i="205"/>
  <c r="BA37" i="205"/>
  <c r="BC37" i="205" s="1"/>
  <c r="AM37" i="205"/>
  <c r="AL37" i="205"/>
  <c r="AE37" i="205"/>
  <c r="AA37" i="205"/>
  <c r="Z37" i="205"/>
  <c r="Y37" i="205"/>
  <c r="W37" i="205"/>
  <c r="P37" i="205"/>
  <c r="M37" i="205"/>
  <c r="AC37" i="205" s="1"/>
  <c r="AS37" i="205" s="1"/>
  <c r="J37" i="205"/>
  <c r="AD37" i="205" s="1"/>
  <c r="CY36" i="205"/>
  <c r="BU36" i="205"/>
  <c r="BC36" i="205"/>
  <c r="BW36" i="205" s="1"/>
  <c r="BA36" i="205"/>
  <c r="AL36" i="205"/>
  <c r="Z36" i="205"/>
  <c r="Y36" i="205"/>
  <c r="P36" i="205"/>
  <c r="AA36" i="205" s="1"/>
  <c r="M36" i="205"/>
  <c r="J36" i="205"/>
  <c r="AC36" i="205" s="1"/>
  <c r="AS36" i="205" s="1"/>
  <c r="BW35" i="205"/>
  <c r="BS35" i="205"/>
  <c r="BC35" i="205"/>
  <c r="BA35" i="205"/>
  <c r="AL35" i="205"/>
  <c r="AM35" i="205" s="1"/>
  <c r="AD35" i="205"/>
  <c r="Z35" i="205"/>
  <c r="X35" i="205"/>
  <c r="P35" i="205"/>
  <c r="AA35" i="205" s="1"/>
  <c r="M35" i="205"/>
  <c r="Y35" i="205" s="1"/>
  <c r="J35" i="205"/>
  <c r="AC35" i="205" s="1"/>
  <c r="AS35" i="205" s="1"/>
  <c r="BC34" i="205"/>
  <c r="BA34" i="205"/>
  <c r="AL34" i="205"/>
  <c r="AM34" i="205" s="1"/>
  <c r="Z34" i="205"/>
  <c r="P34" i="205"/>
  <c r="AA34" i="205" s="1"/>
  <c r="M34" i="205"/>
  <c r="J34" i="205"/>
  <c r="AE34" i="205" s="1"/>
  <c r="BT33" i="205"/>
  <c r="BA33" i="205"/>
  <c r="BC33" i="205" s="1"/>
  <c r="AM33" i="205"/>
  <c r="AL33" i="205"/>
  <c r="Y33" i="205"/>
  <c r="N33" i="205"/>
  <c r="P33" i="205" s="1"/>
  <c r="M33" i="205"/>
  <c r="K33" i="205"/>
  <c r="H33" i="205"/>
  <c r="Z33" i="205" s="1"/>
  <c r="G33" i="205"/>
  <c r="BZ31" i="205"/>
  <c r="BV31" i="205"/>
  <c r="BC31" i="205"/>
  <c r="BY31" i="205" s="1"/>
  <c r="BA31" i="205"/>
  <c r="AL31" i="205"/>
  <c r="AM31" i="205" s="1"/>
  <c r="AD31" i="205"/>
  <c r="Y31" i="205"/>
  <c r="R31" i="205"/>
  <c r="P31" i="205"/>
  <c r="AA31" i="205" s="1"/>
  <c r="M31" i="205"/>
  <c r="J31" i="205"/>
  <c r="BG31" i="205" s="1"/>
  <c r="BH31" i="205" s="1"/>
  <c r="BG29" i="205"/>
  <c r="BH29" i="205" s="1"/>
  <c r="BF29" i="205"/>
  <c r="BB29" i="205"/>
  <c r="BC29" i="205" s="1"/>
  <c r="BE29" i="205" s="1"/>
  <c r="AZ29" i="205"/>
  <c r="AY29" i="205"/>
  <c r="AX29" i="205"/>
  <c r="AW29" i="205"/>
  <c r="AV29" i="205"/>
  <c r="AU29" i="205"/>
  <c r="AT29" i="205"/>
  <c r="AQ29" i="205"/>
  <c r="AK29" i="205"/>
  <c r="AL29" i="205" s="1"/>
  <c r="AM29" i="205" s="1"/>
  <c r="X29" i="205"/>
  <c r="P29" i="205"/>
  <c r="AA29" i="205" s="1"/>
  <c r="M29" i="205"/>
  <c r="Y29" i="205" s="1"/>
  <c r="J29" i="205"/>
  <c r="BG28" i="205"/>
  <c r="BH28" i="205" s="1"/>
  <c r="BF28" i="205"/>
  <c r="BE28" i="205"/>
  <c r="BB28" i="205"/>
  <c r="BC28" i="205" s="1"/>
  <c r="AZ28" i="205"/>
  <c r="AY28" i="205"/>
  <c r="AX28" i="205"/>
  <c r="AW28" i="205"/>
  <c r="AV28" i="205"/>
  <c r="AU28" i="205"/>
  <c r="AT28" i="205"/>
  <c r="AL28" i="205"/>
  <c r="AM28" i="205" s="1"/>
  <c r="AK28" i="205"/>
  <c r="AA28" i="205"/>
  <c r="W28" i="205"/>
  <c r="P28" i="205"/>
  <c r="M28" i="205"/>
  <c r="J28" i="205"/>
  <c r="AB28" i="205" s="1"/>
  <c r="BF27" i="205"/>
  <c r="BE27" i="205" s="1"/>
  <c r="BC27" i="205"/>
  <c r="BB27" i="205"/>
  <c r="AZ27" i="205"/>
  <c r="AY27" i="205"/>
  <c r="AX27" i="205"/>
  <c r="AW27" i="205"/>
  <c r="AV27" i="205"/>
  <c r="AU27" i="205"/>
  <c r="AT27" i="205"/>
  <c r="AM27" i="205"/>
  <c r="AK27" i="205"/>
  <c r="AL27" i="205" s="1"/>
  <c r="AD27" i="205"/>
  <c r="Z27" i="205"/>
  <c r="P27" i="205"/>
  <c r="AA27" i="205" s="1"/>
  <c r="M27" i="205"/>
  <c r="Y27" i="205" s="1"/>
  <c r="J27" i="205"/>
  <c r="AC27" i="205" s="1"/>
  <c r="AS27" i="205" s="1"/>
  <c r="BF26" i="205"/>
  <c r="BE26" i="205"/>
  <c r="BC26" i="205"/>
  <c r="AT26" i="205"/>
  <c r="AK26" i="205"/>
  <c r="AL26" i="205" s="1"/>
  <c r="AM26" i="205" s="1"/>
  <c r="X26" i="205"/>
  <c r="P26" i="205"/>
  <c r="M26" i="205"/>
  <c r="Y26" i="205" s="1"/>
  <c r="J26" i="205"/>
  <c r="BG26" i="205" s="1"/>
  <c r="BH26" i="205" s="1"/>
  <c r="BG25" i="205"/>
  <c r="BH25" i="205" s="1"/>
  <c r="BF25" i="205"/>
  <c r="BE25" i="205"/>
  <c r="BB25" i="205"/>
  <c r="BC25" i="205" s="1"/>
  <c r="AZ25" i="205"/>
  <c r="AY25" i="205"/>
  <c r="AX25" i="205"/>
  <c r="AW25" i="205"/>
  <c r="AV25" i="205"/>
  <c r="AU25" i="205"/>
  <c r="AT25" i="205"/>
  <c r="AL25" i="205"/>
  <c r="AM25" i="205" s="1"/>
  <c r="AK25" i="205"/>
  <c r="AA25" i="205"/>
  <c r="W25" i="205"/>
  <c r="P25" i="205"/>
  <c r="M25" i="205"/>
  <c r="J25" i="205"/>
  <c r="AB25" i="205" s="1"/>
  <c r="BF24" i="205"/>
  <c r="BE24" i="205" s="1"/>
  <c r="BC24" i="205"/>
  <c r="BB24" i="205"/>
  <c r="AZ24" i="205"/>
  <c r="AY24" i="205"/>
  <c r="AX24" i="205"/>
  <c r="AW24" i="205"/>
  <c r="AV24" i="205"/>
  <c r="AU24" i="205"/>
  <c r="AT24" i="205"/>
  <c r="AM24" i="205"/>
  <c r="AK24" i="205"/>
  <c r="AL24" i="205" s="1"/>
  <c r="AD24" i="205"/>
  <c r="X24" i="205"/>
  <c r="P24" i="205"/>
  <c r="AA24" i="205" s="1"/>
  <c r="M24" i="205"/>
  <c r="Y24" i="205" s="1"/>
  <c r="J24" i="205"/>
  <c r="BG23" i="205"/>
  <c r="BH23" i="205" s="1"/>
  <c r="BF23" i="205"/>
  <c r="BE23" i="205"/>
  <c r="BB23" i="205"/>
  <c r="BC23" i="205" s="1"/>
  <c r="AZ23" i="205"/>
  <c r="AY23" i="205"/>
  <c r="AX23" i="205"/>
  <c r="AW23" i="205"/>
  <c r="AV23" i="205"/>
  <c r="AU23" i="205"/>
  <c r="AT23" i="205"/>
  <c r="AL23" i="205"/>
  <c r="AM23" i="205" s="1"/>
  <c r="AK23" i="205"/>
  <c r="AA23" i="205"/>
  <c r="W23" i="205"/>
  <c r="P23" i="205"/>
  <c r="M23" i="205"/>
  <c r="J23" i="205"/>
  <c r="BF22" i="205"/>
  <c r="BC22" i="205"/>
  <c r="BB22" i="205"/>
  <c r="AZ22" i="205"/>
  <c r="AY22" i="205"/>
  <c r="AX22" i="205"/>
  <c r="AW22" i="205"/>
  <c r="AV22" i="205"/>
  <c r="AU22" i="205"/>
  <c r="AT22" i="205"/>
  <c r="AK22" i="205"/>
  <c r="AL22" i="205" s="1"/>
  <c r="AM22" i="205" s="1"/>
  <c r="AB22" i="205"/>
  <c r="X22" i="205"/>
  <c r="P22" i="205"/>
  <c r="M22" i="205"/>
  <c r="Y22" i="205" s="1"/>
  <c r="J22" i="205"/>
  <c r="AD22" i="205" s="1"/>
  <c r="BC20" i="205"/>
  <c r="BF20" i="205" s="1"/>
  <c r="BA20" i="205"/>
  <c r="AL20" i="205"/>
  <c r="P20" i="205"/>
  <c r="O20" i="205"/>
  <c r="M20" i="205"/>
  <c r="Y20" i="205" s="1"/>
  <c r="I20" i="205"/>
  <c r="H20" i="205"/>
  <c r="G20" i="205"/>
  <c r="BW19" i="205"/>
  <c r="BS19" i="205"/>
  <c r="BC19" i="205"/>
  <c r="BU19" i="205" s="1"/>
  <c r="BA19" i="205"/>
  <c r="AQ19" i="205"/>
  <c r="AM19" i="205"/>
  <c r="AL19" i="205"/>
  <c r="AK19" i="205"/>
  <c r="AD19" i="205"/>
  <c r="Z19" i="205"/>
  <c r="P19" i="205"/>
  <c r="AA19" i="205" s="1"/>
  <c r="M19" i="205"/>
  <c r="Y19" i="205" s="1"/>
  <c r="J19" i="205"/>
  <c r="X19" i="205" s="1"/>
  <c r="AC18" i="205"/>
  <c r="AS18" i="205" s="1"/>
  <c r="X18" i="205"/>
  <c r="P18" i="205"/>
  <c r="M18" i="205"/>
  <c r="Y18" i="205" s="1"/>
  <c r="J18" i="205"/>
  <c r="AE18" i="205" s="1"/>
  <c r="AA17" i="205"/>
  <c r="Z17" i="205"/>
  <c r="Y17" i="205"/>
  <c r="W17" i="205"/>
  <c r="P17" i="205"/>
  <c r="M17" i="205"/>
  <c r="AE17" i="205" s="1"/>
  <c r="J17" i="205"/>
  <c r="AB17" i="205" s="1"/>
  <c r="AD16" i="205"/>
  <c r="Z16" i="205"/>
  <c r="P16" i="205"/>
  <c r="AA16" i="205" s="1"/>
  <c r="M16" i="205"/>
  <c r="Y16" i="205" s="1"/>
  <c r="J16" i="205"/>
  <c r="AC16" i="205" s="1"/>
  <c r="AS16" i="205" s="1"/>
  <c r="BG15" i="205"/>
  <c r="BH15" i="205" s="1"/>
  <c r="BA15" i="205"/>
  <c r="BC15" i="205" s="1"/>
  <c r="AM15" i="205"/>
  <c r="AL15" i="205"/>
  <c r="AA15" i="205"/>
  <c r="Z15" i="205"/>
  <c r="W15" i="205"/>
  <c r="P15" i="205"/>
  <c r="M15" i="205"/>
  <c r="AE15" i="205" s="1"/>
  <c r="J15" i="205"/>
  <c r="AB15" i="205" s="1"/>
  <c r="BA14" i="205"/>
  <c r="BC14" i="205" s="1"/>
  <c r="AL14" i="205"/>
  <c r="AM14" i="205" s="1"/>
  <c r="AE14" i="205"/>
  <c r="AA14" i="205"/>
  <c r="Z14" i="205"/>
  <c r="Y14" i="205"/>
  <c r="W14" i="205"/>
  <c r="P14" i="205"/>
  <c r="M14" i="205"/>
  <c r="J14" i="205"/>
  <c r="BW13" i="205"/>
  <c r="BS13" i="205"/>
  <c r="BC13" i="205"/>
  <c r="BZ13" i="205" s="1"/>
  <c r="BA13" i="205"/>
  <c r="AM13" i="205"/>
  <c r="AL13" i="205"/>
  <c r="AK13" i="205"/>
  <c r="AD13" i="205"/>
  <c r="Z13" i="205"/>
  <c r="P13" i="205"/>
  <c r="AA13" i="205" s="1"/>
  <c r="M13" i="205"/>
  <c r="Y13" i="205" s="1"/>
  <c r="J13" i="205"/>
  <c r="AC13" i="205" s="1"/>
  <c r="BZ12" i="205"/>
  <c r="BV12" i="205"/>
  <c r="BA12" i="205"/>
  <c r="BC12" i="205" s="1"/>
  <c r="AL12" i="205"/>
  <c r="AC12" i="205"/>
  <c r="Z12" i="205"/>
  <c r="Y12" i="205"/>
  <c r="P12" i="205"/>
  <c r="AA12" i="205" s="1"/>
  <c r="M12" i="205"/>
  <c r="J12" i="205"/>
  <c r="X12" i="205" s="1"/>
  <c r="BC11" i="205"/>
  <c r="BA11" i="205"/>
  <c r="AM11" i="205"/>
  <c r="AL11" i="205"/>
  <c r="AK11" i="205"/>
  <c r="Z11" i="205"/>
  <c r="X11" i="205"/>
  <c r="P11" i="205"/>
  <c r="AA11" i="205" s="1"/>
  <c r="M11" i="205"/>
  <c r="J11" i="205"/>
  <c r="AE11" i="205" s="1"/>
  <c r="BX10" i="205"/>
  <c r="BT10" i="205"/>
  <c r="BA10" i="205"/>
  <c r="BC10" i="205" s="1"/>
  <c r="AL10" i="205"/>
  <c r="AM10" i="205" s="1"/>
  <c r="AE10" i="205"/>
  <c r="AA10" i="205"/>
  <c r="Z10" i="205"/>
  <c r="Y10" i="205"/>
  <c r="W10" i="205"/>
  <c r="P10" i="205"/>
  <c r="M10" i="205"/>
  <c r="J10" i="205"/>
  <c r="BA9" i="205"/>
  <c r="BC9" i="205" s="1"/>
  <c r="AM9" i="205"/>
  <c r="Z9" i="205"/>
  <c r="Y9" i="205"/>
  <c r="R9" i="205"/>
  <c r="P9" i="205"/>
  <c r="AA9" i="205" s="1"/>
  <c r="M9" i="205"/>
  <c r="J9" i="205"/>
  <c r="BU8" i="205"/>
  <c r="BA8" i="205"/>
  <c r="BC8" i="205" s="1"/>
  <c r="AL8" i="205"/>
  <c r="AM8" i="205" s="1"/>
  <c r="Y8" i="205"/>
  <c r="R8" i="205"/>
  <c r="P8" i="205"/>
  <c r="M8" i="205"/>
  <c r="J8" i="205"/>
  <c r="BU7" i="205"/>
  <c r="BS7" i="205"/>
  <c r="BA7" i="205"/>
  <c r="BC7" i="205" s="1"/>
  <c r="AL7" i="205"/>
  <c r="AM7" i="205" s="1"/>
  <c r="AD7" i="205"/>
  <c r="Y7" i="205"/>
  <c r="R7" i="205"/>
  <c r="P7" i="205"/>
  <c r="M7" i="205"/>
  <c r="J7" i="205"/>
  <c r="BY6" i="205"/>
  <c r="BU6" i="205"/>
  <c r="BS6" i="205"/>
  <c r="BG6" i="205"/>
  <c r="BH6" i="205" s="1"/>
  <c r="BA6" i="205"/>
  <c r="BC6" i="205" s="1"/>
  <c r="AL6" i="205"/>
  <c r="AM6" i="205" s="1"/>
  <c r="AD6" i="205"/>
  <c r="AB6" i="205"/>
  <c r="Y6" i="205"/>
  <c r="R6" i="205"/>
  <c r="P6" i="205"/>
  <c r="AA6" i="205" s="1"/>
  <c r="M6" i="205"/>
  <c r="J6" i="205"/>
  <c r="BG5" i="205"/>
  <c r="BH5" i="205" s="1"/>
  <c r="BA5" i="205"/>
  <c r="BC5" i="205" s="1"/>
  <c r="AL5" i="205"/>
  <c r="AM5" i="205" s="1"/>
  <c r="AD5" i="205"/>
  <c r="AB5" i="205"/>
  <c r="Y5" i="205"/>
  <c r="R5" i="205"/>
  <c r="P5" i="205"/>
  <c r="AA5" i="205" s="1"/>
  <c r="M5" i="205"/>
  <c r="J5" i="205"/>
  <c r="BU4" i="205"/>
  <c r="BA4" i="205"/>
  <c r="BC4" i="205" s="1"/>
  <c r="AL4" i="205"/>
  <c r="AM4" i="205" s="1"/>
  <c r="Y4" i="205"/>
  <c r="R4" i="205"/>
  <c r="P4" i="205"/>
  <c r="M4" i="205"/>
  <c r="J4" i="205"/>
  <c r="BC3" i="205"/>
  <c r="BA3" i="205"/>
  <c r="AM3" i="205"/>
  <c r="Z3" i="205"/>
  <c r="R3" i="205"/>
  <c r="P3" i="205"/>
  <c r="M3" i="205"/>
  <c r="Y3" i="205" s="1"/>
  <c r="J3" i="205"/>
  <c r="AD3" i="205" s="1"/>
  <c r="CT2" i="205"/>
  <c r="CS2" i="205"/>
  <c r="CR2" i="205"/>
  <c r="CQ2" i="205"/>
  <c r="CP2" i="205"/>
  <c r="CO2" i="205"/>
  <c r="CN2" i="205"/>
  <c r="CM2" i="205"/>
  <c r="CL2" i="205"/>
  <c r="BA2" i="205"/>
  <c r="BC2" i="205" s="1"/>
  <c r="AM2" i="205"/>
  <c r="Z2" i="205"/>
  <c r="R2" i="205"/>
  <c r="P2" i="205"/>
  <c r="M2" i="205"/>
  <c r="Y2" i="205" s="1"/>
  <c r="J2" i="205"/>
  <c r="AC2" i="205" s="1"/>
  <c r="AS2" i="205" s="1"/>
  <c r="N116" i="26"/>
  <c r="L116" i="26"/>
  <c r="B116" i="26"/>
  <c r="Q96" i="26"/>
  <c r="P96" i="26"/>
  <c r="O96" i="26"/>
  <c r="N96" i="26"/>
  <c r="M96" i="26"/>
  <c r="L96" i="26"/>
  <c r="K96" i="26"/>
  <c r="J96" i="26"/>
  <c r="I96" i="26"/>
  <c r="H96" i="26"/>
  <c r="G96" i="26"/>
  <c r="F96" i="26"/>
  <c r="E96" i="26"/>
  <c r="D96" i="26"/>
  <c r="C96" i="26"/>
  <c r="B96" i="26"/>
  <c r="Q95" i="26"/>
  <c r="P95" i="26"/>
  <c r="O95" i="26"/>
  <c r="N95" i="26"/>
  <c r="M95" i="26"/>
  <c r="L95" i="26"/>
  <c r="K95" i="26"/>
  <c r="J95" i="26"/>
  <c r="I95" i="26"/>
  <c r="H95" i="26"/>
  <c r="G95" i="26"/>
  <c r="F95" i="26"/>
  <c r="E95" i="26"/>
  <c r="D95" i="26"/>
  <c r="C95" i="26"/>
  <c r="B95" i="26"/>
  <c r="Q93" i="26"/>
  <c r="M93" i="26"/>
  <c r="Q92" i="26"/>
  <c r="M92" i="26"/>
  <c r="D92" i="26"/>
  <c r="P90" i="26"/>
  <c r="P92" i="26" s="1"/>
  <c r="N90" i="26"/>
  <c r="N92" i="26" s="1"/>
  <c r="D90" i="26"/>
  <c r="Q89" i="26"/>
  <c r="P89" i="26"/>
  <c r="N89" i="26"/>
  <c r="M89" i="26"/>
  <c r="L89" i="26"/>
  <c r="D89" i="26"/>
  <c r="B89" i="26"/>
  <c r="Q88" i="26"/>
  <c r="M88" i="26"/>
  <c r="D88" i="26"/>
  <c r="D93" i="26" s="1"/>
  <c r="Q86" i="26"/>
  <c r="P86" i="26"/>
  <c r="O86" i="26"/>
  <c r="N86" i="26"/>
  <c r="M86" i="26"/>
  <c r="L86" i="26"/>
  <c r="K86" i="26"/>
  <c r="J86" i="26"/>
  <c r="I86" i="26"/>
  <c r="H86" i="26"/>
  <c r="G86" i="26"/>
  <c r="F86" i="26"/>
  <c r="E86" i="26"/>
  <c r="D86" i="26"/>
  <c r="C86" i="26"/>
  <c r="Q80" i="26"/>
  <c r="Q81" i="26" s="1"/>
  <c r="Q79" i="26"/>
  <c r="Q75" i="26"/>
  <c r="P75" i="26"/>
  <c r="O75" i="26"/>
  <c r="N75" i="26"/>
  <c r="M75" i="26"/>
  <c r="L75" i="26"/>
  <c r="K75" i="26"/>
  <c r="J75" i="26"/>
  <c r="I75" i="26"/>
  <c r="H75" i="26"/>
  <c r="G75" i="26"/>
  <c r="F75" i="26"/>
  <c r="E75" i="26"/>
  <c r="D75" i="26"/>
  <c r="C75" i="26"/>
  <c r="B75" i="26"/>
  <c r="Q74" i="26"/>
  <c r="P74" i="26"/>
  <c r="O74" i="26"/>
  <c r="N74" i="26"/>
  <c r="M74" i="26"/>
  <c r="L74" i="26"/>
  <c r="K74" i="26"/>
  <c r="J74" i="26"/>
  <c r="I74" i="26"/>
  <c r="H74" i="26"/>
  <c r="G74" i="26"/>
  <c r="F74" i="26"/>
  <c r="E74" i="26"/>
  <c r="D74" i="26"/>
  <c r="C74" i="26"/>
  <c r="B74" i="26"/>
  <c r="Q73" i="26"/>
  <c r="P73" i="26"/>
  <c r="O73" i="26"/>
  <c r="N73" i="26"/>
  <c r="M73" i="26"/>
  <c r="L73" i="26"/>
  <c r="K73" i="26"/>
  <c r="J73" i="26"/>
  <c r="I73" i="26"/>
  <c r="H73" i="26"/>
  <c r="G73" i="26"/>
  <c r="F73" i="26"/>
  <c r="E73" i="26"/>
  <c r="D73" i="26"/>
  <c r="C73" i="26"/>
  <c r="B73" i="26"/>
  <c r="Q72" i="26"/>
  <c r="P72" i="26"/>
  <c r="O72" i="26"/>
  <c r="N72" i="26"/>
  <c r="M72" i="26"/>
  <c r="L72" i="26"/>
  <c r="K72" i="26"/>
  <c r="J72" i="26"/>
  <c r="I72" i="26"/>
  <c r="H72" i="26"/>
  <c r="G72" i="26"/>
  <c r="F72" i="26"/>
  <c r="E72" i="26"/>
  <c r="D72" i="26"/>
  <c r="C72" i="26"/>
  <c r="B72" i="26"/>
  <c r="Q71" i="26"/>
  <c r="P71" i="26"/>
  <c r="N71" i="26"/>
  <c r="M71" i="26"/>
  <c r="L71" i="26"/>
  <c r="K71" i="26"/>
  <c r="J71" i="26"/>
  <c r="I71" i="26"/>
  <c r="G71" i="26"/>
  <c r="F71" i="26"/>
  <c r="E71" i="26"/>
  <c r="D71" i="26"/>
  <c r="C71" i="26"/>
  <c r="B71" i="26"/>
  <c r="Q70" i="26"/>
  <c r="P70" i="26"/>
  <c r="O70" i="26"/>
  <c r="N70" i="26"/>
  <c r="M70" i="26"/>
  <c r="L70" i="26"/>
  <c r="K70" i="26"/>
  <c r="J70" i="26"/>
  <c r="I70" i="26"/>
  <c r="H70" i="26"/>
  <c r="G70" i="26"/>
  <c r="F70" i="26"/>
  <c r="E70" i="26"/>
  <c r="D70" i="26"/>
  <c r="C70" i="26"/>
  <c r="B70" i="26"/>
  <c r="Q69" i="26"/>
  <c r="P69" i="26"/>
  <c r="O69" i="26"/>
  <c r="N69" i="26"/>
  <c r="M69" i="26"/>
  <c r="L69" i="26"/>
  <c r="K69" i="26"/>
  <c r="J69" i="26"/>
  <c r="I69" i="26"/>
  <c r="H69" i="26"/>
  <c r="G69" i="26"/>
  <c r="F69" i="26"/>
  <c r="E69" i="26"/>
  <c r="D69" i="26"/>
  <c r="C69" i="26"/>
  <c r="B69" i="26"/>
  <c r="Q68" i="26"/>
  <c r="P68" i="26"/>
  <c r="O68" i="26"/>
  <c r="N68" i="26"/>
  <c r="M68" i="26"/>
  <c r="L68" i="26"/>
  <c r="K68" i="26"/>
  <c r="J68" i="26"/>
  <c r="I68" i="26"/>
  <c r="H68" i="26"/>
  <c r="G68" i="26"/>
  <c r="F68" i="26"/>
  <c r="E68" i="26"/>
  <c r="D68" i="26"/>
  <c r="C68" i="26"/>
  <c r="B68" i="26"/>
  <c r="Q67" i="26"/>
  <c r="P67" i="26"/>
  <c r="O67" i="26"/>
  <c r="N67" i="26"/>
  <c r="M67" i="26"/>
  <c r="L67" i="26"/>
  <c r="K67" i="26"/>
  <c r="J67" i="26"/>
  <c r="I67" i="26"/>
  <c r="H67" i="26"/>
  <c r="G67" i="26"/>
  <c r="F67" i="26"/>
  <c r="E67" i="26"/>
  <c r="D67" i="26"/>
  <c r="C67" i="26"/>
  <c r="B67" i="26"/>
  <c r="Q66" i="26"/>
  <c r="P66" i="26"/>
  <c r="O66" i="26"/>
  <c r="N66" i="26"/>
  <c r="M66" i="26"/>
  <c r="L66" i="26"/>
  <c r="K66" i="26"/>
  <c r="J66" i="26"/>
  <c r="I66" i="26"/>
  <c r="H66" i="26"/>
  <c r="G66" i="26"/>
  <c r="F66" i="26"/>
  <c r="E66" i="26"/>
  <c r="D66" i="26"/>
  <c r="C66" i="26"/>
  <c r="B66" i="26"/>
  <c r="Q64" i="26"/>
  <c r="P64" i="26"/>
  <c r="O64" i="26"/>
  <c r="N64" i="26"/>
  <c r="M64" i="26"/>
  <c r="L64" i="26"/>
  <c r="K64" i="26"/>
  <c r="J64" i="26"/>
  <c r="I64" i="26"/>
  <c r="H64" i="26"/>
  <c r="G64" i="26"/>
  <c r="F64" i="26"/>
  <c r="E64" i="26"/>
  <c r="D64" i="26"/>
  <c r="C64" i="26"/>
  <c r="B64" i="26"/>
  <c r="Q61" i="26"/>
  <c r="P61" i="26"/>
  <c r="O61" i="26"/>
  <c r="N61" i="26"/>
  <c r="M61" i="26"/>
  <c r="L61" i="26"/>
  <c r="K61" i="26"/>
  <c r="J61" i="26"/>
  <c r="I61" i="26"/>
  <c r="G61" i="26"/>
  <c r="F61" i="26"/>
  <c r="E61" i="26"/>
  <c r="D61" i="26"/>
  <c r="C61" i="26"/>
  <c r="B61" i="26"/>
  <c r="Q13" i="26"/>
  <c r="P13" i="26"/>
  <c r="O13" i="26"/>
  <c r="N13" i="26"/>
  <c r="M13" i="26"/>
  <c r="L13" i="26"/>
  <c r="K13" i="26"/>
  <c r="J13" i="26"/>
  <c r="I13" i="26"/>
  <c r="H13" i="26"/>
  <c r="G13" i="26"/>
  <c r="F13" i="26"/>
  <c r="E13" i="26"/>
  <c r="D13" i="26"/>
  <c r="C13" i="26"/>
  <c r="Q12" i="26"/>
  <c r="P12" i="26"/>
  <c r="O12" i="26"/>
  <c r="N12" i="26"/>
  <c r="M12" i="26"/>
  <c r="L12" i="26"/>
  <c r="K12" i="26"/>
  <c r="J12" i="26"/>
  <c r="I12" i="26"/>
  <c r="H12" i="26"/>
  <c r="G12" i="26"/>
  <c r="F12" i="26"/>
  <c r="E12" i="26"/>
  <c r="D12" i="26"/>
  <c r="C12" i="26"/>
  <c r="Q11" i="26"/>
  <c r="P11" i="26"/>
  <c r="P93" i="26" s="1"/>
  <c r="O11" i="26"/>
  <c r="O93" i="26" s="1"/>
  <c r="N11" i="26"/>
  <c r="N93" i="26" s="1"/>
  <c r="M11" i="26"/>
  <c r="L11" i="26"/>
  <c r="L93" i="26" s="1"/>
  <c r="K11" i="26"/>
  <c r="J11" i="26"/>
  <c r="I11" i="26"/>
  <c r="I92" i="26" s="1"/>
  <c r="H11" i="26"/>
  <c r="H92" i="26" s="1"/>
  <c r="G11" i="26"/>
  <c r="F11" i="26"/>
  <c r="E11" i="26"/>
  <c r="D11" i="26"/>
  <c r="C11" i="26"/>
  <c r="C92" i="26" s="1"/>
  <c r="B11" i="26"/>
  <c r="B92" i="26" s="1"/>
  <c r="Q10" i="26"/>
  <c r="P10" i="26"/>
  <c r="O10" i="26"/>
  <c r="N10" i="26"/>
  <c r="M10" i="26"/>
  <c r="L10" i="26"/>
  <c r="K10" i="26"/>
  <c r="J10" i="26"/>
  <c r="I10" i="26"/>
  <c r="H10" i="26"/>
  <c r="G10" i="26"/>
  <c r="F10" i="26"/>
  <c r="E10" i="26"/>
  <c r="D10" i="26"/>
  <c r="C10" i="26"/>
  <c r="B10" i="26"/>
  <c r="Q9" i="26"/>
  <c r="P9" i="26"/>
  <c r="O9" i="26"/>
  <c r="N9" i="26"/>
  <c r="M9" i="26"/>
  <c r="L9" i="26"/>
  <c r="K9" i="26"/>
  <c r="J9" i="26"/>
  <c r="I9" i="26"/>
  <c r="H9" i="26"/>
  <c r="G9" i="26"/>
  <c r="F9" i="26"/>
  <c r="E9" i="26"/>
  <c r="D9" i="26"/>
  <c r="C9" i="26"/>
  <c r="B9" i="26"/>
  <c r="Q8" i="26"/>
  <c r="P8" i="26"/>
  <c r="O8" i="26"/>
  <c r="N8" i="26"/>
  <c r="M8" i="26"/>
  <c r="L8" i="26"/>
  <c r="K8" i="26"/>
  <c r="J8" i="26"/>
  <c r="I8" i="26"/>
  <c r="H8" i="26"/>
  <c r="G8" i="26"/>
  <c r="F8" i="26"/>
  <c r="E8" i="26"/>
  <c r="D8" i="26"/>
  <c r="C8" i="26"/>
  <c r="B8" i="26"/>
  <c r="S5" i="26"/>
  <c r="S3" i="26"/>
  <c r="B3" i="26"/>
  <c r="B13" i="26" s="1"/>
  <c r="S2" i="26"/>
  <c r="S13" i="26" s="1"/>
  <c r="O303" i="74"/>
  <c r="N303" i="74"/>
  <c r="M303" i="74"/>
  <c r="L303" i="74"/>
  <c r="K303" i="74"/>
  <c r="J303" i="74"/>
  <c r="I303" i="74"/>
  <c r="H303" i="74"/>
  <c r="G303" i="74"/>
  <c r="F303" i="74"/>
  <c r="E303" i="74"/>
  <c r="D303" i="74"/>
  <c r="C303" i="74"/>
  <c r="O302" i="74"/>
  <c r="N302" i="74"/>
  <c r="M302" i="74"/>
  <c r="L302" i="74"/>
  <c r="K302" i="74"/>
  <c r="J302" i="74"/>
  <c r="I302" i="74"/>
  <c r="H302" i="74"/>
  <c r="G302" i="74"/>
  <c r="F302" i="74"/>
  <c r="E302" i="74"/>
  <c r="D302" i="74"/>
  <c r="C302" i="74"/>
  <c r="M295" i="74"/>
  <c r="M299" i="74" s="1"/>
  <c r="O293" i="74"/>
  <c r="N293" i="74"/>
  <c r="M293" i="74"/>
  <c r="L293" i="74"/>
  <c r="K293" i="74"/>
  <c r="J293" i="74"/>
  <c r="I293" i="74"/>
  <c r="H293" i="74"/>
  <c r="G293" i="74"/>
  <c r="F293" i="74"/>
  <c r="E293" i="74"/>
  <c r="D293" i="74"/>
  <c r="C293" i="74"/>
  <c r="M289" i="74"/>
  <c r="F286" i="74"/>
  <c r="O284" i="74"/>
  <c r="N284" i="74"/>
  <c r="M284" i="74"/>
  <c r="L284" i="74"/>
  <c r="K284" i="74"/>
  <c r="J284" i="74"/>
  <c r="I284" i="74"/>
  <c r="H284" i="74"/>
  <c r="G284" i="74"/>
  <c r="F284" i="74"/>
  <c r="E284" i="74"/>
  <c r="D284" i="74"/>
  <c r="C284" i="74"/>
  <c r="O281" i="74"/>
  <c r="L281" i="74"/>
  <c r="D281" i="74"/>
  <c r="C281" i="74"/>
  <c r="O280" i="74"/>
  <c r="L280" i="74"/>
  <c r="D280" i="74"/>
  <c r="C280" i="74"/>
  <c r="O279" i="74"/>
  <c r="L279" i="74"/>
  <c r="D279" i="74"/>
  <c r="C279" i="74"/>
  <c r="L271" i="74"/>
  <c r="L272" i="74" s="1"/>
  <c r="H271" i="74"/>
  <c r="H272" i="74" s="1"/>
  <c r="D271" i="74"/>
  <c r="D272" i="74" s="1"/>
  <c r="AC269" i="74"/>
  <c r="AB269" i="74"/>
  <c r="AA269" i="74"/>
  <c r="Z269" i="74"/>
  <c r="Y269" i="74"/>
  <c r="X269" i="74"/>
  <c r="W269" i="74"/>
  <c r="V269" i="74"/>
  <c r="U269" i="74"/>
  <c r="T269" i="74"/>
  <c r="S269" i="74"/>
  <c r="R269" i="74"/>
  <c r="Q269" i="74"/>
  <c r="O266" i="74"/>
  <c r="N266" i="74"/>
  <c r="L266" i="74"/>
  <c r="K266" i="74"/>
  <c r="J266" i="74"/>
  <c r="I266" i="74"/>
  <c r="H266" i="74"/>
  <c r="G266" i="74"/>
  <c r="F266" i="74"/>
  <c r="E266" i="74"/>
  <c r="D266" i="74"/>
  <c r="C266" i="74"/>
  <c r="N264" i="74"/>
  <c r="M264" i="74"/>
  <c r="J264" i="74"/>
  <c r="J287" i="74" s="1"/>
  <c r="O263" i="74"/>
  <c r="O264" i="74" s="1"/>
  <c r="O287" i="74" s="1"/>
  <c r="N263" i="74"/>
  <c r="N286" i="74" s="1"/>
  <c r="L263" i="74"/>
  <c r="L286" i="74" s="1"/>
  <c r="K263" i="74"/>
  <c r="K286" i="74" s="1"/>
  <c r="J263" i="74"/>
  <c r="J286" i="74" s="1"/>
  <c r="I263" i="74"/>
  <c r="I286" i="74" s="1"/>
  <c r="H263" i="74"/>
  <c r="H286" i="74" s="1"/>
  <c r="G263" i="74"/>
  <c r="G286" i="74" s="1"/>
  <c r="F263" i="74"/>
  <c r="F264" i="74" s="1"/>
  <c r="E263" i="74"/>
  <c r="E286" i="74" s="1"/>
  <c r="D263" i="74"/>
  <c r="D286" i="74" s="1"/>
  <c r="C263" i="74"/>
  <c r="C286" i="74" s="1"/>
  <c r="O262" i="74"/>
  <c r="N262" i="74"/>
  <c r="M262" i="74"/>
  <c r="L262" i="74"/>
  <c r="K262" i="74"/>
  <c r="J262" i="74"/>
  <c r="I262" i="74"/>
  <c r="H262" i="74"/>
  <c r="G262" i="74"/>
  <c r="F262" i="74"/>
  <c r="E262" i="74"/>
  <c r="D262" i="74"/>
  <c r="C262" i="74"/>
  <c r="AC261" i="74"/>
  <c r="AB261" i="74"/>
  <c r="AA261" i="74"/>
  <c r="Z261" i="74"/>
  <c r="Y261" i="74"/>
  <c r="X261" i="74"/>
  <c r="W261" i="74"/>
  <c r="V261" i="74"/>
  <c r="U261" i="74"/>
  <c r="T261" i="74"/>
  <c r="S261" i="74"/>
  <c r="R261" i="74"/>
  <c r="Q261" i="74"/>
  <c r="AC248" i="74"/>
  <c r="AB248" i="74"/>
  <c r="AA248" i="74"/>
  <c r="Z248" i="74"/>
  <c r="Y248" i="74"/>
  <c r="X248" i="74"/>
  <c r="W248" i="74"/>
  <c r="V248" i="74"/>
  <c r="U248" i="74"/>
  <c r="T248" i="74"/>
  <c r="S248" i="74"/>
  <c r="R248" i="74"/>
  <c r="Q248" i="74"/>
  <c r="AC246" i="74"/>
  <c r="AB246" i="74"/>
  <c r="Z246" i="74"/>
  <c r="Y246" i="74"/>
  <c r="X246" i="74"/>
  <c r="W246" i="74"/>
  <c r="V246" i="74"/>
  <c r="U246" i="74"/>
  <c r="T246" i="74"/>
  <c r="S246" i="74"/>
  <c r="R246" i="74"/>
  <c r="Q246" i="74"/>
  <c r="AC245" i="74"/>
  <c r="AB245" i="74"/>
  <c r="Z245" i="74"/>
  <c r="Y245" i="74"/>
  <c r="X245" i="74"/>
  <c r="W245" i="74"/>
  <c r="U245" i="74"/>
  <c r="T245" i="74"/>
  <c r="S245" i="74"/>
  <c r="R245" i="74"/>
  <c r="Q245" i="74"/>
  <c r="Q244" i="74"/>
  <c r="AC243" i="74"/>
  <c r="AC242" i="74"/>
  <c r="AB242" i="74"/>
  <c r="Z242" i="74"/>
  <c r="Y242" i="74"/>
  <c r="W242" i="74"/>
  <c r="V242" i="74"/>
  <c r="U242" i="74"/>
  <c r="T242" i="74"/>
  <c r="S242" i="74"/>
  <c r="R242" i="74"/>
  <c r="Q242" i="74"/>
  <c r="AC241" i="74"/>
  <c r="AB241" i="74"/>
  <c r="Z241" i="74"/>
  <c r="Y241" i="74"/>
  <c r="W241" i="74"/>
  <c r="V241" i="74"/>
  <c r="U241" i="74"/>
  <c r="T241" i="74"/>
  <c r="S241" i="74"/>
  <c r="R241" i="74"/>
  <c r="Q241" i="74"/>
  <c r="AC240" i="74"/>
  <c r="AB240" i="74"/>
  <c r="Z240" i="74"/>
  <c r="Y240" i="74"/>
  <c r="X240" i="74"/>
  <c r="W240" i="74"/>
  <c r="V240" i="74"/>
  <c r="U240" i="74"/>
  <c r="T240" i="74"/>
  <c r="S240" i="74"/>
  <c r="R240" i="74"/>
  <c r="Q240" i="74"/>
  <c r="AC239" i="74"/>
  <c r="AB239" i="74"/>
  <c r="Z239" i="74"/>
  <c r="Y239" i="74"/>
  <c r="X239" i="74"/>
  <c r="W239" i="74"/>
  <c r="V239" i="74"/>
  <c r="U239" i="74"/>
  <c r="T239" i="74"/>
  <c r="S239" i="74"/>
  <c r="R239" i="74"/>
  <c r="Q239" i="74"/>
  <c r="AC236" i="74"/>
  <c r="AB236" i="74"/>
  <c r="AA236" i="74"/>
  <c r="Z236" i="74"/>
  <c r="Y236" i="74"/>
  <c r="X236" i="74"/>
  <c r="W236" i="74"/>
  <c r="V236" i="74"/>
  <c r="U236" i="74"/>
  <c r="T236" i="74"/>
  <c r="S236" i="74"/>
  <c r="R236" i="74"/>
  <c r="Q236" i="74"/>
  <c r="AC234" i="74"/>
  <c r="AB234" i="74"/>
  <c r="AA234" i="74"/>
  <c r="Z234" i="74"/>
  <c r="Y234" i="74"/>
  <c r="X234" i="74"/>
  <c r="W234" i="74"/>
  <c r="U234" i="74"/>
  <c r="T234" i="74"/>
  <c r="S234" i="74"/>
  <c r="R234" i="74"/>
  <c r="Q234" i="74"/>
  <c r="AC233" i="74"/>
  <c r="AB233" i="74"/>
  <c r="AA233" i="74"/>
  <c r="Z233" i="74"/>
  <c r="Y233" i="74"/>
  <c r="X233" i="74"/>
  <c r="W233" i="74"/>
  <c r="V233" i="74"/>
  <c r="U233" i="74"/>
  <c r="T233" i="74"/>
  <c r="S233" i="74"/>
  <c r="R233" i="74"/>
  <c r="Q233" i="74"/>
  <c r="AC232" i="74"/>
  <c r="AB232" i="74"/>
  <c r="AA232" i="74"/>
  <c r="Z232" i="74"/>
  <c r="Y232" i="74"/>
  <c r="X232" i="74"/>
  <c r="W232" i="74"/>
  <c r="V232" i="74"/>
  <c r="U232" i="74"/>
  <c r="T232" i="74"/>
  <c r="S232" i="74"/>
  <c r="R232" i="74"/>
  <c r="Q232" i="74"/>
  <c r="AC231" i="74"/>
  <c r="AB231" i="74"/>
  <c r="AA231" i="74"/>
  <c r="Z231" i="74"/>
  <c r="Y231" i="74"/>
  <c r="X231" i="74"/>
  <c r="W231" i="74"/>
  <c r="V231" i="74"/>
  <c r="U231" i="74"/>
  <c r="T231" i="74"/>
  <c r="S231" i="74"/>
  <c r="R231" i="74"/>
  <c r="Q231" i="74"/>
  <c r="AC230" i="74"/>
  <c r="AB230" i="74"/>
  <c r="AA230" i="74"/>
  <c r="Z230" i="74"/>
  <c r="Y230" i="74"/>
  <c r="X230" i="74"/>
  <c r="W230" i="74"/>
  <c r="V230" i="74"/>
  <c r="U230" i="74"/>
  <c r="T230" i="74"/>
  <c r="S230" i="74"/>
  <c r="R230" i="74"/>
  <c r="Q230" i="74"/>
  <c r="AC229" i="74"/>
  <c r="AB229" i="74"/>
  <c r="AA229" i="74"/>
  <c r="Y229" i="74"/>
  <c r="X229" i="74"/>
  <c r="W229" i="74"/>
  <c r="U229" i="74"/>
  <c r="S229" i="74"/>
  <c r="Q229" i="74"/>
  <c r="AC228" i="74"/>
  <c r="AB228" i="74"/>
  <c r="AA228" i="74"/>
  <c r="Z228" i="74"/>
  <c r="Y228" i="74"/>
  <c r="X228" i="74"/>
  <c r="W228" i="74"/>
  <c r="V228" i="74"/>
  <c r="U228" i="74"/>
  <c r="T228" i="74"/>
  <c r="R228" i="74"/>
  <c r="Q228" i="74"/>
  <c r="AC227" i="74"/>
  <c r="AB227" i="74"/>
  <c r="AA227" i="74"/>
  <c r="X227" i="74"/>
  <c r="U227" i="74"/>
  <c r="S227" i="74"/>
  <c r="R227" i="74"/>
  <c r="Q227" i="74"/>
  <c r="AC226" i="74"/>
  <c r="AB226" i="74"/>
  <c r="AA226" i="74"/>
  <c r="Z226" i="74"/>
  <c r="Y226" i="74"/>
  <c r="X226" i="74"/>
  <c r="W226" i="74"/>
  <c r="V226" i="74"/>
  <c r="U226" i="74"/>
  <c r="T226" i="74"/>
  <c r="S226" i="74"/>
  <c r="R226" i="74"/>
  <c r="Q226" i="74"/>
  <c r="AC225" i="74"/>
  <c r="AB225" i="74"/>
  <c r="AA225" i="74"/>
  <c r="Z225" i="74"/>
  <c r="Y225" i="74"/>
  <c r="X225" i="74"/>
  <c r="W225" i="74"/>
  <c r="V225" i="74"/>
  <c r="U225" i="74"/>
  <c r="T225" i="74"/>
  <c r="S225" i="74"/>
  <c r="R225" i="74"/>
  <c r="Q225" i="74"/>
  <c r="AC224" i="74"/>
  <c r="AB224" i="74"/>
  <c r="AA224" i="74"/>
  <c r="Z224" i="74"/>
  <c r="V224" i="74"/>
  <c r="T224" i="74"/>
  <c r="Q224" i="74"/>
  <c r="AC223" i="74"/>
  <c r="AB223" i="74"/>
  <c r="AA223" i="74"/>
  <c r="Z223" i="74"/>
  <c r="Y223" i="74"/>
  <c r="X223" i="74"/>
  <c r="W223" i="74"/>
  <c r="V223" i="74"/>
  <c r="U223" i="74"/>
  <c r="T223" i="74"/>
  <c r="S223" i="74"/>
  <c r="R223" i="74"/>
  <c r="Q223" i="74"/>
  <c r="AC222" i="74"/>
  <c r="AB222" i="74"/>
  <c r="AA222" i="74"/>
  <c r="Z222" i="74"/>
  <c r="Y222" i="74"/>
  <c r="X222" i="74"/>
  <c r="W222" i="74"/>
  <c r="V222" i="74"/>
  <c r="U222" i="74"/>
  <c r="T222" i="74"/>
  <c r="S222" i="74"/>
  <c r="R222" i="74"/>
  <c r="Q222" i="74"/>
  <c r="AC221" i="74"/>
  <c r="AB221" i="74"/>
  <c r="AA221" i="74"/>
  <c r="Z221" i="74"/>
  <c r="Y221" i="74"/>
  <c r="X221" i="74"/>
  <c r="W221" i="74"/>
  <c r="V221" i="74"/>
  <c r="U221" i="74"/>
  <c r="T221" i="74"/>
  <c r="S221" i="74"/>
  <c r="R221" i="74"/>
  <c r="Q221" i="74"/>
  <c r="AB220" i="74"/>
  <c r="AA220" i="74"/>
  <c r="Z220" i="74"/>
  <c r="Y220" i="74"/>
  <c r="X220" i="74"/>
  <c r="W220" i="74"/>
  <c r="V220" i="74"/>
  <c r="U220" i="74"/>
  <c r="T220" i="74"/>
  <c r="S220" i="74"/>
  <c r="R220" i="74"/>
  <c r="Q220" i="74"/>
  <c r="Z219" i="74"/>
  <c r="Y219" i="74"/>
  <c r="W219" i="74"/>
  <c r="T219" i="74"/>
  <c r="R219" i="74"/>
  <c r="Q219" i="74"/>
  <c r="AC218" i="74"/>
  <c r="AB218" i="74"/>
  <c r="AA218" i="74"/>
  <c r="Z218" i="74"/>
  <c r="Y218" i="74"/>
  <c r="X218" i="74"/>
  <c r="W218" i="74"/>
  <c r="V218" i="74"/>
  <c r="U218" i="74"/>
  <c r="T218" i="74"/>
  <c r="S218" i="74"/>
  <c r="R218" i="74"/>
  <c r="Q218" i="74"/>
  <c r="AC217" i="74"/>
  <c r="AB217" i="74"/>
  <c r="AA217" i="74"/>
  <c r="Z217" i="74"/>
  <c r="Y217" i="74"/>
  <c r="X217" i="74"/>
  <c r="W217" i="74"/>
  <c r="V217" i="74"/>
  <c r="U217" i="74"/>
  <c r="T217" i="74"/>
  <c r="S217" i="74"/>
  <c r="R217" i="74"/>
  <c r="Q217" i="74"/>
  <c r="AC216" i="74"/>
  <c r="AB216" i="74"/>
  <c r="AA216" i="74"/>
  <c r="Z216" i="74"/>
  <c r="Y216" i="74"/>
  <c r="X216" i="74"/>
  <c r="W216" i="74"/>
  <c r="V216" i="74"/>
  <c r="U216" i="74"/>
  <c r="T216" i="74"/>
  <c r="S216" i="74"/>
  <c r="R216" i="74"/>
  <c r="Q216" i="74"/>
  <c r="AC215" i="74"/>
  <c r="AB215" i="74"/>
  <c r="AA215" i="74"/>
  <c r="Z215" i="74"/>
  <c r="Y215" i="74"/>
  <c r="X215" i="74"/>
  <c r="W215" i="74"/>
  <c r="V215" i="74"/>
  <c r="U215" i="74"/>
  <c r="T215" i="74"/>
  <c r="S215" i="74"/>
  <c r="R215" i="74"/>
  <c r="Q215" i="74"/>
  <c r="R214" i="74"/>
  <c r="Q214" i="74"/>
  <c r="AC213" i="74"/>
  <c r="AB213" i="74"/>
  <c r="AA213" i="74"/>
  <c r="Z213" i="74"/>
  <c r="X213" i="74"/>
  <c r="W213" i="74"/>
  <c r="R213" i="74"/>
  <c r="Q213" i="74"/>
  <c r="AC212" i="74"/>
  <c r="AB212" i="74"/>
  <c r="AA212" i="74"/>
  <c r="Z212" i="74"/>
  <c r="Y212" i="74"/>
  <c r="X212" i="74"/>
  <c r="W212" i="74"/>
  <c r="V212" i="74"/>
  <c r="U212" i="74"/>
  <c r="T212" i="74"/>
  <c r="S212" i="74"/>
  <c r="R212" i="74"/>
  <c r="Q212" i="74"/>
  <c r="AC211" i="74"/>
  <c r="AB211" i="74"/>
  <c r="AA211" i="74"/>
  <c r="Z211" i="74"/>
  <c r="Y211" i="74"/>
  <c r="X211" i="74"/>
  <c r="W211" i="74"/>
  <c r="V211" i="74"/>
  <c r="U211" i="74"/>
  <c r="T211" i="74"/>
  <c r="S211" i="74"/>
  <c r="R211" i="74"/>
  <c r="Q211" i="74"/>
  <c r="AC210" i="74"/>
  <c r="AB210" i="74"/>
  <c r="AA210" i="74"/>
  <c r="Z210" i="74"/>
  <c r="Y210" i="74"/>
  <c r="X210" i="74"/>
  <c r="W210" i="74"/>
  <c r="U210" i="74"/>
  <c r="T210" i="74"/>
  <c r="Q210" i="74"/>
  <c r="AC209" i="74"/>
  <c r="AB209" i="74"/>
  <c r="AA209" i="74"/>
  <c r="Z209" i="74"/>
  <c r="Y209" i="74"/>
  <c r="X209" i="74"/>
  <c r="W209" i="74"/>
  <c r="V209" i="74"/>
  <c r="U209" i="74"/>
  <c r="T209" i="74"/>
  <c r="S209" i="74"/>
  <c r="R209" i="74"/>
  <c r="Q209" i="74"/>
  <c r="AC208" i="74"/>
  <c r="AB208" i="74"/>
  <c r="AA208" i="74"/>
  <c r="Z208" i="74"/>
  <c r="Y208" i="74"/>
  <c r="X208" i="74"/>
  <c r="W208" i="74"/>
  <c r="V208" i="74"/>
  <c r="U208" i="74"/>
  <c r="T208" i="74"/>
  <c r="S208" i="74"/>
  <c r="R208" i="74"/>
  <c r="Q208" i="74"/>
  <c r="AC207" i="74"/>
  <c r="AB207" i="74"/>
  <c r="AA207" i="74"/>
  <c r="Z207" i="74"/>
  <c r="Y207" i="74"/>
  <c r="X207" i="74"/>
  <c r="W207" i="74"/>
  <c r="V207" i="74"/>
  <c r="U207" i="74"/>
  <c r="T207" i="74"/>
  <c r="S207" i="74"/>
  <c r="R207" i="74"/>
  <c r="Q207" i="74"/>
  <c r="AC206" i="74"/>
  <c r="AB206" i="74"/>
  <c r="AA206" i="74"/>
  <c r="Z206" i="74"/>
  <c r="Y206" i="74"/>
  <c r="X206" i="74"/>
  <c r="W206" i="74"/>
  <c r="V206" i="74"/>
  <c r="U206" i="74"/>
  <c r="T206" i="74"/>
  <c r="S206" i="74"/>
  <c r="R206" i="74"/>
  <c r="Q206" i="74"/>
  <c r="AC205" i="74"/>
  <c r="AB205" i="74"/>
  <c r="AA205" i="74"/>
  <c r="Z205" i="74"/>
  <c r="Y205" i="74"/>
  <c r="X205" i="74"/>
  <c r="W205" i="74"/>
  <c r="V205" i="74"/>
  <c r="U205" i="74"/>
  <c r="T205" i="74"/>
  <c r="S205" i="74"/>
  <c r="R205" i="74"/>
  <c r="Q205" i="74"/>
  <c r="AC204" i="74"/>
  <c r="AB204" i="74"/>
  <c r="AA204" i="74"/>
  <c r="Z204" i="74"/>
  <c r="Y204" i="74"/>
  <c r="X204" i="74"/>
  <c r="W204" i="74"/>
  <c r="V204" i="74"/>
  <c r="U204" i="74"/>
  <c r="T204" i="74"/>
  <c r="S204" i="74"/>
  <c r="R204" i="74"/>
  <c r="Q204" i="74"/>
  <c r="AC203" i="74"/>
  <c r="AB203" i="74"/>
  <c r="AA203" i="74"/>
  <c r="Z203" i="74"/>
  <c r="Y203" i="74"/>
  <c r="X203" i="74"/>
  <c r="W203" i="74"/>
  <c r="V203" i="74"/>
  <c r="U203" i="74"/>
  <c r="T203" i="74"/>
  <c r="S203" i="74"/>
  <c r="R203" i="74"/>
  <c r="Q203" i="74"/>
  <c r="AC200" i="74"/>
  <c r="AB200" i="74"/>
  <c r="AA200" i="74"/>
  <c r="Z200" i="74"/>
  <c r="Y200" i="74"/>
  <c r="X200" i="74"/>
  <c r="W200" i="74"/>
  <c r="V200" i="74"/>
  <c r="U200" i="74"/>
  <c r="T200" i="74"/>
  <c r="S200" i="74"/>
  <c r="R200" i="74"/>
  <c r="Q200" i="74"/>
  <c r="AC199" i="74"/>
  <c r="AB199" i="74"/>
  <c r="Z199" i="74"/>
  <c r="Y199" i="74"/>
  <c r="X199" i="74"/>
  <c r="W199" i="74"/>
  <c r="V199" i="74"/>
  <c r="U199" i="74"/>
  <c r="T199" i="74"/>
  <c r="S199" i="74"/>
  <c r="R199" i="74"/>
  <c r="Q199" i="74"/>
  <c r="AC198" i="74"/>
  <c r="AB198" i="74"/>
  <c r="Z198" i="74"/>
  <c r="Y198" i="74"/>
  <c r="X198" i="74"/>
  <c r="W198" i="74"/>
  <c r="U198" i="74"/>
  <c r="T198" i="74"/>
  <c r="S198" i="74"/>
  <c r="R198" i="74"/>
  <c r="Q198" i="74"/>
  <c r="AC197" i="74"/>
  <c r="AB197" i="74"/>
  <c r="Z197" i="74"/>
  <c r="Y197" i="74"/>
  <c r="X197" i="74"/>
  <c r="W197" i="74"/>
  <c r="V197" i="74"/>
  <c r="U197" i="74"/>
  <c r="T197" i="74"/>
  <c r="S197" i="74"/>
  <c r="R197" i="74"/>
  <c r="Q197" i="74"/>
  <c r="AC196" i="74"/>
  <c r="AB196" i="74"/>
  <c r="Z196" i="74"/>
  <c r="Y196" i="74"/>
  <c r="X196" i="74"/>
  <c r="W196" i="74"/>
  <c r="V196" i="74"/>
  <c r="U196" i="74"/>
  <c r="T196" i="74"/>
  <c r="S196" i="74"/>
  <c r="R196" i="74"/>
  <c r="Q196" i="74"/>
  <c r="AC195" i="74"/>
  <c r="AB195" i="74"/>
  <c r="Z195" i="74"/>
  <c r="X195" i="74"/>
  <c r="T195" i="74"/>
  <c r="S195" i="74"/>
  <c r="R195" i="74"/>
  <c r="Q195" i="74"/>
  <c r="AC194" i="74"/>
  <c r="AB194" i="74"/>
  <c r="Z194" i="74"/>
  <c r="Y194" i="74"/>
  <c r="X194" i="74"/>
  <c r="W194" i="74"/>
  <c r="V194" i="74"/>
  <c r="U194" i="74"/>
  <c r="T194" i="74"/>
  <c r="S194" i="74"/>
  <c r="R194" i="74"/>
  <c r="Q194" i="74"/>
  <c r="AC193" i="74"/>
  <c r="AB193" i="74"/>
  <c r="Z193" i="74"/>
  <c r="Y193" i="74"/>
  <c r="X193" i="74"/>
  <c r="W193" i="74"/>
  <c r="V193" i="74"/>
  <c r="U193" i="74"/>
  <c r="T193" i="74"/>
  <c r="S193" i="74"/>
  <c r="R193" i="74"/>
  <c r="Q193" i="74"/>
  <c r="AC192" i="74"/>
  <c r="AB192" i="74"/>
  <c r="Z192" i="74"/>
  <c r="Y192" i="74"/>
  <c r="X192" i="74"/>
  <c r="W192" i="74"/>
  <c r="V192" i="74"/>
  <c r="U192" i="74"/>
  <c r="T192" i="74"/>
  <c r="S192" i="74"/>
  <c r="R192" i="74"/>
  <c r="Q192" i="74"/>
  <c r="AC191" i="74"/>
  <c r="AB191" i="74"/>
  <c r="Z191" i="74"/>
  <c r="Y191" i="74"/>
  <c r="W191" i="74"/>
  <c r="V191" i="74"/>
  <c r="U191" i="74"/>
  <c r="T191" i="74"/>
  <c r="S191" i="74"/>
  <c r="R191" i="74"/>
  <c r="Q191" i="74"/>
  <c r="AB190" i="74"/>
  <c r="Z190" i="74"/>
  <c r="R190" i="74"/>
  <c r="Q190" i="74"/>
  <c r="AC189" i="74"/>
  <c r="Y189" i="74"/>
  <c r="X189" i="74"/>
  <c r="AC188" i="74"/>
  <c r="AB188" i="74"/>
  <c r="Z188" i="74"/>
  <c r="Y188" i="74"/>
  <c r="X188" i="74"/>
  <c r="W188" i="74"/>
  <c r="V188" i="74"/>
  <c r="U188" i="74"/>
  <c r="T188" i="74"/>
  <c r="S188" i="74"/>
  <c r="R188" i="74"/>
  <c r="Q188" i="74"/>
  <c r="AC187" i="74"/>
  <c r="AB187" i="74"/>
  <c r="Z187" i="74"/>
  <c r="Y187" i="74"/>
  <c r="X187" i="74"/>
  <c r="W187" i="74"/>
  <c r="V187" i="74"/>
  <c r="U187" i="74"/>
  <c r="T187" i="74"/>
  <c r="S187" i="74"/>
  <c r="R187" i="74"/>
  <c r="Q187" i="74"/>
  <c r="AC186" i="74"/>
  <c r="AB186" i="74"/>
  <c r="R186" i="74"/>
  <c r="Q186" i="74"/>
  <c r="S185" i="74"/>
  <c r="R185" i="74"/>
  <c r="AC184" i="74"/>
  <c r="AB184" i="74"/>
  <c r="Z184" i="74"/>
  <c r="Y184" i="74"/>
  <c r="X184" i="74"/>
  <c r="W184" i="74"/>
  <c r="V184" i="74"/>
  <c r="U184" i="74"/>
  <c r="T184" i="74"/>
  <c r="S184" i="74"/>
  <c r="R184" i="74"/>
  <c r="Q184" i="74"/>
  <c r="T183" i="74"/>
  <c r="R183" i="74"/>
  <c r="AC182" i="74"/>
  <c r="W182" i="74"/>
  <c r="R182" i="74"/>
  <c r="W181" i="74"/>
  <c r="T181" i="74"/>
  <c r="S181" i="74"/>
  <c r="AC180" i="74"/>
  <c r="AB180" i="74"/>
  <c r="Z180" i="74"/>
  <c r="Y180" i="74"/>
  <c r="X180" i="74"/>
  <c r="W180" i="74"/>
  <c r="V180" i="74"/>
  <c r="U180" i="74"/>
  <c r="T180" i="74"/>
  <c r="S180" i="74"/>
  <c r="R180" i="74"/>
  <c r="Q180" i="74"/>
  <c r="AB179" i="74"/>
  <c r="Y179" i="74"/>
  <c r="W179" i="74"/>
  <c r="V179" i="74"/>
  <c r="U179" i="74"/>
  <c r="T179" i="74"/>
  <c r="AC178" i="74"/>
  <c r="AB178" i="74"/>
  <c r="Z178" i="74"/>
  <c r="Y178" i="74"/>
  <c r="X178" i="74"/>
  <c r="W178" i="74"/>
  <c r="U178" i="74"/>
  <c r="T178" i="74"/>
  <c r="S178" i="74"/>
  <c r="R178" i="74"/>
  <c r="Q178" i="74"/>
  <c r="AC177" i="74"/>
  <c r="AB177" i="74"/>
  <c r="Z177" i="74"/>
  <c r="Y177" i="74"/>
  <c r="X177" i="74"/>
  <c r="W177" i="74"/>
  <c r="V177" i="74"/>
  <c r="U177" i="74"/>
  <c r="T177" i="74"/>
  <c r="AC176" i="74"/>
  <c r="AB176" i="74"/>
  <c r="Z176" i="74"/>
  <c r="Y176" i="74"/>
  <c r="X176" i="74"/>
  <c r="W176" i="74"/>
  <c r="V176" i="74"/>
  <c r="U176" i="74"/>
  <c r="T176" i="74"/>
  <c r="S176" i="74"/>
  <c r="R176" i="74"/>
  <c r="Q176" i="74"/>
  <c r="Y175" i="74"/>
  <c r="W175" i="74"/>
  <c r="V175" i="74"/>
  <c r="U175" i="74"/>
  <c r="T175" i="74"/>
  <c r="S175" i="74"/>
  <c r="R175" i="74"/>
  <c r="Q175" i="74"/>
  <c r="AC174" i="74"/>
  <c r="Z174" i="74"/>
  <c r="Y174" i="74"/>
  <c r="X174" i="74"/>
  <c r="W174" i="74"/>
  <c r="V174" i="74"/>
  <c r="U174" i="74"/>
  <c r="T174" i="74"/>
  <c r="S174" i="74"/>
  <c r="R174" i="74"/>
  <c r="Q174" i="74"/>
  <c r="AC173" i="74"/>
  <c r="AB173" i="74"/>
  <c r="Z173" i="74"/>
  <c r="Y173" i="74"/>
  <c r="X173" i="74"/>
  <c r="W173" i="74"/>
  <c r="V173" i="74"/>
  <c r="U173" i="74"/>
  <c r="T173" i="74"/>
  <c r="S173" i="74"/>
  <c r="R173" i="74"/>
  <c r="Q173" i="74"/>
  <c r="AC172" i="74"/>
  <c r="AB172" i="74"/>
  <c r="Z172" i="74"/>
  <c r="Y172" i="74"/>
  <c r="T172" i="74"/>
  <c r="R172" i="74"/>
  <c r="Q172" i="74"/>
  <c r="AC171" i="74"/>
  <c r="AB171" i="74"/>
  <c r="Z171" i="74"/>
  <c r="Y171" i="74"/>
  <c r="X171" i="74"/>
  <c r="W171" i="74"/>
  <c r="V171" i="74"/>
  <c r="U171" i="74"/>
  <c r="T171" i="74"/>
  <c r="S171" i="74"/>
  <c r="R171" i="74"/>
  <c r="Q171" i="74"/>
  <c r="AC170" i="74"/>
  <c r="AB170" i="74"/>
  <c r="Z170" i="74"/>
  <c r="Y170" i="74"/>
  <c r="X170" i="74"/>
  <c r="U170" i="74"/>
  <c r="T170" i="74"/>
  <c r="S170" i="74"/>
  <c r="R170" i="74"/>
  <c r="Q170" i="74"/>
  <c r="AC169" i="74"/>
  <c r="AB169" i="74"/>
  <c r="Z169" i="74"/>
  <c r="X169" i="74"/>
  <c r="W169" i="74"/>
  <c r="V169" i="74"/>
  <c r="U169" i="74"/>
  <c r="T169" i="74"/>
  <c r="S169" i="74"/>
  <c r="R169" i="74"/>
  <c r="Q169" i="74"/>
  <c r="AC168" i="74"/>
  <c r="AB168" i="74"/>
  <c r="Z168" i="74"/>
  <c r="Y168" i="74"/>
  <c r="X168" i="74"/>
  <c r="W168" i="74"/>
  <c r="V168" i="74"/>
  <c r="U168" i="74"/>
  <c r="T168" i="74"/>
  <c r="S168" i="74"/>
  <c r="R168" i="74"/>
  <c r="Q168" i="74"/>
  <c r="AB167" i="74"/>
  <c r="Z167" i="74"/>
  <c r="T167" i="74"/>
  <c r="S167" i="74"/>
  <c r="R167" i="74"/>
  <c r="Q167" i="74"/>
  <c r="AC166" i="74"/>
  <c r="AB166" i="74"/>
  <c r="Z166" i="74"/>
  <c r="Y166" i="74"/>
  <c r="X166" i="74"/>
  <c r="W166" i="74"/>
  <c r="U166" i="74"/>
  <c r="S166" i="74"/>
  <c r="R166" i="74"/>
  <c r="Q166" i="74"/>
  <c r="AC165" i="74"/>
  <c r="AB165" i="74"/>
  <c r="Z165" i="74"/>
  <c r="Y165" i="74"/>
  <c r="X165" i="74"/>
  <c r="W165" i="74"/>
  <c r="V165" i="74"/>
  <c r="U165" i="74"/>
  <c r="T165" i="74"/>
  <c r="S165" i="74"/>
  <c r="R165" i="74"/>
  <c r="Q165" i="74"/>
  <c r="AC164" i="74"/>
  <c r="AB164" i="74"/>
  <c r="Z164" i="74"/>
  <c r="Y164" i="74"/>
  <c r="X164" i="74"/>
  <c r="W164" i="74"/>
  <c r="V164" i="74"/>
  <c r="U164" i="74"/>
  <c r="T164" i="74"/>
  <c r="S164" i="74"/>
  <c r="R164" i="74"/>
  <c r="Q164" i="74"/>
  <c r="AC163" i="74"/>
  <c r="AB163" i="74"/>
  <c r="Z163" i="74"/>
  <c r="X163" i="74"/>
  <c r="R163" i="74"/>
  <c r="Q163" i="74"/>
  <c r="AC162" i="74"/>
  <c r="AB162" i="74"/>
  <c r="Z162" i="74"/>
  <c r="Y162" i="74"/>
  <c r="X162" i="74"/>
  <c r="W162" i="74"/>
  <c r="V162" i="74"/>
  <c r="U162" i="74"/>
  <c r="T162" i="74"/>
  <c r="S162" i="74"/>
  <c r="R162" i="74"/>
  <c r="Q162" i="74"/>
  <c r="AC161" i="74"/>
  <c r="AB161" i="74"/>
  <c r="Z161" i="74"/>
  <c r="Y161" i="74"/>
  <c r="X161" i="74"/>
  <c r="W161" i="74"/>
  <c r="V161" i="74"/>
  <c r="U161" i="74"/>
  <c r="T161" i="74"/>
  <c r="S161" i="74"/>
  <c r="R161" i="74"/>
  <c r="Q161" i="74"/>
  <c r="AC160" i="74"/>
  <c r="AB160" i="74"/>
  <c r="Z160" i="74"/>
  <c r="Y160" i="74"/>
  <c r="X160" i="74"/>
  <c r="W160" i="74"/>
  <c r="V160" i="74"/>
  <c r="U160" i="74"/>
  <c r="T160" i="74"/>
  <c r="S160" i="74"/>
  <c r="R160" i="74"/>
  <c r="Q160" i="74"/>
  <c r="AC159" i="74"/>
  <c r="AB159" i="74"/>
  <c r="Z159" i="74"/>
  <c r="Y159" i="74"/>
  <c r="X159" i="74"/>
  <c r="W159" i="74"/>
  <c r="V159" i="74"/>
  <c r="U159" i="74"/>
  <c r="T159" i="74"/>
  <c r="S159" i="74"/>
  <c r="R159" i="74"/>
  <c r="Q159" i="74"/>
  <c r="AB158" i="74"/>
  <c r="Z158" i="74"/>
  <c r="Y158" i="74"/>
  <c r="X158" i="74"/>
  <c r="W158" i="74"/>
  <c r="V158" i="74"/>
  <c r="U158" i="74"/>
  <c r="T158" i="74"/>
  <c r="S158" i="74"/>
  <c r="R158" i="74"/>
  <c r="Q158" i="74"/>
  <c r="AC155" i="74"/>
  <c r="AB155" i="74"/>
  <c r="AA155" i="74"/>
  <c r="Z155" i="74"/>
  <c r="Y155" i="74"/>
  <c r="X155" i="74"/>
  <c r="W155" i="74"/>
  <c r="V155" i="74"/>
  <c r="U155" i="74"/>
  <c r="T155" i="74"/>
  <c r="S155" i="74"/>
  <c r="R155" i="74"/>
  <c r="Q155" i="74"/>
  <c r="AC154" i="74"/>
  <c r="AB154" i="74"/>
  <c r="Z154" i="74"/>
  <c r="Y154" i="74"/>
  <c r="X154" i="74"/>
  <c r="W154" i="74"/>
  <c r="V154" i="74"/>
  <c r="U154" i="74"/>
  <c r="T154" i="74"/>
  <c r="S154" i="74"/>
  <c r="R154" i="74"/>
  <c r="Q154" i="74"/>
  <c r="AC153" i="74"/>
  <c r="AB153" i="74"/>
  <c r="Z153" i="74"/>
  <c r="Y153" i="74"/>
  <c r="X153" i="74"/>
  <c r="W153" i="74"/>
  <c r="V153" i="74"/>
  <c r="U153" i="74"/>
  <c r="T153" i="74"/>
  <c r="S153" i="74"/>
  <c r="R153" i="74"/>
  <c r="Q153" i="74"/>
  <c r="AC152" i="74"/>
  <c r="AB152" i="74"/>
  <c r="Z152" i="74"/>
  <c r="X152" i="74"/>
  <c r="T152" i="74"/>
  <c r="S152" i="74"/>
  <c r="R152" i="74"/>
  <c r="Q152" i="74"/>
  <c r="AC151" i="74"/>
  <c r="AB151" i="74"/>
  <c r="Z151" i="74"/>
  <c r="Y151" i="74"/>
  <c r="X151" i="74"/>
  <c r="W151" i="74"/>
  <c r="V151" i="74"/>
  <c r="U151" i="74"/>
  <c r="T151" i="74"/>
  <c r="S151" i="74"/>
  <c r="R151" i="74"/>
  <c r="Q151" i="74"/>
  <c r="AC150" i="74"/>
  <c r="AB150" i="74"/>
  <c r="Z150" i="74"/>
  <c r="Y150" i="74"/>
  <c r="X150" i="74"/>
  <c r="W150" i="74"/>
  <c r="V150" i="74"/>
  <c r="U150" i="74"/>
  <c r="T150" i="74"/>
  <c r="S150" i="74"/>
  <c r="R150" i="74"/>
  <c r="Q150" i="74"/>
  <c r="AC149" i="74"/>
  <c r="AB149" i="74"/>
  <c r="Z149" i="74"/>
  <c r="Y149" i="74"/>
  <c r="X149" i="74"/>
  <c r="W149" i="74"/>
  <c r="V149" i="74"/>
  <c r="U149" i="74"/>
  <c r="T149" i="74"/>
  <c r="S149" i="74"/>
  <c r="R149" i="74"/>
  <c r="Q149" i="74"/>
  <c r="AC148" i="74"/>
  <c r="AB148" i="74"/>
  <c r="Z148" i="74"/>
  <c r="Y148" i="74"/>
  <c r="W148" i="74"/>
  <c r="V148" i="74"/>
  <c r="U148" i="74"/>
  <c r="S148" i="74"/>
  <c r="R148" i="74"/>
  <c r="Q148" i="74"/>
  <c r="AC147" i="74"/>
  <c r="AB147" i="74"/>
  <c r="Z147" i="74"/>
  <c r="Y147" i="74"/>
  <c r="W147" i="74"/>
  <c r="V147" i="74"/>
  <c r="U147" i="74"/>
  <c r="S147" i="74"/>
  <c r="R147" i="74"/>
  <c r="Q147" i="74"/>
  <c r="AC146" i="74"/>
  <c r="AB146" i="74"/>
  <c r="Z146" i="74"/>
  <c r="Y146" i="74"/>
  <c r="X146" i="74"/>
  <c r="W146" i="74"/>
  <c r="V146" i="74"/>
  <c r="U146" i="74"/>
  <c r="T146" i="74"/>
  <c r="S146" i="74"/>
  <c r="R146" i="74"/>
  <c r="Q146" i="74"/>
  <c r="AC145" i="74"/>
  <c r="AB145" i="74"/>
  <c r="Z145" i="74"/>
  <c r="Y145" i="74"/>
  <c r="X145" i="74"/>
  <c r="W145" i="74"/>
  <c r="V145" i="74"/>
  <c r="U145" i="74"/>
  <c r="T145" i="74"/>
  <c r="S145" i="74"/>
  <c r="R145" i="74"/>
  <c r="Q145" i="74"/>
  <c r="AC144" i="74"/>
  <c r="AB144" i="74"/>
  <c r="Z144" i="74"/>
  <c r="Y144" i="74"/>
  <c r="X144" i="74"/>
  <c r="W144" i="74"/>
  <c r="V144" i="74"/>
  <c r="U144" i="74"/>
  <c r="T144" i="74"/>
  <c r="S144" i="74"/>
  <c r="R144" i="74"/>
  <c r="Q144" i="74"/>
  <c r="AC143" i="74"/>
  <c r="AB143" i="74"/>
  <c r="Z143" i="74"/>
  <c r="T143" i="74"/>
  <c r="R143" i="74"/>
  <c r="Q143" i="74"/>
  <c r="AC140" i="74"/>
  <c r="AB140" i="74"/>
  <c r="AA140" i="74"/>
  <c r="Z140" i="74"/>
  <c r="Y140" i="74"/>
  <c r="X140" i="74"/>
  <c r="W140" i="74"/>
  <c r="V140" i="74"/>
  <c r="U140" i="74"/>
  <c r="T140" i="74"/>
  <c r="S140" i="74"/>
  <c r="R140" i="74"/>
  <c r="Q140" i="74"/>
  <c r="AC139" i="74"/>
  <c r="AB139" i="74"/>
  <c r="Z139" i="74"/>
  <c r="Y139" i="74"/>
  <c r="X139" i="74"/>
  <c r="W139" i="74"/>
  <c r="V139" i="74"/>
  <c r="U139" i="74"/>
  <c r="T139" i="74"/>
  <c r="S139" i="74"/>
  <c r="R139" i="74"/>
  <c r="Q139" i="74"/>
  <c r="AC138" i="74"/>
  <c r="AB138" i="74"/>
  <c r="Z138" i="74"/>
  <c r="Y138" i="74"/>
  <c r="X138" i="74"/>
  <c r="W138" i="74"/>
  <c r="V138" i="74"/>
  <c r="U138" i="74"/>
  <c r="T138" i="74"/>
  <c r="S138" i="74"/>
  <c r="R138" i="74"/>
  <c r="Q138" i="74"/>
  <c r="AC137" i="74"/>
  <c r="AB137" i="74"/>
  <c r="Z137" i="74"/>
  <c r="X137" i="74"/>
  <c r="V137" i="74"/>
  <c r="S137" i="74"/>
  <c r="R137" i="74"/>
  <c r="Q137" i="74"/>
  <c r="AB136" i="74"/>
  <c r="Z136" i="74"/>
  <c r="W136" i="74"/>
  <c r="S136" i="74"/>
  <c r="R136" i="74"/>
  <c r="AC135" i="74"/>
  <c r="Y135" i="74"/>
  <c r="X135" i="74"/>
  <c r="W135" i="74"/>
  <c r="S135" i="74"/>
  <c r="R135" i="74"/>
  <c r="AQ134" i="74"/>
  <c r="AP134" i="74"/>
  <c r="AN134" i="74"/>
  <c r="AM134" i="74"/>
  <c r="AL134" i="74"/>
  <c r="AF134" i="74"/>
  <c r="W134" i="74"/>
  <c r="AK134" i="74" s="1"/>
  <c r="S134" i="74"/>
  <c r="R134" i="74"/>
  <c r="AC133" i="74"/>
  <c r="AB133" i="74"/>
  <c r="Z133" i="74"/>
  <c r="Y133" i="74"/>
  <c r="X133" i="74"/>
  <c r="W133" i="74"/>
  <c r="V133" i="74"/>
  <c r="U133" i="74"/>
  <c r="T133" i="74"/>
  <c r="S133" i="74"/>
  <c r="R133" i="74"/>
  <c r="AC132" i="74"/>
  <c r="AB132" i="74"/>
  <c r="Z132" i="74"/>
  <c r="Y132" i="74"/>
  <c r="X132" i="74"/>
  <c r="W132" i="74"/>
  <c r="V132" i="74"/>
  <c r="U132" i="74"/>
  <c r="T132" i="74"/>
  <c r="S132" i="74"/>
  <c r="R132" i="74"/>
  <c r="Q132" i="74"/>
  <c r="AC131" i="74"/>
  <c r="AB131" i="74"/>
  <c r="Z131" i="74"/>
  <c r="Y131" i="74"/>
  <c r="X131" i="74"/>
  <c r="W131" i="74"/>
  <c r="V131" i="74"/>
  <c r="U131" i="74"/>
  <c r="T131" i="74"/>
  <c r="S131" i="74"/>
  <c r="R131" i="74"/>
  <c r="Q131" i="74"/>
  <c r="AC130" i="74"/>
  <c r="AB130" i="74"/>
  <c r="Z130" i="74"/>
  <c r="Y130" i="74"/>
  <c r="X130" i="74"/>
  <c r="W130" i="74"/>
  <c r="V130" i="74"/>
  <c r="U130" i="74"/>
  <c r="T130" i="74"/>
  <c r="S130" i="74"/>
  <c r="R130" i="74"/>
  <c r="Q130" i="74"/>
  <c r="AC129" i="74"/>
  <c r="AB129" i="74"/>
  <c r="Z129" i="74"/>
  <c r="Y129" i="74"/>
  <c r="W129" i="74"/>
  <c r="U129" i="74"/>
  <c r="S129" i="74"/>
  <c r="R129" i="74"/>
  <c r="R128" i="74"/>
  <c r="AC127" i="74"/>
  <c r="AB127" i="74"/>
  <c r="Z127" i="74"/>
  <c r="Y127" i="74"/>
  <c r="X127" i="74"/>
  <c r="W127" i="74"/>
  <c r="V127" i="74"/>
  <c r="U127" i="74"/>
  <c r="T127" i="74"/>
  <c r="S127" i="74"/>
  <c r="R127" i="74"/>
  <c r="Q127" i="74"/>
  <c r="AC126" i="74"/>
  <c r="AB126" i="74"/>
  <c r="Z126" i="74"/>
  <c r="Y126" i="74"/>
  <c r="X126" i="74"/>
  <c r="W126" i="74"/>
  <c r="V126" i="74"/>
  <c r="U126" i="74"/>
  <c r="T126" i="74"/>
  <c r="S126" i="74"/>
  <c r="R126" i="74"/>
  <c r="Q126" i="74"/>
  <c r="AC125" i="74"/>
  <c r="AB125" i="74"/>
  <c r="Z125" i="74"/>
  <c r="Y125" i="74"/>
  <c r="V125" i="74"/>
  <c r="U125" i="74"/>
  <c r="S125" i="74"/>
  <c r="R125" i="74"/>
  <c r="Q125" i="74"/>
  <c r="AC124" i="74"/>
  <c r="AB124" i="74"/>
  <c r="Z124" i="74"/>
  <c r="Y123" i="74"/>
  <c r="V123" i="74"/>
  <c r="U123" i="74"/>
  <c r="T123" i="74"/>
  <c r="S123" i="74"/>
  <c r="R123" i="74"/>
  <c r="AC122" i="74"/>
  <c r="AB122" i="74"/>
  <c r="Z122" i="74"/>
  <c r="Y122" i="74"/>
  <c r="X122" i="74"/>
  <c r="W122" i="74"/>
  <c r="V122" i="74"/>
  <c r="U122" i="74"/>
  <c r="T122" i="74"/>
  <c r="S122" i="74"/>
  <c r="R122" i="74"/>
  <c r="Q122" i="74"/>
  <c r="AC121" i="74"/>
  <c r="AB121" i="74"/>
  <c r="Z121" i="74"/>
  <c r="Y121" i="74"/>
  <c r="X121" i="74"/>
  <c r="W121" i="74"/>
  <c r="V121" i="74"/>
  <c r="U121" i="74"/>
  <c r="T121" i="74"/>
  <c r="S121" i="74"/>
  <c r="R121" i="74"/>
  <c r="Q121" i="74"/>
  <c r="AC118" i="74"/>
  <c r="AB118" i="74"/>
  <c r="AA118" i="74"/>
  <c r="Z118" i="74"/>
  <c r="Y118" i="74"/>
  <c r="X118" i="74"/>
  <c r="W118" i="74"/>
  <c r="V118" i="74"/>
  <c r="U118" i="74"/>
  <c r="T118" i="74"/>
  <c r="S118" i="74"/>
  <c r="R118" i="74"/>
  <c r="Q118" i="74"/>
  <c r="AC116" i="74"/>
  <c r="AB116" i="74"/>
  <c r="Z116" i="74"/>
  <c r="Y116" i="74"/>
  <c r="X116" i="74"/>
  <c r="W116" i="74"/>
  <c r="V116" i="74"/>
  <c r="U116" i="74"/>
  <c r="T116" i="74"/>
  <c r="S116" i="74"/>
  <c r="R116" i="74"/>
  <c r="Q116" i="74"/>
  <c r="AC115" i="74"/>
  <c r="AB115" i="74"/>
  <c r="Z115" i="74"/>
  <c r="Y115" i="74"/>
  <c r="X115" i="74"/>
  <c r="W115" i="74"/>
  <c r="V115" i="74"/>
  <c r="U115" i="74"/>
  <c r="T115" i="74"/>
  <c r="S115" i="74"/>
  <c r="R115" i="74"/>
  <c r="Q115" i="74"/>
  <c r="AC114" i="74"/>
  <c r="AB114" i="74"/>
  <c r="Z114" i="74"/>
  <c r="Y114" i="74"/>
  <c r="W114" i="74"/>
  <c r="U114" i="74"/>
  <c r="S114" i="74"/>
  <c r="AC113" i="74"/>
  <c r="AB113" i="74"/>
  <c r="Z113" i="74"/>
  <c r="Y113" i="74"/>
  <c r="X113" i="74"/>
  <c r="W113" i="74"/>
  <c r="V113" i="74"/>
  <c r="U113" i="74"/>
  <c r="T113" i="74"/>
  <c r="S113" i="74"/>
  <c r="R113" i="74"/>
  <c r="Q113" i="74"/>
  <c r="AC112" i="74"/>
  <c r="AB112" i="74"/>
  <c r="Z112" i="74"/>
  <c r="Y112" i="74"/>
  <c r="X112" i="74"/>
  <c r="W112" i="74"/>
  <c r="V112" i="74"/>
  <c r="U112" i="74"/>
  <c r="T112" i="74"/>
  <c r="AC111" i="74"/>
  <c r="AB111" i="74"/>
  <c r="Z111" i="74"/>
  <c r="Y111" i="74"/>
  <c r="X111" i="74"/>
  <c r="W111" i="74"/>
  <c r="V111" i="74"/>
  <c r="U111" i="74"/>
  <c r="S111" i="74"/>
  <c r="Y110" i="74"/>
  <c r="V110" i="74"/>
  <c r="T110" i="74"/>
  <c r="S110" i="74"/>
  <c r="AC109" i="74"/>
  <c r="Y109" i="74"/>
  <c r="X109" i="74"/>
  <c r="W109" i="74"/>
  <c r="V109" i="74"/>
  <c r="U109" i="74"/>
  <c r="T109" i="74"/>
  <c r="S109" i="74"/>
  <c r="R109" i="74"/>
  <c r="Q109" i="74"/>
  <c r="Y108" i="74"/>
  <c r="X108" i="74"/>
  <c r="W108" i="74"/>
  <c r="V108" i="74"/>
  <c r="U108" i="74"/>
  <c r="T108" i="74"/>
  <c r="S108" i="74"/>
  <c r="R108" i="74"/>
  <c r="Q108" i="74"/>
  <c r="Y107" i="74"/>
  <c r="X107" i="74"/>
  <c r="W107" i="74"/>
  <c r="V107" i="74"/>
  <c r="U107" i="74"/>
  <c r="T107" i="74"/>
  <c r="S107" i="74"/>
  <c r="R107" i="74"/>
  <c r="Q107" i="74"/>
  <c r="Y106" i="74"/>
  <c r="X106" i="74"/>
  <c r="W106" i="74"/>
  <c r="V106" i="74"/>
  <c r="U106" i="74"/>
  <c r="T106" i="74"/>
  <c r="S106" i="74"/>
  <c r="R106" i="74"/>
  <c r="Q106" i="74"/>
  <c r="AC105" i="74"/>
  <c r="AB105" i="74"/>
  <c r="Z105" i="74"/>
  <c r="Y105" i="74"/>
  <c r="X105" i="74"/>
  <c r="W105" i="74"/>
  <c r="V105" i="74"/>
  <c r="U105" i="74"/>
  <c r="T105" i="74"/>
  <c r="S105" i="74"/>
  <c r="R105" i="74"/>
  <c r="Q105" i="74"/>
  <c r="AC104" i="74"/>
  <c r="AB104" i="74"/>
  <c r="Z104" i="74"/>
  <c r="Y104" i="74"/>
  <c r="X104" i="74"/>
  <c r="W104" i="74"/>
  <c r="V104" i="74"/>
  <c r="U104" i="74"/>
  <c r="T104" i="74"/>
  <c r="AC103" i="74"/>
  <c r="AB103" i="74"/>
  <c r="Z103" i="74"/>
  <c r="Y103" i="74"/>
  <c r="X103" i="74"/>
  <c r="W103" i="74"/>
  <c r="V103" i="74"/>
  <c r="U103" i="74"/>
  <c r="S103" i="74"/>
  <c r="R103" i="74"/>
  <c r="Q103" i="74"/>
  <c r="AC102" i="74"/>
  <c r="AB102" i="74"/>
  <c r="Z102" i="74"/>
  <c r="Y102" i="74"/>
  <c r="X102" i="74"/>
  <c r="W102" i="74"/>
  <c r="V102" i="74"/>
  <c r="U102" i="74"/>
  <c r="T102" i="74"/>
  <c r="S102" i="74"/>
  <c r="R102" i="74"/>
  <c r="Q102" i="74"/>
  <c r="AC101" i="74"/>
  <c r="AB101" i="74"/>
  <c r="Z101" i="74"/>
  <c r="Y101" i="74"/>
  <c r="X101" i="74"/>
  <c r="W101" i="74"/>
  <c r="V101" i="74"/>
  <c r="U101" i="74"/>
  <c r="T101" i="74"/>
  <c r="S101" i="74"/>
  <c r="R101" i="74"/>
  <c r="Q101" i="74"/>
  <c r="AQ100" i="74"/>
  <c r="AE100" i="74"/>
  <c r="AC100" i="74"/>
  <c r="AB100" i="74"/>
  <c r="AP100" i="74" s="1"/>
  <c r="Z100" i="74"/>
  <c r="AN100" i="74" s="1"/>
  <c r="Y100" i="74"/>
  <c r="X100" i="74"/>
  <c r="W100" i="74"/>
  <c r="AK100" i="74" s="1"/>
  <c r="V100" i="74"/>
  <c r="AJ100" i="74" s="1"/>
  <c r="U100" i="74"/>
  <c r="T100" i="74"/>
  <c r="S100" i="74"/>
  <c r="AG100" i="74" s="1"/>
  <c r="R100" i="74"/>
  <c r="AF100" i="74" s="1"/>
  <c r="AC99" i="74"/>
  <c r="AC98" i="74"/>
  <c r="AB98" i="74"/>
  <c r="Z98" i="74"/>
  <c r="Y96" i="74"/>
  <c r="X96" i="74"/>
  <c r="W96" i="74"/>
  <c r="V96" i="74"/>
  <c r="U96" i="74"/>
  <c r="T96" i="74"/>
  <c r="S96" i="74"/>
  <c r="R96" i="74"/>
  <c r="Q96" i="74"/>
  <c r="Y95" i="74"/>
  <c r="X95" i="74"/>
  <c r="W95" i="74"/>
  <c r="V95" i="74"/>
  <c r="U95" i="74"/>
  <c r="T95" i="74"/>
  <c r="S94" i="74"/>
  <c r="R94" i="74"/>
  <c r="Q94" i="74"/>
  <c r="AC91" i="74"/>
  <c r="AB91" i="74"/>
  <c r="AA91" i="74"/>
  <c r="Z91" i="74"/>
  <c r="Y91" i="74"/>
  <c r="X91" i="74"/>
  <c r="W91" i="74"/>
  <c r="V91" i="74"/>
  <c r="U91" i="74"/>
  <c r="T91" i="74"/>
  <c r="S91" i="74"/>
  <c r="R91" i="74"/>
  <c r="Q91" i="74"/>
  <c r="AC89" i="74"/>
  <c r="AB89" i="74"/>
  <c r="AA89" i="74"/>
  <c r="Z89" i="74"/>
  <c r="R89" i="74"/>
  <c r="Q89" i="74"/>
  <c r="AC88" i="74"/>
  <c r="AQ87" i="74" s="1"/>
  <c r="AA88" i="74"/>
  <c r="Z88" i="74"/>
  <c r="Y88" i="74"/>
  <c r="X88" i="74"/>
  <c r="AL87" i="74" s="1"/>
  <c r="W88" i="74"/>
  <c r="V88" i="74"/>
  <c r="T88" i="74"/>
  <c r="S88" i="74"/>
  <c r="AG87" i="74" s="1"/>
  <c r="R88" i="74"/>
  <c r="Q88" i="74"/>
  <c r="AM87" i="74"/>
  <c r="AJ87" i="74"/>
  <c r="AI87" i="74"/>
  <c r="AH87" i="74"/>
  <c r="AF87" i="74"/>
  <c r="AE87" i="74"/>
  <c r="AB87" i="74"/>
  <c r="AP87" i="74" s="1"/>
  <c r="AA87" i="74"/>
  <c r="AO87" i="74" s="1"/>
  <c r="Z87" i="74"/>
  <c r="AN87" i="74" s="1"/>
  <c r="W87" i="74"/>
  <c r="AK87" i="74" s="1"/>
  <c r="T87" i="74"/>
  <c r="AC86" i="74"/>
  <c r="AB86" i="74"/>
  <c r="AA86" i="74"/>
  <c r="Z86" i="74"/>
  <c r="X86" i="74"/>
  <c r="W86" i="74"/>
  <c r="R86" i="74"/>
  <c r="AC85" i="74"/>
  <c r="AB85" i="74"/>
  <c r="AA85" i="74"/>
  <c r="Z85" i="74"/>
  <c r="X85" i="74"/>
  <c r="W85" i="74"/>
  <c r="R85" i="74"/>
  <c r="AC84" i="74"/>
  <c r="AB84" i="74"/>
  <c r="AA84" i="74"/>
  <c r="Z84" i="74"/>
  <c r="X84" i="74"/>
  <c r="W84" i="74"/>
  <c r="R84" i="74"/>
  <c r="AC83" i="74"/>
  <c r="AB83" i="74"/>
  <c r="AA83" i="74"/>
  <c r="Z83" i="74"/>
  <c r="X83" i="74"/>
  <c r="W83" i="74"/>
  <c r="R83" i="74"/>
  <c r="AC82" i="74"/>
  <c r="AB82" i="74"/>
  <c r="AA82" i="74"/>
  <c r="Z82" i="74"/>
  <c r="X82" i="74"/>
  <c r="W82" i="74"/>
  <c r="R82" i="74"/>
  <c r="AC80" i="74"/>
  <c r="AB80" i="74"/>
  <c r="AA80" i="74"/>
  <c r="Z80" i="74"/>
  <c r="Y80" i="74"/>
  <c r="X80" i="74"/>
  <c r="W80" i="74"/>
  <c r="V80" i="74"/>
  <c r="U80" i="74"/>
  <c r="T80" i="74"/>
  <c r="S80" i="74"/>
  <c r="R80" i="74"/>
  <c r="Q80" i="74"/>
  <c r="AC79" i="74"/>
  <c r="AB79" i="74"/>
  <c r="AA79" i="74"/>
  <c r="Z79" i="74"/>
  <c r="Y79" i="74"/>
  <c r="X79" i="74"/>
  <c r="W79" i="74"/>
  <c r="V79" i="74"/>
  <c r="U79" i="74"/>
  <c r="T79" i="74"/>
  <c r="S79" i="74"/>
  <c r="R79" i="74"/>
  <c r="Q79" i="74"/>
  <c r="AC78" i="74"/>
  <c r="AB78" i="74"/>
  <c r="AA78" i="74"/>
  <c r="Z78" i="74"/>
  <c r="Y78" i="74"/>
  <c r="X78" i="74"/>
  <c r="W78" i="74"/>
  <c r="AK76" i="74" s="1"/>
  <c r="V78" i="74"/>
  <c r="U78" i="74"/>
  <c r="T78" i="74"/>
  <c r="S78" i="74"/>
  <c r="AG76" i="74" s="1"/>
  <c r="R78" i="74"/>
  <c r="Q78" i="74"/>
  <c r="AC77" i="74"/>
  <c r="AB77" i="74"/>
  <c r="AA77" i="74"/>
  <c r="Z77" i="74"/>
  <c r="Y77" i="74"/>
  <c r="X77" i="74"/>
  <c r="AL76" i="74" s="1"/>
  <c r="W77" i="74"/>
  <c r="V77" i="74"/>
  <c r="U77" i="74"/>
  <c r="T77" i="74"/>
  <c r="AH76" i="74" s="1"/>
  <c r="S77" i="74"/>
  <c r="R77" i="74"/>
  <c r="Q77" i="74"/>
  <c r="AQ76" i="74"/>
  <c r="AM76" i="74"/>
  <c r="AJ76" i="74"/>
  <c r="AI76" i="74"/>
  <c r="AF76" i="74"/>
  <c r="AE76" i="74"/>
  <c r="AC76" i="74"/>
  <c r="AB76" i="74"/>
  <c r="AP76" i="74" s="1"/>
  <c r="AA76" i="74"/>
  <c r="AO76" i="74" s="1"/>
  <c r="Z76" i="74"/>
  <c r="AN76" i="74" s="1"/>
  <c r="R76" i="74"/>
  <c r="Q76" i="74"/>
  <c r="AC75" i="74"/>
  <c r="AB75" i="74"/>
  <c r="AA75" i="74"/>
  <c r="Z75" i="74"/>
  <c r="X75" i="74"/>
  <c r="W75" i="74"/>
  <c r="T75" i="74"/>
  <c r="S75" i="74"/>
  <c r="R75" i="74"/>
  <c r="Q75" i="74"/>
  <c r="AC74" i="74"/>
  <c r="AB74" i="74"/>
  <c r="AA74" i="74"/>
  <c r="Z74" i="74"/>
  <c r="Y74" i="74"/>
  <c r="W74" i="74"/>
  <c r="V74" i="74"/>
  <c r="U74" i="74"/>
  <c r="S74" i="74"/>
  <c r="AC73" i="74"/>
  <c r="AB73" i="74"/>
  <c r="AA73" i="74"/>
  <c r="AO68" i="74" s="1"/>
  <c r="Z73" i="74"/>
  <c r="Y73" i="74"/>
  <c r="X73" i="74"/>
  <c r="W73" i="74"/>
  <c r="V73" i="74"/>
  <c r="U73" i="74"/>
  <c r="T73" i="74"/>
  <c r="S73" i="74"/>
  <c r="AG68" i="74" s="1"/>
  <c r="R73" i="74"/>
  <c r="Q73" i="74"/>
  <c r="AC72" i="74"/>
  <c r="AB72" i="74"/>
  <c r="AA72" i="74"/>
  <c r="Z72" i="74"/>
  <c r="X72" i="74"/>
  <c r="W72" i="74"/>
  <c r="T72" i="74"/>
  <c r="R72" i="74"/>
  <c r="Q72" i="74"/>
  <c r="AB71" i="74"/>
  <c r="AA71" i="74"/>
  <c r="Z71" i="74"/>
  <c r="AC70" i="74"/>
  <c r="AB70" i="74"/>
  <c r="AA70" i="74"/>
  <c r="Z70" i="74"/>
  <c r="Y70" i="74"/>
  <c r="X70" i="74"/>
  <c r="W70" i="74"/>
  <c r="V70" i="74"/>
  <c r="U70" i="74"/>
  <c r="T70" i="74"/>
  <c r="S70" i="74"/>
  <c r="R70" i="74"/>
  <c r="Q70" i="74"/>
  <c r="AC69" i="74"/>
  <c r="AB69" i="74"/>
  <c r="AA69" i="74"/>
  <c r="Z69" i="74"/>
  <c r="W69" i="74"/>
  <c r="AK68" i="74" s="1"/>
  <c r="T69" i="74"/>
  <c r="AC68" i="74"/>
  <c r="AB68" i="74"/>
  <c r="AA68" i="74"/>
  <c r="Z68" i="74"/>
  <c r="Y68" i="74"/>
  <c r="AM68" i="74" s="1"/>
  <c r="X68" i="74"/>
  <c r="W68" i="74"/>
  <c r="V68" i="74"/>
  <c r="AJ68" i="74" s="1"/>
  <c r="U68" i="74"/>
  <c r="T68" i="74"/>
  <c r="S68" i="74"/>
  <c r="R68" i="74"/>
  <c r="AF68" i="74" s="1"/>
  <c r="Q68" i="74"/>
  <c r="AC67" i="74"/>
  <c r="AB67" i="74"/>
  <c r="AA67" i="74"/>
  <c r="Z67" i="74"/>
  <c r="Y67" i="74"/>
  <c r="X67" i="74"/>
  <c r="W67" i="74"/>
  <c r="V67" i="74"/>
  <c r="U67" i="74"/>
  <c r="T67" i="74"/>
  <c r="S67" i="74"/>
  <c r="R67" i="74"/>
  <c r="Q67" i="74"/>
  <c r="AC66" i="74"/>
  <c r="AB66" i="74"/>
  <c r="AA66" i="74"/>
  <c r="Z66" i="74"/>
  <c r="Y66" i="74"/>
  <c r="X66" i="74"/>
  <c r="W66" i="74"/>
  <c r="V66" i="74"/>
  <c r="U66" i="74"/>
  <c r="T66" i="74"/>
  <c r="S66" i="74"/>
  <c r="R66" i="74"/>
  <c r="Q66" i="74"/>
  <c r="AC64" i="74"/>
  <c r="AB64" i="74"/>
  <c r="AA64" i="74"/>
  <c r="Z64" i="74"/>
  <c r="Y64" i="74"/>
  <c r="X64" i="74"/>
  <c r="W64" i="74"/>
  <c r="V64" i="74"/>
  <c r="U64" i="74"/>
  <c r="T64" i="74"/>
  <c r="S64" i="74"/>
  <c r="R64" i="74"/>
  <c r="Q64" i="74"/>
  <c r="AC63" i="74"/>
  <c r="AB63" i="74"/>
  <c r="AA63" i="74"/>
  <c r="Z63" i="74"/>
  <c r="Y63" i="74"/>
  <c r="X63" i="74"/>
  <c r="W63" i="74"/>
  <c r="V63" i="74"/>
  <c r="U63" i="74"/>
  <c r="T63" i="74"/>
  <c r="S63" i="74"/>
  <c r="R63" i="74"/>
  <c r="Q63" i="74"/>
  <c r="AC62" i="74"/>
  <c r="AB62" i="74"/>
  <c r="AA62" i="74"/>
  <c r="Z62" i="74"/>
  <c r="Y62" i="74"/>
  <c r="X62" i="74"/>
  <c r="W62" i="74"/>
  <c r="V62" i="74"/>
  <c r="U62" i="74"/>
  <c r="T62" i="74"/>
  <c r="S62" i="74"/>
  <c r="R62" i="74"/>
  <c r="Q62" i="74"/>
  <c r="AN61" i="74"/>
  <c r="AJ61" i="74"/>
  <c r="AF61" i="74"/>
  <c r="AC61" i="74"/>
  <c r="AQ61" i="74" s="1"/>
  <c r="AB61" i="74"/>
  <c r="AA61" i="74"/>
  <c r="AO61" i="74" s="1"/>
  <c r="Z61" i="74"/>
  <c r="Y61" i="74"/>
  <c r="AM61" i="74" s="1"/>
  <c r="X61" i="74"/>
  <c r="W61" i="74"/>
  <c r="AK61" i="74" s="1"/>
  <c r="V61" i="74"/>
  <c r="U61" i="74"/>
  <c r="AI61" i="74" s="1"/>
  <c r="T61" i="74"/>
  <c r="S61" i="74"/>
  <c r="AG61" i="74" s="1"/>
  <c r="R61" i="74"/>
  <c r="Q61" i="74"/>
  <c r="AE61" i="74" s="1"/>
  <c r="AC60" i="74"/>
  <c r="AB60" i="74"/>
  <c r="AA60" i="74"/>
  <c r="Z60" i="74"/>
  <c r="Y60" i="74"/>
  <c r="X60" i="74"/>
  <c r="W60" i="74"/>
  <c r="V60" i="74"/>
  <c r="U60" i="74"/>
  <c r="T60" i="74"/>
  <c r="S60" i="74"/>
  <c r="R60" i="74"/>
  <c r="Q60" i="74"/>
  <c r="AC59" i="74"/>
  <c r="AB59" i="74"/>
  <c r="AA59" i="74"/>
  <c r="Z59" i="74"/>
  <c r="Y59" i="74"/>
  <c r="X59" i="74"/>
  <c r="W59" i="74"/>
  <c r="V59" i="74"/>
  <c r="U59" i="74"/>
  <c r="T59" i="74"/>
  <c r="S59" i="74"/>
  <c r="R59" i="74"/>
  <c r="Q59" i="74"/>
  <c r="AC58" i="74"/>
  <c r="AB58" i="74"/>
  <c r="AA58" i="74"/>
  <c r="Z58" i="74"/>
  <c r="Y58" i="74"/>
  <c r="X58" i="74"/>
  <c r="W58" i="74"/>
  <c r="V58" i="74"/>
  <c r="U58" i="74"/>
  <c r="T58" i="74"/>
  <c r="S58" i="74"/>
  <c r="R58" i="74"/>
  <c r="Q58" i="74"/>
  <c r="AC57" i="74"/>
  <c r="AB57" i="74"/>
  <c r="AA57" i="74"/>
  <c r="AO54" i="74" s="1"/>
  <c r="Z57" i="74"/>
  <c r="Y57" i="74"/>
  <c r="X57" i="74"/>
  <c r="U57" i="74"/>
  <c r="S57" i="74"/>
  <c r="R57" i="74"/>
  <c r="Q57" i="74"/>
  <c r="AC56" i="74"/>
  <c r="AB56" i="74"/>
  <c r="AA56" i="74"/>
  <c r="Z56" i="74"/>
  <c r="Y56" i="74"/>
  <c r="X56" i="74"/>
  <c r="W56" i="74"/>
  <c r="V56" i="74"/>
  <c r="U56" i="74"/>
  <c r="T56" i="74"/>
  <c r="S56" i="74"/>
  <c r="R56" i="74"/>
  <c r="Q56" i="74"/>
  <c r="AB55" i="74"/>
  <c r="AA55" i="74"/>
  <c r="Z55" i="74"/>
  <c r="V55" i="74"/>
  <c r="U55" i="74"/>
  <c r="T55" i="74"/>
  <c r="S55" i="74"/>
  <c r="R55" i="74"/>
  <c r="Q55" i="74"/>
  <c r="AK54" i="74"/>
  <c r="AG54" i="74"/>
  <c r="AC54" i="74"/>
  <c r="AB54" i="74"/>
  <c r="AP54" i="74" s="1"/>
  <c r="AA54" i="74"/>
  <c r="Z54" i="74"/>
  <c r="Y54" i="74"/>
  <c r="X54" i="74"/>
  <c r="AL54" i="74" s="1"/>
  <c r="W54" i="74"/>
  <c r="V54" i="74"/>
  <c r="U54" i="74"/>
  <c r="T54" i="74"/>
  <c r="AH54" i="74" s="1"/>
  <c r="S54" i="74"/>
  <c r="R54" i="74"/>
  <c r="Q54" i="74"/>
  <c r="AC51" i="74"/>
  <c r="AB51" i="74"/>
  <c r="AA51" i="74"/>
  <c r="Z51" i="74"/>
  <c r="Y51" i="74"/>
  <c r="X51" i="74"/>
  <c r="W51" i="74"/>
  <c r="V51" i="74"/>
  <c r="U51" i="74"/>
  <c r="T51" i="74"/>
  <c r="S51" i="74"/>
  <c r="R51" i="74"/>
  <c r="Q51" i="74"/>
  <c r="AC49" i="74"/>
  <c r="AB49" i="74"/>
  <c r="AA49" i="74"/>
  <c r="Z49" i="74"/>
  <c r="Y49" i="74"/>
  <c r="X49" i="74"/>
  <c r="W49" i="74"/>
  <c r="V49" i="74"/>
  <c r="U49" i="74"/>
  <c r="T49" i="74"/>
  <c r="S49" i="74"/>
  <c r="R49" i="74"/>
  <c r="Q49" i="74"/>
  <c r="AC48" i="74"/>
  <c r="AB48" i="74"/>
  <c r="AA48" i="74"/>
  <c r="Z48" i="74"/>
  <c r="Y48" i="74"/>
  <c r="X48" i="74"/>
  <c r="W48" i="74"/>
  <c r="V48" i="74"/>
  <c r="U48" i="74"/>
  <c r="T48" i="74"/>
  <c r="S48" i="74"/>
  <c r="R48" i="74"/>
  <c r="Q48" i="74"/>
  <c r="AC47" i="74"/>
  <c r="AB47" i="74"/>
  <c r="AA47" i="74"/>
  <c r="Z47" i="74"/>
  <c r="Y47" i="74"/>
  <c r="X47" i="74"/>
  <c r="W47" i="74"/>
  <c r="V47" i="74"/>
  <c r="U47" i="74"/>
  <c r="T47" i="74"/>
  <c r="S47" i="74"/>
  <c r="R47" i="74"/>
  <c r="Q47" i="74"/>
  <c r="AC46" i="74"/>
  <c r="AB46" i="74"/>
  <c r="AA46" i="74"/>
  <c r="Z46" i="74"/>
  <c r="Y46" i="74"/>
  <c r="X46" i="74"/>
  <c r="W46" i="74"/>
  <c r="V46" i="74"/>
  <c r="U46" i="74"/>
  <c r="T46" i="74"/>
  <c r="S46" i="74"/>
  <c r="R46" i="74"/>
  <c r="Q46" i="74"/>
  <c r="AC45" i="74"/>
  <c r="AB45" i="74"/>
  <c r="AA45" i="74"/>
  <c r="Z45" i="74"/>
  <c r="Y45" i="74"/>
  <c r="X45" i="74"/>
  <c r="W45" i="74"/>
  <c r="V45" i="74"/>
  <c r="U45" i="74"/>
  <c r="T45" i="74"/>
  <c r="S45" i="74"/>
  <c r="R45" i="74"/>
  <c r="Q45" i="74"/>
  <c r="AC44" i="74"/>
  <c r="AB44" i="74"/>
  <c r="AA44" i="74"/>
  <c r="Z44" i="74"/>
  <c r="Y44" i="74"/>
  <c r="X44" i="74"/>
  <c r="W44" i="74"/>
  <c r="V44" i="74"/>
  <c r="U44" i="74"/>
  <c r="T44" i="74"/>
  <c r="S44" i="74"/>
  <c r="R44" i="74"/>
  <c r="Q44" i="74"/>
  <c r="AC43" i="74"/>
  <c r="AB43" i="74"/>
  <c r="AA43" i="74"/>
  <c r="Z43" i="74"/>
  <c r="Y43" i="74"/>
  <c r="X43" i="74"/>
  <c r="W43" i="74"/>
  <c r="V43" i="74"/>
  <c r="U43" i="74"/>
  <c r="T43" i="74"/>
  <c r="S43" i="74"/>
  <c r="R43" i="74"/>
  <c r="Q43" i="74"/>
  <c r="AC41" i="74"/>
  <c r="Z41" i="74"/>
  <c r="Y41" i="74"/>
  <c r="V41" i="74"/>
  <c r="U41" i="74"/>
  <c r="R41" i="74"/>
  <c r="Q41" i="74"/>
  <c r="AB33" i="74"/>
  <c r="AA33" i="74"/>
  <c r="Z33" i="74"/>
  <c r="Y33" i="74"/>
  <c r="X33" i="74"/>
  <c r="V33" i="74"/>
  <c r="U33" i="74"/>
  <c r="T33" i="74"/>
  <c r="S33" i="74"/>
  <c r="R33" i="74"/>
  <c r="Q33" i="74"/>
  <c r="AC29" i="74"/>
  <c r="AB29" i="74"/>
  <c r="AA29" i="74"/>
  <c r="Z29" i="74"/>
  <c r="Y29" i="74"/>
  <c r="X29" i="74"/>
  <c r="W29" i="74"/>
  <c r="V29" i="74"/>
  <c r="U29" i="74"/>
  <c r="T29" i="74"/>
  <c r="S29" i="74"/>
  <c r="R29" i="74"/>
  <c r="Q29" i="74"/>
  <c r="AC28" i="74"/>
  <c r="Y28" i="74"/>
  <c r="X28" i="74"/>
  <c r="W28" i="74"/>
  <c r="AC27" i="74"/>
  <c r="Y27" i="74"/>
  <c r="X27" i="74"/>
  <c r="W27" i="74"/>
  <c r="AC26" i="74"/>
  <c r="AB26" i="74"/>
  <c r="AA26" i="74"/>
  <c r="Z26" i="74"/>
  <c r="Y26" i="74"/>
  <c r="X26" i="74"/>
  <c r="W26" i="74"/>
  <c r="T26" i="74"/>
  <c r="AC25" i="74"/>
  <c r="AB25" i="74"/>
  <c r="Z25" i="74"/>
  <c r="Y25" i="74"/>
  <c r="X25" i="74"/>
  <c r="W25" i="74"/>
  <c r="V25" i="74"/>
  <c r="U25" i="74"/>
  <c r="T25" i="74"/>
  <c r="S25" i="74"/>
  <c r="R25" i="74"/>
  <c r="Q25" i="74"/>
  <c r="Z23" i="74"/>
  <c r="V23" i="74"/>
  <c r="R23" i="74"/>
  <c r="O23" i="74"/>
  <c r="O271" i="74" s="1"/>
  <c r="O272" i="74" s="1"/>
  <c r="N23" i="74"/>
  <c r="AB41" i="74" s="1"/>
  <c r="M23" i="74"/>
  <c r="L23" i="74"/>
  <c r="K23" i="74"/>
  <c r="K271" i="74" s="1"/>
  <c r="K272" i="74" s="1"/>
  <c r="J23" i="74"/>
  <c r="X41" i="74" s="1"/>
  <c r="I23" i="74"/>
  <c r="H23" i="74"/>
  <c r="G23" i="74"/>
  <c r="G271" i="74" s="1"/>
  <c r="G272" i="74" s="1"/>
  <c r="F23" i="74"/>
  <c r="T41" i="74" s="1"/>
  <c r="E23" i="74"/>
  <c r="D23" i="74"/>
  <c r="C23" i="74"/>
  <c r="C271" i="74" s="1"/>
  <c r="C272" i="74" s="1"/>
  <c r="AB20" i="74"/>
  <c r="X20" i="74"/>
  <c r="T20" i="74"/>
  <c r="AA18" i="74"/>
  <c r="Z18" i="74"/>
  <c r="W18" i="74"/>
  <c r="V18" i="74"/>
  <c r="S18" i="74"/>
  <c r="R18" i="74"/>
  <c r="AA17" i="74"/>
  <c r="W17" i="74"/>
  <c r="S17" i="74"/>
  <c r="AC16" i="74"/>
  <c r="AC18" i="74" s="1"/>
  <c r="AB16" i="74"/>
  <c r="AA16" i="74"/>
  <c r="Z16" i="74"/>
  <c r="Z17" i="74" s="1"/>
  <c r="Y16" i="74"/>
  <c r="Y18" i="74" s="1"/>
  <c r="X16" i="74"/>
  <c r="W16" i="74"/>
  <c r="V16" i="74"/>
  <c r="V17" i="74" s="1"/>
  <c r="U16" i="74"/>
  <c r="U18" i="74" s="1"/>
  <c r="T16" i="74"/>
  <c r="S16" i="74"/>
  <c r="R16" i="74"/>
  <c r="R17" i="74" s="1"/>
  <c r="Q16" i="74"/>
  <c r="Q18" i="74" s="1"/>
  <c r="AC13" i="74"/>
  <c r="AB13" i="74"/>
  <c r="Z13" i="74"/>
  <c r="Y13" i="74"/>
  <c r="X13" i="74"/>
  <c r="W13" i="74"/>
  <c r="V13" i="74"/>
  <c r="U13" i="74"/>
  <c r="T13" i="74"/>
  <c r="S13" i="74"/>
  <c r="R13" i="74"/>
  <c r="Q13" i="74"/>
  <c r="AC8" i="74"/>
  <c r="AB8" i="74"/>
  <c r="AA8" i="74"/>
  <c r="Z8" i="74"/>
  <c r="Y8" i="74"/>
  <c r="X8" i="74"/>
  <c r="W8" i="74"/>
  <c r="V8" i="74"/>
  <c r="U8" i="74"/>
  <c r="T8" i="74"/>
  <c r="S8" i="74"/>
  <c r="R8" i="74"/>
  <c r="Q8" i="74"/>
  <c r="AC7" i="74"/>
  <c r="AB7" i="74"/>
  <c r="AA7" i="74"/>
  <c r="Z7" i="74"/>
  <c r="Y7" i="74"/>
  <c r="X7" i="74"/>
  <c r="W7" i="74"/>
  <c r="V7" i="74"/>
  <c r="U7" i="74"/>
  <c r="T7" i="74"/>
  <c r="S7" i="74"/>
  <c r="R7" i="74"/>
  <c r="Q7" i="74"/>
  <c r="AC6" i="74"/>
  <c r="AB6" i="74"/>
  <c r="AA6" i="74"/>
  <c r="Z6" i="74"/>
  <c r="Y6" i="74"/>
  <c r="X6" i="74"/>
  <c r="W6" i="74"/>
  <c r="V6" i="74"/>
  <c r="U6" i="74"/>
  <c r="T6" i="74"/>
  <c r="S6" i="74"/>
  <c r="R6" i="74"/>
  <c r="Q6" i="74"/>
  <c r="AC5" i="74"/>
  <c r="AB5" i="74"/>
  <c r="AA5" i="74"/>
  <c r="Z5" i="74"/>
  <c r="Y5" i="74"/>
  <c r="X5" i="74"/>
  <c r="W5" i="74"/>
  <c r="V5" i="74"/>
  <c r="U5" i="74"/>
  <c r="T5" i="74"/>
  <c r="S5" i="74"/>
  <c r="R5" i="74"/>
  <c r="Q5" i="74"/>
  <c r="AC4" i="74"/>
  <c r="AC19" i="74" s="1"/>
  <c r="AB4" i="74"/>
  <c r="AA4" i="74"/>
  <c r="Z4" i="74"/>
  <c r="Y4" i="74"/>
  <c r="Y19" i="74" s="1"/>
  <c r="X4" i="74"/>
  <c r="W4" i="74"/>
  <c r="V4" i="74"/>
  <c r="U4" i="74"/>
  <c r="U19" i="74" s="1"/>
  <c r="T4" i="74"/>
  <c r="S4" i="74"/>
  <c r="R4" i="74"/>
  <c r="Q4" i="74"/>
  <c r="Q19" i="74" s="1"/>
  <c r="AC3" i="74"/>
  <c r="AB3" i="74"/>
  <c r="AA3" i="74"/>
  <c r="Z3" i="74"/>
  <c r="Y3" i="74"/>
  <c r="X3" i="74"/>
  <c r="W3" i="74"/>
  <c r="V3" i="74"/>
  <c r="U3" i="74"/>
  <c r="T3" i="74"/>
  <c r="S3" i="74"/>
  <c r="R3" i="74"/>
  <c r="Q3" i="74"/>
  <c r="AC2" i="74"/>
  <c r="AB2" i="74"/>
  <c r="AB19" i="74" s="1"/>
  <c r="AA2" i="74"/>
  <c r="Z2" i="74"/>
  <c r="Y2" i="74"/>
  <c r="X2" i="74"/>
  <c r="X19" i="74" s="1"/>
  <c r="W2" i="74"/>
  <c r="V2" i="74"/>
  <c r="U2" i="74"/>
  <c r="T2" i="74"/>
  <c r="T19" i="74" s="1"/>
  <c r="S2" i="74"/>
  <c r="R2" i="74"/>
  <c r="Q2" i="74"/>
  <c r="Q303" i="74" s="1"/>
  <c r="BT59" i="1"/>
  <c r="BB59" i="1"/>
  <c r="AZ59" i="1"/>
  <c r="AE59" i="1"/>
  <c r="AD59" i="1"/>
  <c r="AC59" i="1"/>
  <c r="Z59" i="1"/>
  <c r="Y59" i="1"/>
  <c r="X59" i="1"/>
  <c r="W59" i="1"/>
  <c r="P59" i="1"/>
  <c r="AA59" i="1" s="1"/>
  <c r="M59" i="1"/>
  <c r="J59" i="1"/>
  <c r="CZ58" i="1"/>
  <c r="CY58" i="1"/>
  <c r="CX58" i="1"/>
  <c r="AZ58" i="1"/>
  <c r="BB58" i="1" s="1"/>
  <c r="BW58" i="1" s="1"/>
  <c r="AK58" i="1"/>
  <c r="AL58" i="1" s="1"/>
  <c r="AJ58" i="1"/>
  <c r="AB58" i="1"/>
  <c r="Y58" i="1"/>
  <c r="Q58" i="1"/>
  <c r="P58" i="1"/>
  <c r="O58" i="1"/>
  <c r="N58" i="1"/>
  <c r="L58" i="1"/>
  <c r="M58" i="1" s="1"/>
  <c r="K58" i="1"/>
  <c r="I58" i="1"/>
  <c r="AE58" i="1" s="1"/>
  <c r="G58" i="1"/>
  <c r="BR56" i="1"/>
  <c r="AZ56" i="1"/>
  <c r="BB56" i="1" s="1"/>
  <c r="AS56" i="1"/>
  <c r="AC56" i="1"/>
  <c r="CS51" i="1"/>
  <c r="CR51" i="1"/>
  <c r="CQ51" i="1"/>
  <c r="CP51" i="1"/>
  <c r="CO51" i="1"/>
  <c r="CN51" i="1"/>
  <c r="CM51" i="1"/>
  <c r="CL51" i="1"/>
  <c r="CK51" i="1"/>
  <c r="BU51" i="1"/>
  <c r="AZ51" i="1"/>
  <c r="BB51" i="1" s="1"/>
  <c r="AL51" i="1"/>
  <c r="AB51" i="1"/>
  <c r="Z51" i="1"/>
  <c r="X51" i="1"/>
  <c r="M51" i="1"/>
  <c r="Y51" i="1" s="1"/>
  <c r="J51" i="1"/>
  <c r="AE51" i="1" s="1"/>
  <c r="BB50" i="1"/>
  <c r="AZ50" i="1"/>
  <c r="AL50" i="1"/>
  <c r="AD50" i="1"/>
  <c r="AA50" i="1"/>
  <c r="Z50" i="1"/>
  <c r="X50" i="1"/>
  <c r="R50" i="1"/>
  <c r="P50" i="1"/>
  <c r="M50" i="1"/>
  <c r="Y50" i="1" s="1"/>
  <c r="J50" i="1"/>
  <c r="BV49" i="1"/>
  <c r="AZ49" i="1"/>
  <c r="BB49" i="1" s="1"/>
  <c r="BS49" i="1" s="1"/>
  <c r="AK49" i="1"/>
  <c r="AL49" i="1" s="1"/>
  <c r="AA49" i="1"/>
  <c r="R49" i="1"/>
  <c r="P49" i="1"/>
  <c r="M49" i="1"/>
  <c r="Y49" i="1" s="1"/>
  <c r="J49" i="1"/>
  <c r="BB48" i="1"/>
  <c r="AZ48" i="1"/>
  <c r="AE48" i="1"/>
  <c r="Z48" i="1"/>
  <c r="P48" i="1"/>
  <c r="AA48" i="1" s="1"/>
  <c r="M48" i="1"/>
  <c r="Y48" i="1" s="1"/>
  <c r="J48" i="1"/>
  <c r="X48" i="1" s="1"/>
  <c r="AZ47" i="1"/>
  <c r="BB47" i="1" s="1"/>
  <c r="AD47" i="1"/>
  <c r="AA47" i="1"/>
  <c r="Z47" i="1"/>
  <c r="W47" i="1"/>
  <c r="P47" i="1"/>
  <c r="M47" i="1"/>
  <c r="AE47" i="1" s="1"/>
  <c r="J47" i="1"/>
  <c r="BB46" i="1"/>
  <c r="AZ46" i="1"/>
  <c r="Z46" i="1"/>
  <c r="P46" i="1"/>
  <c r="M46" i="1"/>
  <c r="Y46" i="1" s="1"/>
  <c r="J46" i="1"/>
  <c r="AZ45" i="1"/>
  <c r="BB45" i="1" s="1"/>
  <c r="BY45" i="1" s="1"/>
  <c r="Z45" i="1"/>
  <c r="X45" i="1"/>
  <c r="P45" i="1"/>
  <c r="M45" i="1"/>
  <c r="Y45" i="1" s="1"/>
  <c r="J45" i="1"/>
  <c r="AC45" i="1" s="1"/>
  <c r="BB44" i="1"/>
  <c r="BE44" i="1" s="1"/>
  <c r="Q44" i="1" s="1"/>
  <c r="AB44" i="1" s="1"/>
  <c r="AZ44" i="1"/>
  <c r="Z44" i="1"/>
  <c r="Y44" i="1"/>
  <c r="P44" i="1"/>
  <c r="AA44" i="1" s="1"/>
  <c r="M44" i="1"/>
  <c r="J44" i="1"/>
  <c r="AC44" i="1" s="1"/>
  <c r="CX43" i="1"/>
  <c r="BY43" i="1"/>
  <c r="BB43" i="1"/>
  <c r="BE43" i="1" s="1"/>
  <c r="Q43" i="1" s="1"/>
  <c r="AZ43" i="1"/>
  <c r="AC43" i="1"/>
  <c r="W43" i="1"/>
  <c r="P43" i="1"/>
  <c r="M43" i="1"/>
  <c r="J43" i="1"/>
  <c r="AE43" i="1" s="1"/>
  <c r="BY42" i="1"/>
  <c r="BX42" i="1"/>
  <c r="BW42" i="1"/>
  <c r="BV42" i="1"/>
  <c r="BU42" i="1"/>
  <c r="BT42" i="1"/>
  <c r="BS42" i="1"/>
  <c r="BR42" i="1"/>
  <c r="BE42" i="1"/>
  <c r="AP42" i="1"/>
  <c r="Z42" i="1"/>
  <c r="Y42" i="1"/>
  <c r="Q42" i="1"/>
  <c r="P42" i="1"/>
  <c r="AA42" i="1" s="1"/>
  <c r="M42" i="1"/>
  <c r="J42" i="1"/>
  <c r="BB41" i="1"/>
  <c r="BE41" i="1" s="1"/>
  <c r="Q41" i="1" s="1"/>
  <c r="AZ41" i="1"/>
  <c r="AC41" i="1"/>
  <c r="Z41" i="1"/>
  <c r="Y41" i="1"/>
  <c r="W41" i="1"/>
  <c r="P41" i="1"/>
  <c r="AA41" i="1" s="1"/>
  <c r="M41" i="1"/>
  <c r="J41" i="1"/>
  <c r="BB40" i="1"/>
  <c r="BE40" i="1" s="1"/>
  <c r="Q40" i="1" s="1"/>
  <c r="AZ40" i="1"/>
  <c r="Z40" i="1"/>
  <c r="Y40" i="1"/>
  <c r="P40" i="1"/>
  <c r="AA40" i="1" s="1"/>
  <c r="M40" i="1"/>
  <c r="J40" i="1"/>
  <c r="BE38" i="1"/>
  <c r="BA38" i="1"/>
  <c r="BB38" i="1" s="1"/>
  <c r="BD38" i="1" s="1"/>
  <c r="AY38" i="1"/>
  <c r="AX38" i="1"/>
  <c r="AW38" i="1"/>
  <c r="AV38" i="1"/>
  <c r="AU38" i="1"/>
  <c r="AT38" i="1"/>
  <c r="AS38" i="1"/>
  <c r="AP38" i="1"/>
  <c r="AL38" i="1"/>
  <c r="AJ38" i="1"/>
  <c r="AK38" i="1" s="1"/>
  <c r="AD38" i="1"/>
  <c r="P38" i="1"/>
  <c r="AA38" i="1" s="1"/>
  <c r="M38" i="1"/>
  <c r="Y38" i="1" s="1"/>
  <c r="J38" i="1"/>
  <c r="X38" i="1" s="1"/>
  <c r="BF37" i="1"/>
  <c r="BG37" i="1" s="1"/>
  <c r="BE37" i="1"/>
  <c r="BA37" i="1"/>
  <c r="BB37" i="1" s="1"/>
  <c r="BD37" i="1" s="1"/>
  <c r="AY37" i="1"/>
  <c r="AX37" i="1"/>
  <c r="AW37" i="1"/>
  <c r="AV37" i="1"/>
  <c r="AU37" i="1"/>
  <c r="AT37" i="1"/>
  <c r="AS37" i="1"/>
  <c r="AK37" i="1"/>
  <c r="AL37" i="1" s="1"/>
  <c r="AJ37" i="1"/>
  <c r="AE37" i="1"/>
  <c r="AC37" i="1"/>
  <c r="AR37" i="1" s="1"/>
  <c r="AA37" i="1"/>
  <c r="Y37" i="1"/>
  <c r="W37" i="1"/>
  <c r="P37" i="1"/>
  <c r="M37" i="1"/>
  <c r="J37" i="1"/>
  <c r="AD37" i="1" s="1"/>
  <c r="BE36" i="1"/>
  <c r="BD36" i="1" s="1"/>
  <c r="BB36" i="1"/>
  <c r="BA36" i="1"/>
  <c r="AY36" i="1"/>
  <c r="AX36" i="1"/>
  <c r="AW36" i="1"/>
  <c r="AV36" i="1"/>
  <c r="AU36" i="1"/>
  <c r="AT36" i="1"/>
  <c r="AS36" i="1"/>
  <c r="AL36" i="1"/>
  <c r="AJ36" i="1"/>
  <c r="AK36" i="1" s="1"/>
  <c r="P36" i="1"/>
  <c r="M36" i="1"/>
  <c r="Y36" i="1" s="1"/>
  <c r="J36" i="1"/>
  <c r="AB36" i="1" s="1"/>
  <c r="BE35" i="1"/>
  <c r="BD35" i="1"/>
  <c r="BB35" i="1"/>
  <c r="AS35" i="1"/>
  <c r="AL35" i="1"/>
  <c r="AJ35" i="1"/>
  <c r="AK35" i="1" s="1"/>
  <c r="AD35" i="1"/>
  <c r="P35" i="1"/>
  <c r="AA35" i="1" s="1"/>
  <c r="M35" i="1"/>
  <c r="Y35" i="1" s="1"/>
  <c r="J35" i="1"/>
  <c r="X35" i="1" s="1"/>
  <c r="BF34" i="1"/>
  <c r="BG34" i="1" s="1"/>
  <c r="BE34" i="1"/>
  <c r="BA34" i="1"/>
  <c r="BB34" i="1" s="1"/>
  <c r="BD34" i="1" s="1"/>
  <c r="AY34" i="1"/>
  <c r="AX34" i="1"/>
  <c r="AW34" i="1"/>
  <c r="AV34" i="1"/>
  <c r="AU34" i="1"/>
  <c r="AT34" i="1"/>
  <c r="AS34" i="1"/>
  <c r="AK34" i="1"/>
  <c r="AL34" i="1" s="1"/>
  <c r="AJ34" i="1"/>
  <c r="AE34" i="1"/>
  <c r="AC34" i="1"/>
  <c r="AR34" i="1" s="1"/>
  <c r="AA34" i="1"/>
  <c r="Y34" i="1"/>
  <c r="W34" i="1"/>
  <c r="P34" i="1"/>
  <c r="M34" i="1"/>
  <c r="J34" i="1"/>
  <c r="AD34" i="1" s="1"/>
  <c r="BE33" i="1"/>
  <c r="BD33" i="1" s="1"/>
  <c r="BB33" i="1"/>
  <c r="BA33" i="1"/>
  <c r="AY33" i="1"/>
  <c r="AX33" i="1"/>
  <c r="AW33" i="1"/>
  <c r="AV33" i="1"/>
  <c r="AU33" i="1"/>
  <c r="AT33" i="1"/>
  <c r="AS33" i="1"/>
  <c r="AL33" i="1"/>
  <c r="AJ33" i="1"/>
  <c r="AK33" i="1" s="1"/>
  <c r="P33" i="1"/>
  <c r="M33" i="1"/>
  <c r="Y33" i="1" s="1"/>
  <c r="J33" i="1"/>
  <c r="AB33" i="1" s="1"/>
  <c r="BF32" i="1"/>
  <c r="BG32" i="1" s="1"/>
  <c r="BE32" i="1"/>
  <c r="BA32" i="1"/>
  <c r="BB32" i="1" s="1"/>
  <c r="BD32" i="1" s="1"/>
  <c r="AY32" i="1"/>
  <c r="AX32" i="1"/>
  <c r="AW32" i="1"/>
  <c r="AV32" i="1"/>
  <c r="AU32" i="1"/>
  <c r="AT32" i="1"/>
  <c r="AS32" i="1"/>
  <c r="AK32" i="1"/>
  <c r="AL32" i="1" s="1"/>
  <c r="AJ32" i="1"/>
  <c r="AC32" i="1"/>
  <c r="AR32" i="1" s="1"/>
  <c r="AA32" i="1"/>
  <c r="Y32" i="1"/>
  <c r="W32" i="1"/>
  <c r="P32" i="1"/>
  <c r="M32" i="1"/>
  <c r="AE32" i="1" s="1"/>
  <c r="J32" i="1"/>
  <c r="AB32" i="1" s="1"/>
  <c r="BE31" i="1"/>
  <c r="BD31" i="1" s="1"/>
  <c r="BB31" i="1"/>
  <c r="BA31" i="1"/>
  <c r="AY31" i="1"/>
  <c r="AX31" i="1"/>
  <c r="AW31" i="1"/>
  <c r="AV31" i="1"/>
  <c r="AU31" i="1"/>
  <c r="AT31" i="1"/>
  <c r="AS31" i="1"/>
  <c r="AL31" i="1"/>
  <c r="AJ31" i="1"/>
  <c r="AK31" i="1" s="1"/>
  <c r="AD31" i="1"/>
  <c r="P31" i="1"/>
  <c r="AA31" i="1" s="1"/>
  <c r="M31" i="1"/>
  <c r="Y31" i="1" s="1"/>
  <c r="J31" i="1"/>
  <c r="X31" i="1" s="1"/>
  <c r="BB29" i="1"/>
  <c r="BE29" i="1" s="1"/>
  <c r="AZ29" i="1"/>
  <c r="AK29" i="1"/>
  <c r="AF29" i="1"/>
  <c r="AD29" i="1"/>
  <c r="AB29" i="1"/>
  <c r="Z29" i="1"/>
  <c r="R29" i="1"/>
  <c r="O29" i="1"/>
  <c r="P29" i="1" s="1"/>
  <c r="AA29" i="1" s="1"/>
  <c r="M29" i="1"/>
  <c r="Y29" i="1" s="1"/>
  <c r="J29" i="1"/>
  <c r="I29" i="1"/>
  <c r="H29" i="1"/>
  <c r="G29" i="1"/>
  <c r="AZ28" i="1"/>
  <c r="BB28" i="1" s="1"/>
  <c r="BS28" i="1" s="1"/>
  <c r="AP28" i="1"/>
  <c r="AK28" i="1"/>
  <c r="AC28" i="1"/>
  <c r="AR28" i="1" s="1"/>
  <c r="AA28" i="1"/>
  <c r="Z28" i="1"/>
  <c r="W28" i="1"/>
  <c r="P28" i="1"/>
  <c r="M28" i="1"/>
  <c r="AE28" i="1" s="1"/>
  <c r="J28" i="1"/>
  <c r="AE27" i="1"/>
  <c r="Z27" i="1"/>
  <c r="P27" i="1"/>
  <c r="AA27" i="1" s="1"/>
  <c r="M27" i="1"/>
  <c r="Y27" i="1" s="1"/>
  <c r="J27" i="1"/>
  <c r="X27" i="1" s="1"/>
  <c r="AC26" i="1"/>
  <c r="AR26" i="1" s="1"/>
  <c r="X26" i="1"/>
  <c r="P26" i="1"/>
  <c r="M26" i="1"/>
  <c r="Y26" i="1" s="1"/>
  <c r="J26" i="1"/>
  <c r="AE26" i="1" s="1"/>
  <c r="AE25" i="1"/>
  <c r="AA25" i="1"/>
  <c r="Z25" i="1"/>
  <c r="Y25" i="1"/>
  <c r="W25" i="1"/>
  <c r="P25" i="1"/>
  <c r="M25" i="1"/>
  <c r="AC25" i="1" s="1"/>
  <c r="AR25" i="1" s="1"/>
  <c r="J25" i="1"/>
  <c r="AD25" i="1" s="1"/>
  <c r="AD24" i="1"/>
  <c r="Z24" i="1"/>
  <c r="P24" i="1"/>
  <c r="AA24" i="1" s="1"/>
  <c r="M24" i="1"/>
  <c r="Y24" i="1" s="1"/>
  <c r="J24" i="1"/>
  <c r="X24" i="1" s="1"/>
  <c r="AZ23" i="1"/>
  <c r="BB23" i="1" s="1"/>
  <c r="AK23" i="1"/>
  <c r="AL23" i="1" s="1"/>
  <c r="AD23" i="1"/>
  <c r="Y23" i="1"/>
  <c r="R23" i="1"/>
  <c r="P23" i="1"/>
  <c r="M23" i="1"/>
  <c r="J23" i="1"/>
  <c r="BF23" i="1" s="1"/>
  <c r="BG23" i="1" s="1"/>
  <c r="BW22" i="1"/>
  <c r="BS22" i="1"/>
  <c r="BB22" i="1"/>
  <c r="BU22" i="1" s="1"/>
  <c r="AZ22" i="1"/>
  <c r="AL22" i="1"/>
  <c r="AH22" i="1"/>
  <c r="AG22" i="1"/>
  <c r="AF22" i="1"/>
  <c r="AD22" i="1"/>
  <c r="AB22" i="1"/>
  <c r="Z22" i="1"/>
  <c r="R22" i="1"/>
  <c r="P22" i="1"/>
  <c r="AA22" i="1" s="1"/>
  <c r="M22" i="1"/>
  <c r="Y22" i="1" s="1"/>
  <c r="J22" i="1"/>
  <c r="CS21" i="1"/>
  <c r="CR21" i="1"/>
  <c r="CQ21" i="1"/>
  <c r="CP21" i="1"/>
  <c r="CO21" i="1"/>
  <c r="CN21" i="1"/>
  <c r="CM21" i="1"/>
  <c r="CL21" i="1"/>
  <c r="CK21" i="1"/>
  <c r="BV21" i="1"/>
  <c r="BR21" i="1"/>
  <c r="BB21" i="1"/>
  <c r="BT21" i="1" s="1"/>
  <c r="AZ21" i="1"/>
  <c r="AL21" i="1"/>
  <c r="AH21" i="1"/>
  <c r="AG21" i="1"/>
  <c r="AF21" i="1"/>
  <c r="AD21" i="1"/>
  <c r="Z21" i="1"/>
  <c r="R21" i="1"/>
  <c r="P21" i="1"/>
  <c r="AA21" i="1" s="1"/>
  <c r="M21" i="1"/>
  <c r="Y21" i="1" s="1"/>
  <c r="J21" i="1"/>
  <c r="BX20" i="1"/>
  <c r="BT20" i="1"/>
  <c r="BF20" i="1"/>
  <c r="BG20" i="1" s="1"/>
  <c r="AZ20" i="1"/>
  <c r="BB20" i="1" s="1"/>
  <c r="BR20" i="1" s="1"/>
  <c r="AK20" i="1"/>
  <c r="AL20" i="1" s="1"/>
  <c r="AB20" i="1"/>
  <c r="Y20" i="1"/>
  <c r="R20" i="1"/>
  <c r="P20" i="1"/>
  <c r="AA20" i="1" s="1"/>
  <c r="M20" i="1"/>
  <c r="J20" i="1"/>
  <c r="AD20" i="1" s="1"/>
  <c r="AZ19" i="1"/>
  <c r="BB19" i="1" s="1"/>
  <c r="AK19" i="1"/>
  <c r="AL19" i="1" s="1"/>
  <c r="AD19" i="1"/>
  <c r="Y19" i="1"/>
  <c r="R19" i="1"/>
  <c r="P19" i="1"/>
  <c r="M19" i="1"/>
  <c r="J19" i="1"/>
  <c r="BF19" i="1" s="1"/>
  <c r="BG19" i="1" s="1"/>
  <c r="BX18" i="1"/>
  <c r="BT18" i="1"/>
  <c r="BR18" i="1"/>
  <c r="AZ18" i="1"/>
  <c r="BB18" i="1" s="1"/>
  <c r="AK18" i="1"/>
  <c r="AL18" i="1" s="1"/>
  <c r="Y18" i="1"/>
  <c r="R18" i="1"/>
  <c r="P18" i="1"/>
  <c r="M18" i="1"/>
  <c r="J18" i="1"/>
  <c r="BR17" i="1"/>
  <c r="BF17" i="1"/>
  <c r="BG17" i="1" s="1"/>
  <c r="AZ17" i="1"/>
  <c r="BB17" i="1" s="1"/>
  <c r="BT17" i="1" s="1"/>
  <c r="AK17" i="1"/>
  <c r="AL17" i="1" s="1"/>
  <c r="AD17" i="1"/>
  <c r="AB17" i="1"/>
  <c r="Y17" i="1"/>
  <c r="R17" i="1"/>
  <c r="P17" i="1"/>
  <c r="AA17" i="1" s="1"/>
  <c r="M17" i="1"/>
  <c r="J17" i="1"/>
  <c r="BF15" i="1"/>
  <c r="BG15" i="1" s="1"/>
  <c r="AZ15" i="1"/>
  <c r="BB15" i="1" s="1"/>
  <c r="AL15" i="1"/>
  <c r="AK15" i="1"/>
  <c r="AE15" i="1"/>
  <c r="AC15" i="1"/>
  <c r="AR15" i="1" s="1"/>
  <c r="AA15" i="1"/>
  <c r="Z15" i="1"/>
  <c r="Y15" i="1"/>
  <c r="W15" i="1"/>
  <c r="P15" i="1"/>
  <c r="M15" i="1"/>
  <c r="J15" i="1"/>
  <c r="AD15" i="1" s="1"/>
  <c r="BS14" i="1"/>
  <c r="AZ14" i="1"/>
  <c r="BB14" i="1" s="1"/>
  <c r="BU14" i="1" s="1"/>
  <c r="AK14" i="1"/>
  <c r="Z14" i="1"/>
  <c r="Y14" i="1"/>
  <c r="P14" i="1"/>
  <c r="AA14" i="1" s="1"/>
  <c r="M14" i="1"/>
  <c r="J14" i="1"/>
  <c r="AE14" i="1" s="1"/>
  <c r="BV13" i="1"/>
  <c r="BR13" i="1"/>
  <c r="BB13" i="1"/>
  <c r="BT13" i="1" s="1"/>
  <c r="AZ13" i="1"/>
  <c r="AL13" i="1"/>
  <c r="AK13" i="1"/>
  <c r="AJ13" i="1"/>
  <c r="Z13" i="1"/>
  <c r="P13" i="1"/>
  <c r="AA13" i="1" s="1"/>
  <c r="M13" i="1"/>
  <c r="Y13" i="1" s="1"/>
  <c r="J13" i="1"/>
  <c r="BY12" i="1"/>
  <c r="BU12" i="1"/>
  <c r="BS12" i="1"/>
  <c r="BE12" i="1"/>
  <c r="Q12" i="1" s="1"/>
  <c r="AB12" i="1" s="1"/>
  <c r="AZ12" i="1"/>
  <c r="BB12" i="1" s="1"/>
  <c r="AK12" i="1"/>
  <c r="AC12" i="1"/>
  <c r="Z12" i="1"/>
  <c r="Y12" i="1"/>
  <c r="W12" i="1"/>
  <c r="P12" i="1"/>
  <c r="AA12" i="1" s="1"/>
  <c r="M12" i="1"/>
  <c r="J12" i="1"/>
  <c r="BB11" i="1"/>
  <c r="BY11" i="1" s="1"/>
  <c r="AZ11" i="1"/>
  <c r="AK11" i="1"/>
  <c r="AL11" i="1" s="1"/>
  <c r="AF11" i="1"/>
  <c r="AC11" i="1"/>
  <c r="AR11" i="1" s="1"/>
  <c r="AA11" i="1"/>
  <c r="Z11" i="1"/>
  <c r="W11" i="1"/>
  <c r="P11" i="1"/>
  <c r="M11" i="1"/>
  <c r="AE11" i="1" s="1"/>
  <c r="J11" i="1"/>
  <c r="CX10" i="1"/>
  <c r="BV10" i="1"/>
  <c r="BR10" i="1"/>
  <c r="BB10" i="1"/>
  <c r="BT10" i="1" s="1"/>
  <c r="AZ10" i="1"/>
  <c r="AK10" i="1"/>
  <c r="AC10" i="1"/>
  <c r="AR10" i="1" s="1"/>
  <c r="Z10" i="1"/>
  <c r="Y10" i="1"/>
  <c r="W10" i="1"/>
  <c r="P10" i="1"/>
  <c r="AA10" i="1" s="1"/>
  <c r="M10" i="1"/>
  <c r="J10" i="1"/>
  <c r="BB9" i="1"/>
  <c r="BE9" i="1" s="1"/>
  <c r="Q9" i="1" s="1"/>
  <c r="AZ9" i="1"/>
  <c r="AE9" i="1"/>
  <c r="P9" i="1"/>
  <c r="AA9" i="1" s="1"/>
  <c r="M9" i="1"/>
  <c r="J9" i="1"/>
  <c r="W9" i="1" s="1"/>
  <c r="BB8" i="1"/>
  <c r="BW8" i="1" s="1"/>
  <c r="AZ8" i="1"/>
  <c r="AK8" i="1"/>
  <c r="AL8" i="1" s="1"/>
  <c r="Z8" i="1"/>
  <c r="P8" i="1"/>
  <c r="M8" i="1"/>
  <c r="X8" i="1" s="1"/>
  <c r="J8" i="1"/>
  <c r="AE8" i="1" s="1"/>
  <c r="AZ7" i="1"/>
  <c r="BB7" i="1" s="1"/>
  <c r="AK7" i="1"/>
  <c r="AL7" i="1" s="1"/>
  <c r="Z7" i="1"/>
  <c r="Y7" i="1"/>
  <c r="P7" i="1"/>
  <c r="M7" i="1"/>
  <c r="J7" i="1"/>
  <c r="AD7" i="1" s="1"/>
  <c r="BV6" i="1"/>
  <c r="BR6" i="1"/>
  <c r="BB6" i="1"/>
  <c r="BY6" i="1" s="1"/>
  <c r="AZ6" i="1"/>
  <c r="O6" i="1"/>
  <c r="M6" i="1"/>
  <c r="Y6" i="1" s="1"/>
  <c r="L6" i="1"/>
  <c r="J6" i="1"/>
  <c r="AE6" i="1" s="1"/>
  <c r="G6" i="1"/>
  <c r="AZ5" i="1"/>
  <c r="BB5" i="1" s="1"/>
  <c r="BE5" i="1" s="1"/>
  <c r="AL5" i="1"/>
  <c r="AK5" i="1"/>
  <c r="AA5" i="1"/>
  <c r="Z5" i="1"/>
  <c r="W5" i="1"/>
  <c r="P5" i="1"/>
  <c r="M5" i="1"/>
  <c r="AE5" i="1" s="1"/>
  <c r="J5" i="1"/>
  <c r="AB5" i="1" s="1"/>
  <c r="AZ4" i="1"/>
  <c r="BB4" i="1" s="1"/>
  <c r="AK4" i="1"/>
  <c r="AL4" i="1" s="1"/>
  <c r="Z4" i="1"/>
  <c r="Y4" i="1"/>
  <c r="P4" i="1"/>
  <c r="M4" i="1"/>
  <c r="J4" i="1"/>
  <c r="AD4" i="1" s="1"/>
  <c r="BV3" i="1"/>
  <c r="BR3" i="1"/>
  <c r="BB3" i="1"/>
  <c r="BY3" i="1" s="1"/>
  <c r="AZ3" i="1"/>
  <c r="AK3" i="1"/>
  <c r="AL3" i="1" s="1"/>
  <c r="AF3" i="1"/>
  <c r="Z3" i="1"/>
  <c r="Y3" i="1"/>
  <c r="P3" i="1"/>
  <c r="M3" i="1"/>
  <c r="J3" i="1"/>
  <c r="AD3" i="1" s="1"/>
  <c r="BV2" i="1"/>
  <c r="BR2" i="1"/>
  <c r="BB2" i="1"/>
  <c r="BY2" i="1" s="1"/>
  <c r="AZ2" i="1"/>
  <c r="AK2" i="1"/>
  <c r="AL2" i="1" s="1"/>
  <c r="AF2" i="1"/>
  <c r="Y2" i="1"/>
  <c r="N2" i="1"/>
  <c r="P2" i="1" s="1"/>
  <c r="M2" i="1"/>
  <c r="K2" i="1"/>
  <c r="H2" i="1"/>
  <c r="Z2" i="1" s="1"/>
  <c r="G2" i="1"/>
  <c r="AO152" i="25"/>
  <c r="AJ152" i="25"/>
  <c r="AE152" i="25"/>
  <c r="Z152" i="25"/>
  <c r="O152" i="25"/>
  <c r="AM151" i="25"/>
  <c r="AH151" i="25"/>
  <c r="AC151" i="25"/>
  <c r="W151" i="25"/>
  <c r="Q151" i="25"/>
  <c r="M151" i="25"/>
  <c r="D151" i="25"/>
  <c r="W149" i="25"/>
  <c r="O149" i="25"/>
  <c r="O151" i="25" s="1"/>
  <c r="M149" i="25"/>
  <c r="D149" i="25"/>
  <c r="AT148" i="25"/>
  <c r="AS148" i="25"/>
  <c r="AK148" i="25"/>
  <c r="AJ148" i="25"/>
  <c r="AI148" i="25"/>
  <c r="AH148" i="25"/>
  <c r="AG148" i="25"/>
  <c r="AE148" i="25"/>
  <c r="AD148" i="25"/>
  <c r="AC148" i="25"/>
  <c r="AA148" i="25"/>
  <c r="Z148" i="25"/>
  <c r="Y148" i="25"/>
  <c r="W148" i="25"/>
  <c r="U148" i="25"/>
  <c r="T148" i="25"/>
  <c r="S148" i="25"/>
  <c r="Q148" i="25"/>
  <c r="P148" i="25"/>
  <c r="O148" i="25"/>
  <c r="M148" i="25"/>
  <c r="L148" i="25"/>
  <c r="D148" i="25"/>
  <c r="B148" i="25"/>
  <c r="AT147" i="25"/>
  <c r="AS147" i="25"/>
  <c r="AQ147" i="25"/>
  <c r="AO147" i="25"/>
  <c r="AN147" i="25"/>
  <c r="AN152" i="25" s="1"/>
  <c r="AM147" i="25"/>
  <c r="AM152" i="25" s="1"/>
  <c r="AK147" i="25"/>
  <c r="AK152" i="25" s="1"/>
  <c r="AJ147" i="25"/>
  <c r="AI147" i="25"/>
  <c r="AI152" i="25" s="1"/>
  <c r="AH147" i="25"/>
  <c r="AH152" i="25" s="1"/>
  <c r="AG147" i="25"/>
  <c r="AG152" i="25" s="1"/>
  <c r="AE147" i="25"/>
  <c r="AD147" i="25"/>
  <c r="AD152" i="25" s="1"/>
  <c r="AC147" i="25"/>
  <c r="AC152" i="25" s="1"/>
  <c r="AA147" i="25"/>
  <c r="AA152" i="25" s="1"/>
  <c r="Y147" i="25"/>
  <c r="Y152" i="25" s="1"/>
  <c r="U147" i="25"/>
  <c r="U152" i="25" s="1"/>
  <c r="T147" i="25"/>
  <c r="T152" i="25" s="1"/>
  <c r="S147" i="25"/>
  <c r="S152" i="25" s="1"/>
  <c r="Q147" i="25"/>
  <c r="Q152" i="25" s="1"/>
  <c r="P147" i="25"/>
  <c r="P152" i="25" s="1"/>
  <c r="D147" i="25"/>
  <c r="D152" i="25" s="1"/>
  <c r="AT145" i="25"/>
  <c r="AS145" i="25"/>
  <c r="AQ145" i="25"/>
  <c r="AO145" i="25"/>
  <c r="AN145" i="25"/>
  <c r="AM145" i="25"/>
  <c r="AK145" i="25"/>
  <c r="AJ145" i="25"/>
  <c r="AI145" i="25"/>
  <c r="AH145" i="25"/>
  <c r="AG145" i="25"/>
  <c r="AE145" i="25"/>
  <c r="AD145" i="25"/>
  <c r="AC145" i="25"/>
  <c r="AA145" i="25"/>
  <c r="Z145" i="25"/>
  <c r="Y145" i="25"/>
  <c r="W145" i="25"/>
  <c r="U145" i="25"/>
  <c r="T145" i="25"/>
  <c r="S145" i="25"/>
  <c r="Q145" i="25"/>
  <c r="P145" i="25"/>
  <c r="O145" i="25"/>
  <c r="N145" i="25"/>
  <c r="M145" i="25"/>
  <c r="L145" i="25"/>
  <c r="K145" i="25"/>
  <c r="J145" i="25"/>
  <c r="I145" i="25"/>
  <c r="H145" i="25"/>
  <c r="G145" i="25"/>
  <c r="F145" i="25"/>
  <c r="E145" i="25"/>
  <c r="D145" i="25"/>
  <c r="C145" i="25"/>
  <c r="AX143" i="25"/>
  <c r="AV143" i="25"/>
  <c r="AX142" i="25"/>
  <c r="AV142" i="25"/>
  <c r="AX141" i="25"/>
  <c r="AV141" i="25"/>
  <c r="AX140" i="25"/>
  <c r="AT140" i="25"/>
  <c r="AS140" i="25"/>
  <c r="AR140" i="25"/>
  <c r="AO140" i="25"/>
  <c r="AN140" i="25"/>
  <c r="AM140" i="25"/>
  <c r="AK140" i="25"/>
  <c r="AJ140" i="25"/>
  <c r="AI140" i="25"/>
  <c r="AH140" i="25"/>
  <c r="AG140" i="25"/>
  <c r="AE140" i="25"/>
  <c r="AD140" i="25"/>
  <c r="AC140" i="25"/>
  <c r="AA140" i="25"/>
  <c r="Z140" i="25"/>
  <c r="Y140" i="25"/>
  <c r="W140" i="25"/>
  <c r="U140" i="25"/>
  <c r="S140" i="25"/>
  <c r="AX139" i="25"/>
  <c r="AV139" i="25"/>
  <c r="Q139" i="25"/>
  <c r="AX138" i="25"/>
  <c r="AV138" i="25"/>
  <c r="AV140" i="25" s="1"/>
  <c r="Q138" i="25"/>
  <c r="Q140" i="25" s="1"/>
  <c r="AX137" i="25"/>
  <c r="AV137" i="25"/>
  <c r="AX136" i="25"/>
  <c r="AV136" i="25"/>
  <c r="AX135" i="25"/>
  <c r="AV135" i="25"/>
  <c r="AT134" i="25"/>
  <c r="AX134" i="25" s="1"/>
  <c r="AS134" i="25"/>
  <c r="Q134" i="25"/>
  <c r="P134" i="25"/>
  <c r="O134" i="25"/>
  <c r="M134" i="25"/>
  <c r="L134" i="25"/>
  <c r="K134" i="25"/>
  <c r="J134" i="25"/>
  <c r="I134" i="25"/>
  <c r="G134" i="25"/>
  <c r="F134" i="25"/>
  <c r="E134" i="25"/>
  <c r="D134" i="25"/>
  <c r="C134" i="25"/>
  <c r="B134" i="25"/>
  <c r="AT133" i="25"/>
  <c r="AX133" i="25" s="1"/>
  <c r="AS133" i="25"/>
  <c r="AO133" i="25"/>
  <c r="AN133" i="25"/>
  <c r="AM133" i="25"/>
  <c r="AK133" i="25"/>
  <c r="AJ133" i="25"/>
  <c r="AI133" i="25"/>
  <c r="AH133" i="25"/>
  <c r="AG133" i="25"/>
  <c r="AE133" i="25"/>
  <c r="AD133" i="25"/>
  <c r="AC133" i="25"/>
  <c r="AA133" i="25"/>
  <c r="Z133" i="25"/>
  <c r="Y133" i="25"/>
  <c r="W133" i="25"/>
  <c r="U133" i="25"/>
  <c r="T133" i="25"/>
  <c r="S133" i="25"/>
  <c r="Q133" i="25"/>
  <c r="P133" i="25"/>
  <c r="O133" i="25"/>
  <c r="N133" i="25"/>
  <c r="M133" i="25"/>
  <c r="L133" i="25"/>
  <c r="K133" i="25"/>
  <c r="J133" i="25"/>
  <c r="I133" i="25"/>
  <c r="H133" i="25"/>
  <c r="G133" i="25"/>
  <c r="F133" i="25"/>
  <c r="E133" i="25"/>
  <c r="D133" i="25"/>
  <c r="C133" i="25"/>
  <c r="B133" i="25"/>
  <c r="AV127" i="25"/>
  <c r="AT79" i="25"/>
  <c r="AS79" i="25"/>
  <c r="AO79" i="25"/>
  <c r="AN79" i="25"/>
  <c r="AM79" i="25"/>
  <c r="AK79" i="25"/>
  <c r="AI79" i="25"/>
  <c r="AG79" i="25"/>
  <c r="AD79" i="25"/>
  <c r="AA79" i="25"/>
  <c r="Y79" i="25"/>
  <c r="U79" i="25"/>
  <c r="S79" i="25"/>
  <c r="Q79" i="25"/>
  <c r="P79" i="25"/>
  <c r="O79" i="25"/>
  <c r="N79" i="25"/>
  <c r="M79" i="25"/>
  <c r="L79" i="25"/>
  <c r="K79" i="25"/>
  <c r="J79" i="25"/>
  <c r="I79" i="25"/>
  <c r="G79" i="25"/>
  <c r="F79" i="25"/>
  <c r="E79" i="25"/>
  <c r="D79" i="25"/>
  <c r="C79" i="25"/>
  <c r="B79" i="25"/>
  <c r="AV77" i="25"/>
  <c r="AQ77" i="25"/>
  <c r="AV76" i="25"/>
  <c r="AQ76" i="25"/>
  <c r="AJ76" i="25"/>
  <c r="AI76" i="25"/>
  <c r="AH76" i="25"/>
  <c r="AH79" i="25" s="1"/>
  <c r="AG76" i="25"/>
  <c r="AE76" i="25"/>
  <c r="AE79" i="25" s="1"/>
  <c r="AD76" i="25"/>
  <c r="AC76" i="25"/>
  <c r="AC79" i="25" s="1"/>
  <c r="AA76" i="25"/>
  <c r="Z76" i="25"/>
  <c r="Z79" i="25" s="1"/>
  <c r="Y76" i="25"/>
  <c r="W76" i="25"/>
  <c r="W79" i="25" s="1"/>
  <c r="U76" i="25"/>
  <c r="T76" i="25"/>
  <c r="T79" i="25" s="1"/>
  <c r="S76" i="25"/>
  <c r="AV75" i="25"/>
  <c r="AV74" i="25"/>
  <c r="AQ74" i="25"/>
  <c r="AV73" i="25"/>
  <c r="AQ73" i="25"/>
  <c r="AV72" i="25"/>
  <c r="AQ72" i="25"/>
  <c r="AV71" i="25"/>
  <c r="AQ71" i="25"/>
  <c r="AV70" i="25"/>
  <c r="AQ70" i="25"/>
  <c r="AV69" i="25"/>
  <c r="AQ69" i="25"/>
  <c r="AV68" i="25"/>
  <c r="AV145" i="25" s="1"/>
  <c r="AQ68" i="25"/>
  <c r="AV67" i="25"/>
  <c r="AV66" i="25"/>
  <c r="AQ66" i="25"/>
  <c r="AV65" i="25"/>
  <c r="AQ65" i="25"/>
  <c r="AV64" i="25"/>
  <c r="AQ64" i="25"/>
  <c r="AV63" i="25"/>
  <c r="AQ63" i="25"/>
  <c r="AV62" i="25"/>
  <c r="AV61" i="25"/>
  <c r="AV60" i="25"/>
  <c r="AQ60" i="25"/>
  <c r="AV59" i="25"/>
  <c r="AQ59" i="25"/>
  <c r="AV58" i="25"/>
  <c r="AQ58" i="25"/>
  <c r="AV57" i="25"/>
  <c r="AV56" i="25"/>
  <c r="AV55" i="25"/>
  <c r="AQ55" i="25"/>
  <c r="AV54" i="25"/>
  <c r="AQ54" i="25"/>
  <c r="AV53" i="25"/>
  <c r="AQ53" i="25"/>
  <c r="AV52" i="25"/>
  <c r="AV134" i="25" s="1"/>
  <c r="AQ52" i="25"/>
  <c r="AQ134" i="25" s="1"/>
  <c r="AV51" i="25"/>
  <c r="AV50" i="25"/>
  <c r="AV49" i="25"/>
  <c r="AV48" i="25"/>
  <c r="AQ48" i="25"/>
  <c r="AV47" i="25"/>
  <c r="AV46" i="25"/>
  <c r="AQ46" i="25"/>
  <c r="AV45" i="25"/>
  <c r="AQ45" i="25"/>
  <c r="AV44" i="25"/>
  <c r="AQ44" i="25"/>
  <c r="AV43" i="25"/>
  <c r="AQ43" i="25"/>
  <c r="AV42" i="25"/>
  <c r="AQ42" i="25"/>
  <c r="AV41" i="25"/>
  <c r="AQ41" i="25"/>
  <c r="AV40" i="25"/>
  <c r="AQ40" i="25"/>
  <c r="AV39" i="25"/>
  <c r="AQ39" i="25"/>
  <c r="AV38" i="25"/>
  <c r="AQ38" i="25"/>
  <c r="AV37" i="25"/>
  <c r="AQ37" i="25"/>
  <c r="AV36" i="25"/>
  <c r="AQ36" i="25"/>
  <c r="AV35" i="25"/>
  <c r="AV79" i="25" s="1"/>
  <c r="AQ35" i="25"/>
  <c r="AQ79" i="25" s="1"/>
  <c r="AV31" i="25"/>
  <c r="AT31" i="25"/>
  <c r="AQ31" i="25"/>
  <c r="AN31" i="25"/>
  <c r="AO31" i="25" s="1"/>
  <c r="AO14" i="25"/>
  <c r="AN14" i="25"/>
  <c r="AM14" i="25"/>
  <c r="AK14" i="25"/>
  <c r="AJ14" i="25"/>
  <c r="AI14" i="25"/>
  <c r="AH14" i="25"/>
  <c r="AG14" i="25"/>
  <c r="AE14" i="25"/>
  <c r="AD14" i="25"/>
  <c r="AC14" i="25"/>
  <c r="AA14" i="25"/>
  <c r="Z14" i="25"/>
  <c r="Y14" i="25"/>
  <c r="W14" i="25"/>
  <c r="U14" i="25"/>
  <c r="T14" i="25"/>
  <c r="S14" i="25"/>
  <c r="Q14" i="25"/>
  <c r="P14" i="25"/>
  <c r="O14" i="25"/>
  <c r="N14" i="25"/>
  <c r="M14" i="25"/>
  <c r="L14" i="25"/>
  <c r="K14" i="25"/>
  <c r="J14" i="25"/>
  <c r="I14" i="25"/>
  <c r="H14" i="25"/>
  <c r="G14" i="25"/>
  <c r="F14" i="25"/>
  <c r="E14" i="25"/>
  <c r="D14" i="25"/>
  <c r="C14" i="25"/>
  <c r="B14" i="25"/>
  <c r="AO13" i="25"/>
  <c r="AN13" i="25"/>
  <c r="AM13" i="25"/>
  <c r="AK13" i="25"/>
  <c r="AI13" i="25"/>
  <c r="AG13" i="25"/>
  <c r="AD13" i="25"/>
  <c r="AA13" i="25"/>
  <c r="Y13" i="25"/>
  <c r="U13" i="25"/>
  <c r="S13" i="25"/>
  <c r="Q13" i="25"/>
  <c r="P13" i="25"/>
  <c r="O13" i="25"/>
  <c r="N13" i="25"/>
  <c r="M13" i="25"/>
  <c r="L13" i="25"/>
  <c r="K13" i="25"/>
  <c r="J13" i="25"/>
  <c r="I13" i="25"/>
  <c r="H13" i="25"/>
  <c r="G13" i="25"/>
  <c r="F13" i="25"/>
  <c r="E13" i="25"/>
  <c r="D13" i="25"/>
  <c r="C13" i="25"/>
  <c r="B13" i="25"/>
  <c r="AO12" i="25"/>
  <c r="AN12" i="25"/>
  <c r="AM12" i="25"/>
  <c r="AK12" i="25"/>
  <c r="AJ12" i="25"/>
  <c r="AI12" i="25"/>
  <c r="AH12" i="25"/>
  <c r="AG12" i="25"/>
  <c r="AE12" i="25"/>
  <c r="AD12" i="25"/>
  <c r="AC12" i="25"/>
  <c r="AA12" i="25"/>
  <c r="Z12" i="25"/>
  <c r="Y12" i="25"/>
  <c r="W12" i="25"/>
  <c r="U12" i="25"/>
  <c r="T12" i="25"/>
  <c r="S12" i="25"/>
  <c r="Q12" i="25"/>
  <c r="P12" i="25"/>
  <c r="O12" i="25"/>
  <c r="N12" i="25"/>
  <c r="M12" i="25"/>
  <c r="L12" i="25"/>
  <c r="K12" i="25"/>
  <c r="J12" i="25"/>
  <c r="I12" i="25"/>
  <c r="H12" i="25"/>
  <c r="G12" i="25"/>
  <c r="F12" i="25"/>
  <c r="E12" i="25"/>
  <c r="D12" i="25"/>
  <c r="C12" i="25"/>
  <c r="AO11" i="25"/>
  <c r="AO151" i="25" s="1"/>
  <c r="AN11" i="25"/>
  <c r="AN151" i="25" s="1"/>
  <c r="AM11" i="25"/>
  <c r="AK11" i="25"/>
  <c r="AK151" i="25" s="1"/>
  <c r="AJ11" i="25"/>
  <c r="AJ151" i="25" s="1"/>
  <c r="AI11" i="25"/>
  <c r="AI151" i="25" s="1"/>
  <c r="AH11" i="25"/>
  <c r="AG11" i="25"/>
  <c r="AG151" i="25" s="1"/>
  <c r="AE11" i="25"/>
  <c r="AE151" i="25" s="1"/>
  <c r="AD11" i="25"/>
  <c r="AD151" i="25" s="1"/>
  <c r="AC11" i="25"/>
  <c r="AA11" i="25"/>
  <c r="AA151" i="25" s="1"/>
  <c r="Z11" i="25"/>
  <c r="Z151" i="25" s="1"/>
  <c r="Y11" i="25"/>
  <c r="Y151" i="25" s="1"/>
  <c r="W11" i="25"/>
  <c r="W152" i="25" s="1"/>
  <c r="U11" i="25"/>
  <c r="U151" i="25" s="1"/>
  <c r="T11" i="25"/>
  <c r="T151" i="25" s="1"/>
  <c r="S11" i="25"/>
  <c r="S151" i="25" s="1"/>
  <c r="Q11" i="25"/>
  <c r="P11" i="25"/>
  <c r="P151" i="25" s="1"/>
  <c r="O11" i="25"/>
  <c r="N11" i="25"/>
  <c r="N152" i="25" s="1"/>
  <c r="M11" i="25"/>
  <c r="M152" i="25" s="1"/>
  <c r="L11" i="25"/>
  <c r="L151" i="25" s="1"/>
  <c r="K11" i="25"/>
  <c r="J11" i="25"/>
  <c r="I11" i="25"/>
  <c r="I151" i="25" s="1"/>
  <c r="H11" i="25"/>
  <c r="H151" i="25" s="1"/>
  <c r="G11" i="25"/>
  <c r="F11" i="25"/>
  <c r="E11" i="25"/>
  <c r="D11" i="25"/>
  <c r="C11" i="25"/>
  <c r="C151" i="25" s="1"/>
  <c r="AV10" i="25"/>
  <c r="AQ10" i="25"/>
  <c r="AV9" i="25"/>
  <c r="AT9" i="25"/>
  <c r="AS9" i="25"/>
  <c r="AQ9" i="25"/>
  <c r="AV8" i="25"/>
  <c r="AT8" i="25"/>
  <c r="AT11" i="25" s="1"/>
  <c r="AT151" i="25" s="1"/>
  <c r="AS8" i="25"/>
  <c r="AQ8" i="25"/>
  <c r="AV7" i="25"/>
  <c r="AT7" i="25"/>
  <c r="AT13" i="25" s="1"/>
  <c r="AS7" i="25"/>
  <c r="AQ7" i="25"/>
  <c r="AK7" i="25"/>
  <c r="AJ7" i="25"/>
  <c r="AJ13" i="25" s="1"/>
  <c r="AI7" i="25"/>
  <c r="AH7" i="25"/>
  <c r="AH13" i="25" s="1"/>
  <c r="AG7" i="25"/>
  <c r="AE7" i="25"/>
  <c r="AE13" i="25" s="1"/>
  <c r="AD7" i="25"/>
  <c r="AC7" i="25"/>
  <c r="AC13" i="25" s="1"/>
  <c r="AA7" i="25"/>
  <c r="Z7" i="25"/>
  <c r="Z13" i="25" s="1"/>
  <c r="Y7" i="25"/>
  <c r="W7" i="25"/>
  <c r="W13" i="25" s="1"/>
  <c r="U7" i="25"/>
  <c r="T7" i="25"/>
  <c r="T13" i="25" s="1"/>
  <c r="S7" i="25"/>
  <c r="AV6" i="25"/>
  <c r="AQ6" i="25"/>
  <c r="B6" i="25"/>
  <c r="B12" i="25" s="1"/>
  <c r="AV3" i="25"/>
  <c r="AV14" i="25" s="1"/>
  <c r="AT3" i="25"/>
  <c r="AT14" i="25" s="1"/>
  <c r="AS3" i="25"/>
  <c r="AS13" i="25" s="1"/>
  <c r="AQ3" i="25"/>
  <c r="AQ12" i="25" s="1"/>
  <c r="D273" i="18"/>
  <c r="D269" i="18"/>
  <c r="D262" i="18"/>
  <c r="D254" i="18"/>
  <c r="D247" i="18"/>
  <c r="D240" i="18"/>
  <c r="D233" i="18"/>
  <c r="D231" i="18"/>
  <c r="D226" i="18"/>
  <c r="D219" i="18"/>
  <c r="D215" i="18"/>
  <c r="D209" i="18"/>
  <c r="D200" i="18"/>
  <c r="D195" i="18"/>
  <c r="D187" i="18"/>
  <c r="D178" i="18"/>
  <c r="D170" i="18"/>
  <c r="D27" i="18" s="1"/>
  <c r="D164" i="18"/>
  <c r="D151" i="18"/>
  <c r="D146" i="18"/>
  <c r="D142" i="18"/>
  <c r="C136" i="18"/>
  <c r="D135" i="18"/>
  <c r="D25" i="18" s="1"/>
  <c r="D129" i="18"/>
  <c r="D125" i="18"/>
  <c r="D120" i="18"/>
  <c r="D110" i="18"/>
  <c r="D103" i="18"/>
  <c r="D97" i="18"/>
  <c r="D94" i="18"/>
  <c r="D88" i="18"/>
  <c r="D79" i="18"/>
  <c r="D74" i="18"/>
  <c r="D64" i="18"/>
  <c r="D56" i="18"/>
  <c r="D51" i="18"/>
  <c r="D46" i="18"/>
  <c r="D41" i="18"/>
  <c r="D33" i="18"/>
  <c r="D286" i="18" s="1"/>
  <c r="C31" i="18"/>
  <c r="D29" i="18"/>
  <c r="D28" i="18"/>
  <c r="D26" i="18"/>
  <c r="D24" i="18"/>
  <c r="D21" i="18"/>
  <c r="C21" i="18"/>
  <c r="D20" i="18"/>
  <c r="C20" i="18"/>
  <c r="D19" i="18"/>
  <c r="C19" i="18"/>
  <c r="C18" i="18"/>
  <c r="C17" i="18"/>
  <c r="C16" i="18"/>
  <c r="C14" i="18"/>
  <c r="C15" i="18" s="1"/>
  <c r="C10" i="18"/>
  <c r="C9" i="18"/>
  <c r="C168" i="209"/>
  <c r="C165" i="209"/>
  <c r="C149" i="209"/>
  <c r="O117" i="209"/>
  <c r="C116" i="209"/>
  <c r="O115" i="209"/>
  <c r="C114" i="209"/>
  <c r="O113" i="209"/>
  <c r="C112" i="209"/>
  <c r="O111" i="209"/>
  <c r="C107" i="209"/>
  <c r="O106" i="209"/>
  <c r="C106" i="209"/>
  <c r="C105" i="209"/>
  <c r="O104" i="209"/>
  <c r="C103" i="209"/>
  <c r="O102" i="209"/>
  <c r="C101" i="209"/>
  <c r="C100" i="209"/>
  <c r="O100" i="209" s="1"/>
  <c r="C99" i="209"/>
  <c r="C98" i="209"/>
  <c r="C97" i="209"/>
  <c r="C96" i="209"/>
  <c r="C95" i="209"/>
  <c r="C94" i="209"/>
  <c r="C92" i="209"/>
  <c r="O90" i="209"/>
  <c r="O86" i="209"/>
  <c r="O85" i="209"/>
  <c r="O84" i="209"/>
  <c r="O83" i="209"/>
  <c r="C82" i="209"/>
  <c r="O82" i="209" s="1"/>
  <c r="C81" i="209"/>
  <c r="O81" i="209" s="1"/>
  <c r="O80" i="209"/>
  <c r="O79" i="209"/>
  <c r="O78" i="209"/>
  <c r="O77" i="209"/>
  <c r="O76" i="209"/>
  <c r="O68" i="209"/>
  <c r="O67" i="209"/>
  <c r="O66" i="209"/>
  <c r="C66" i="209"/>
  <c r="O65" i="209"/>
  <c r="C64" i="209"/>
  <c r="O64" i="209" s="1"/>
  <c r="O63" i="209"/>
  <c r="O61" i="209"/>
  <c r="O60" i="209"/>
  <c r="O59" i="209"/>
  <c r="O58" i="209"/>
  <c r="O57" i="209"/>
  <c r="O56" i="209"/>
  <c r="O55" i="209"/>
  <c r="O53" i="209"/>
  <c r="O52" i="209"/>
  <c r="O51" i="209"/>
  <c r="O50" i="209"/>
  <c r="O49" i="209"/>
  <c r="O48" i="209"/>
  <c r="O47" i="209"/>
  <c r="O46" i="209"/>
  <c r="O44" i="209"/>
  <c r="O43" i="209"/>
  <c r="O42" i="209"/>
  <c r="O41" i="209"/>
  <c r="BV7" i="1" l="1"/>
  <c r="BR7" i="1"/>
  <c r="BS7" i="1"/>
  <c r="BY7" i="1"/>
  <c r="BU7" i="1"/>
  <c r="BE7" i="1"/>
  <c r="Q7" i="1" s="1"/>
  <c r="AB7" i="1" s="1"/>
  <c r="BX7" i="1"/>
  <c r="BT7" i="1"/>
  <c r="BW7" i="1"/>
  <c r="AT152" i="25"/>
  <c r="BV4" i="1"/>
  <c r="BR4" i="1"/>
  <c r="BY4" i="1"/>
  <c r="BU4" i="1"/>
  <c r="BE4" i="1"/>
  <c r="Q4" i="1" s="1"/>
  <c r="AB4" i="1" s="1"/>
  <c r="BW4" i="1"/>
  <c r="BX4" i="1"/>
  <c r="BT4" i="1"/>
  <c r="BS4" i="1"/>
  <c r="AQ14" i="25"/>
  <c r="AA3" i="1"/>
  <c r="AE3" i="1"/>
  <c r="Y5" i="1"/>
  <c r="AC5" i="1"/>
  <c r="AR5" i="1" s="1"/>
  <c r="W7" i="1"/>
  <c r="AE7" i="1"/>
  <c r="BT8" i="1"/>
  <c r="AL10" i="1"/>
  <c r="AJ10" i="1"/>
  <c r="AL12" i="1"/>
  <c r="AJ12" i="1"/>
  <c r="AC18" i="1"/>
  <c r="X18" i="1"/>
  <c r="AE18" i="1"/>
  <c r="BW19" i="1"/>
  <c r="BS19" i="1"/>
  <c r="BY19" i="1"/>
  <c r="BU19" i="1"/>
  <c r="BY23" i="1"/>
  <c r="BU23" i="1"/>
  <c r="BW23" i="1"/>
  <c r="BS23" i="1"/>
  <c r="Z33" i="1"/>
  <c r="AD40" i="1"/>
  <c r="X40" i="1"/>
  <c r="AD46" i="1"/>
  <c r="W46" i="1"/>
  <c r="W20" i="74"/>
  <c r="W19" i="74"/>
  <c r="BW2" i="205"/>
  <c r="BS2" i="205"/>
  <c r="BZ2" i="205"/>
  <c r="BV2" i="205"/>
  <c r="BF2" i="205"/>
  <c r="Q2" i="205" s="1"/>
  <c r="AB2" i="205" s="1"/>
  <c r="BY2" i="205"/>
  <c r="BU2" i="205"/>
  <c r="BX2" i="205"/>
  <c r="BT2" i="205"/>
  <c r="AV11" i="25"/>
  <c r="AS12" i="25"/>
  <c r="AV13" i="25"/>
  <c r="AS14" i="25"/>
  <c r="AV133" i="25"/>
  <c r="N151" i="25"/>
  <c r="L152" i="25"/>
  <c r="BS2" i="1"/>
  <c r="BW2" i="1"/>
  <c r="X3" i="1"/>
  <c r="BS3" i="1"/>
  <c r="BW3" i="1"/>
  <c r="X4" i="1"/>
  <c r="AJ4" i="1"/>
  <c r="AD5" i="1"/>
  <c r="BF5" i="1"/>
  <c r="BG5" i="1" s="1"/>
  <c r="X6" i="1"/>
  <c r="BS6" i="1"/>
  <c r="BW6" i="1"/>
  <c r="X7" i="1"/>
  <c r="AJ7" i="1"/>
  <c r="Y8" i="1"/>
  <c r="AC8" i="1"/>
  <c r="AR8" i="1" s="1"/>
  <c r="BE8" i="1"/>
  <c r="Q8" i="1" s="1"/>
  <c r="AB8" i="1" s="1"/>
  <c r="BU8" i="1"/>
  <c r="BY8" i="1"/>
  <c r="AD11" i="1"/>
  <c r="Y11" i="1"/>
  <c r="BV12" i="1"/>
  <c r="BR12" i="1"/>
  <c r="BX12" i="1"/>
  <c r="BT12" i="1"/>
  <c r="BW12" i="1"/>
  <c r="AJ14" i="1"/>
  <c r="AL14" i="1"/>
  <c r="AE17" i="1"/>
  <c r="AC17" i="1"/>
  <c r="X17" i="1"/>
  <c r="W17" i="1"/>
  <c r="BY18" i="1"/>
  <c r="BU18" i="1"/>
  <c r="BW18" i="1"/>
  <c r="BS18" i="1"/>
  <c r="BV18" i="1"/>
  <c r="AA19" i="1"/>
  <c r="AB19" i="1"/>
  <c r="BX19" i="1"/>
  <c r="AC21" i="1"/>
  <c r="AR21" i="1" s="1"/>
  <c r="AE21" i="1"/>
  <c r="W21" i="1"/>
  <c r="X21" i="1"/>
  <c r="AE22" i="1"/>
  <c r="X22" i="1"/>
  <c r="AA23" i="1"/>
  <c r="AB23" i="1"/>
  <c r="BX23" i="1"/>
  <c r="AD28" i="1"/>
  <c r="Y28" i="1"/>
  <c r="BE28" i="1"/>
  <c r="BY28" i="1"/>
  <c r="AC29" i="1"/>
  <c r="AR29" i="1" s="1"/>
  <c r="AE29" i="1"/>
  <c r="W29" i="1"/>
  <c r="X29" i="1"/>
  <c r="AB41" i="1"/>
  <c r="W44" i="1"/>
  <c r="BY44" i="1"/>
  <c r="AD45" i="1"/>
  <c r="AC46" i="1"/>
  <c r="AC47" i="1"/>
  <c r="Y47" i="1"/>
  <c r="AD49" i="1"/>
  <c r="BX51" i="1"/>
  <c r="BT51" i="1"/>
  <c r="BW51" i="1"/>
  <c r="BS51" i="1"/>
  <c r="BV51" i="1"/>
  <c r="BR51" i="1"/>
  <c r="BE51" i="1"/>
  <c r="BY51" i="1"/>
  <c r="B11" i="25"/>
  <c r="W3" i="1"/>
  <c r="AA4" i="1"/>
  <c r="AA7" i="1"/>
  <c r="BX8" i="1"/>
  <c r="W18" i="1"/>
  <c r="BV23" i="1"/>
  <c r="BF33" i="1"/>
  <c r="BG33" i="1" s="1"/>
  <c r="AE33" i="1"/>
  <c r="W33" i="1"/>
  <c r="AC33" i="1"/>
  <c r="AR33" i="1" s="1"/>
  <c r="BF36" i="1"/>
  <c r="BG36" i="1" s="1"/>
  <c r="AE36" i="1"/>
  <c r="W36" i="1"/>
  <c r="AC36" i="1"/>
  <c r="AR36" i="1" s="1"/>
  <c r="AE40" i="1"/>
  <c r="S20" i="74"/>
  <c r="S19" i="74"/>
  <c r="T18" i="74"/>
  <c r="T17" i="74"/>
  <c r="AQ11" i="25"/>
  <c r="AQ151" i="25" s="1"/>
  <c r="AT12" i="25"/>
  <c r="AQ13" i="25"/>
  <c r="AQ133" i="25"/>
  <c r="BT2" i="1"/>
  <c r="BX2" i="1"/>
  <c r="AC3" i="1"/>
  <c r="AR3" i="1" s="1"/>
  <c r="BT3" i="1"/>
  <c r="BX3" i="1"/>
  <c r="AC4" i="1"/>
  <c r="BT6" i="1"/>
  <c r="BX6" i="1"/>
  <c r="AC7" i="1"/>
  <c r="AD8" i="1"/>
  <c r="BR8" i="1"/>
  <c r="BV8" i="1"/>
  <c r="AD9" i="1"/>
  <c r="X9" i="1"/>
  <c r="AB9" i="1"/>
  <c r="AD13" i="1"/>
  <c r="BX14" i="1"/>
  <c r="BT14" i="1"/>
  <c r="BV14" i="1"/>
  <c r="BR14" i="1"/>
  <c r="BW14" i="1"/>
  <c r="BW17" i="1"/>
  <c r="BS17" i="1"/>
  <c r="BY17" i="1"/>
  <c r="BU17" i="1"/>
  <c r="BV17" i="1"/>
  <c r="AA18" i="1"/>
  <c r="AB18" i="1"/>
  <c r="BF18" i="1"/>
  <c r="BG18" i="1" s="1"/>
  <c r="BR19" i="1"/>
  <c r="AC20" i="1"/>
  <c r="X20" i="1"/>
  <c r="AE20" i="1"/>
  <c r="W20" i="1"/>
  <c r="BR23" i="1"/>
  <c r="AE24" i="1"/>
  <c r="W24" i="1"/>
  <c r="AC24" i="1"/>
  <c r="AR24" i="1" s="1"/>
  <c r="AD27" i="1"/>
  <c r="W27" i="1"/>
  <c r="AL28" i="1"/>
  <c r="AJ28" i="1"/>
  <c r="AJ29" i="1"/>
  <c r="AL29" i="1"/>
  <c r="AC31" i="1"/>
  <c r="AR31" i="1" s="1"/>
  <c r="BF31" i="1"/>
  <c r="BG31" i="1" s="1"/>
  <c r="AE31" i="1"/>
  <c r="W31" i="1"/>
  <c r="Z31" i="1"/>
  <c r="AA33" i="1"/>
  <c r="AD33" i="1"/>
  <c r="AC35" i="1"/>
  <c r="AR35" i="1" s="1"/>
  <c r="AE35" i="1"/>
  <c r="W35" i="1"/>
  <c r="Z35" i="1"/>
  <c r="AA36" i="1"/>
  <c r="AD36" i="1"/>
  <c r="AC38" i="1"/>
  <c r="AR38" i="1" s="1"/>
  <c r="AE38" i="1"/>
  <c r="W38" i="1"/>
  <c r="Z38" i="1"/>
  <c r="AB40" i="1"/>
  <c r="AD42" i="1"/>
  <c r="AB42" i="1"/>
  <c r="X42" i="1"/>
  <c r="W42" i="1"/>
  <c r="AC42" i="1"/>
  <c r="AR42" i="1" s="1"/>
  <c r="AD44" i="1"/>
  <c r="X44" i="1"/>
  <c r="AE44" i="1"/>
  <c r="AA46" i="1"/>
  <c r="AE46" i="1"/>
  <c r="W48" i="1"/>
  <c r="AD48" i="1"/>
  <c r="AA58" i="1"/>
  <c r="U20" i="74"/>
  <c r="Y20" i="74"/>
  <c r="AC20" i="74"/>
  <c r="AN68" i="74"/>
  <c r="AH100" i="74"/>
  <c r="AL100" i="74"/>
  <c r="F288" i="74"/>
  <c r="F294" i="74"/>
  <c r="F298" i="74" s="1"/>
  <c r="F287" i="74"/>
  <c r="W4" i="1"/>
  <c r="AE4" i="1"/>
  <c r="X14" i="1"/>
  <c r="AD14" i="1"/>
  <c r="BV19" i="1"/>
  <c r="BX28" i="1"/>
  <c r="BT28" i="1"/>
  <c r="BV28" i="1"/>
  <c r="BR28" i="1"/>
  <c r="BW28" i="1"/>
  <c r="Z36" i="1"/>
  <c r="BV58" i="1"/>
  <c r="BR58" i="1"/>
  <c r="BY58" i="1"/>
  <c r="BU58" i="1"/>
  <c r="BE58" i="1"/>
  <c r="BX58" i="1"/>
  <c r="BT58" i="1"/>
  <c r="BS58" i="1"/>
  <c r="AA20" i="74"/>
  <c r="AA19" i="74"/>
  <c r="X18" i="74"/>
  <c r="X17" i="74"/>
  <c r="D23" i="18"/>
  <c r="D31" i="18" s="1"/>
  <c r="AS11" i="25"/>
  <c r="AS151" i="25" s="1"/>
  <c r="AV12" i="25"/>
  <c r="J2" i="1"/>
  <c r="AA2" i="1" s="1"/>
  <c r="BE2" i="1"/>
  <c r="BU2" i="1"/>
  <c r="BE3" i="1"/>
  <c r="Q3" i="1" s="1"/>
  <c r="AB3" i="1" s="1"/>
  <c r="BU3" i="1"/>
  <c r="X5" i="1"/>
  <c r="BE6" i="1"/>
  <c r="Q6" i="1" s="1"/>
  <c r="AB6" i="1" s="1"/>
  <c r="BU6" i="1"/>
  <c r="W8" i="1"/>
  <c r="AA8" i="1"/>
  <c r="BS8" i="1"/>
  <c r="AC9" i="1"/>
  <c r="AD10" i="1"/>
  <c r="X10" i="1"/>
  <c r="AE10" i="1"/>
  <c r="BY10" i="1"/>
  <c r="BU10" i="1"/>
  <c r="BE10" i="1"/>
  <c r="Q10" i="1" s="1"/>
  <c r="AB10" i="1" s="1"/>
  <c r="BW10" i="1"/>
  <c r="BS10" i="1"/>
  <c r="BX10" i="1"/>
  <c r="AD12" i="1"/>
  <c r="X12" i="1"/>
  <c r="AE12" i="1"/>
  <c r="AE13" i="1"/>
  <c r="X13" i="1"/>
  <c r="BW13" i="1"/>
  <c r="BS13" i="1"/>
  <c r="BY13" i="1"/>
  <c r="BU13" i="1"/>
  <c r="BE13" i="1"/>
  <c r="Q13" i="1" s="1"/>
  <c r="AB13" i="1" s="1"/>
  <c r="BX13" i="1"/>
  <c r="W14" i="1"/>
  <c r="AC14" i="1"/>
  <c r="BE14" i="1"/>
  <c r="Q14" i="1" s="1"/>
  <c r="AB14" i="1" s="1"/>
  <c r="BY14" i="1"/>
  <c r="BX17" i="1"/>
  <c r="AD18" i="1"/>
  <c r="AE19" i="1"/>
  <c r="AC19" i="1"/>
  <c r="X19" i="1"/>
  <c r="W19" i="1"/>
  <c r="BT19" i="1"/>
  <c r="BY20" i="1"/>
  <c r="BU20" i="1"/>
  <c r="BW20" i="1"/>
  <c r="BS20" i="1"/>
  <c r="BV20" i="1"/>
  <c r="BW21" i="1"/>
  <c r="BS21" i="1"/>
  <c r="BY21" i="1"/>
  <c r="BU21" i="1"/>
  <c r="BE21" i="1"/>
  <c r="Q21" i="1" s="1"/>
  <c r="AB21" i="1" s="1"/>
  <c r="BX21" i="1"/>
  <c r="BV22" i="1"/>
  <c r="BR22" i="1"/>
  <c r="BX22" i="1"/>
  <c r="BT22" i="1"/>
  <c r="AC23" i="1"/>
  <c r="X23" i="1"/>
  <c r="AE23" i="1"/>
  <c r="W23" i="1"/>
  <c r="BT23" i="1"/>
  <c r="AB24" i="1"/>
  <c r="AD26" i="1"/>
  <c r="AB26" i="1"/>
  <c r="W26" i="1"/>
  <c r="AA26" i="1"/>
  <c r="AC27" i="1"/>
  <c r="BU28" i="1"/>
  <c r="AB31" i="1"/>
  <c r="X33" i="1"/>
  <c r="AB35" i="1"/>
  <c r="BF35" i="1"/>
  <c r="BG35" i="1" s="1"/>
  <c r="X36" i="1"/>
  <c r="AB38" i="1"/>
  <c r="BF38" i="1"/>
  <c r="BG38" i="1" s="1"/>
  <c r="W40" i="1"/>
  <c r="AC40" i="1"/>
  <c r="AD41" i="1"/>
  <c r="X41" i="1"/>
  <c r="AE41" i="1"/>
  <c r="AE42" i="1"/>
  <c r="AD43" i="1"/>
  <c r="X43" i="1"/>
  <c r="AA43" i="1"/>
  <c r="AB43" i="1"/>
  <c r="BE45" i="1"/>
  <c r="Q45" i="1" s="1"/>
  <c r="AB45" i="1" s="1"/>
  <c r="X46" i="1"/>
  <c r="AC48" i="1"/>
  <c r="X49" i="1"/>
  <c r="BX49" i="1"/>
  <c r="BT49" i="1"/>
  <c r="BU49" i="1"/>
  <c r="BW49" i="1"/>
  <c r="BR49" i="1"/>
  <c r="BY49" i="1"/>
  <c r="AF54" i="74"/>
  <c r="AJ54" i="74"/>
  <c r="AN54" i="74"/>
  <c r="J296" i="74"/>
  <c r="J300" i="74" s="1"/>
  <c r="J290" i="74"/>
  <c r="X11" i="1"/>
  <c r="AB11" i="1"/>
  <c r="AC13" i="1"/>
  <c r="X15" i="1"/>
  <c r="AB15" i="1"/>
  <c r="AC22" i="1"/>
  <c r="AR22" i="1" s="1"/>
  <c r="X25" i="1"/>
  <c r="AB25" i="1"/>
  <c r="X28" i="1"/>
  <c r="AB28" i="1"/>
  <c r="Z32" i="1"/>
  <c r="AD32" i="1"/>
  <c r="X34" i="1"/>
  <c r="AB34" i="1"/>
  <c r="X37" i="1"/>
  <c r="AB37" i="1"/>
  <c r="W45" i="1"/>
  <c r="AA45" i="1"/>
  <c r="AE45" i="1"/>
  <c r="BF49" i="1"/>
  <c r="BG49" i="1" s="1"/>
  <c r="AC49" i="1"/>
  <c r="AR49" i="1" s="1"/>
  <c r="W49" i="1"/>
  <c r="AB49" i="1"/>
  <c r="BY56" i="1"/>
  <c r="BU56" i="1"/>
  <c r="BE56" i="1"/>
  <c r="BX56" i="1"/>
  <c r="BT56" i="1"/>
  <c r="BD56" i="1"/>
  <c r="BW56" i="1"/>
  <c r="BS56" i="1"/>
  <c r="BW59" i="1"/>
  <c r="BS59" i="1"/>
  <c r="BV59" i="1"/>
  <c r="BR59" i="1"/>
  <c r="BY59" i="1"/>
  <c r="BU59" i="1"/>
  <c r="BE59" i="1"/>
  <c r="Q59" i="1" s="1"/>
  <c r="AB59" i="1" s="1"/>
  <c r="R20" i="74"/>
  <c r="V20" i="74"/>
  <c r="Z20" i="74"/>
  <c r="AH61" i="74"/>
  <c r="AL61" i="74"/>
  <c r="AP61" i="74"/>
  <c r="AI100" i="74"/>
  <c r="AM100" i="74"/>
  <c r="AB18" i="74"/>
  <c r="AB17" i="74"/>
  <c r="S41" i="74"/>
  <c r="E271" i="74"/>
  <c r="E272" i="74" s="1"/>
  <c r="S23" i="74"/>
  <c r="W41" i="74"/>
  <c r="I271" i="74"/>
  <c r="I272" i="74" s="1"/>
  <c r="W23" i="74"/>
  <c r="AA41" i="74"/>
  <c r="M271" i="74"/>
  <c r="M272" i="74" s="1"/>
  <c r="AA23" i="74"/>
  <c r="AH68" i="74"/>
  <c r="AL68" i="74"/>
  <c r="AP68" i="74"/>
  <c r="O296" i="74"/>
  <c r="O300" i="74" s="1"/>
  <c r="O290" i="74"/>
  <c r="N287" i="74"/>
  <c r="N295" i="74"/>
  <c r="N299" i="74" s="1"/>
  <c r="N289" i="74"/>
  <c r="O286" i="74"/>
  <c r="W13" i="1"/>
  <c r="W22" i="1"/>
  <c r="X32" i="1"/>
  <c r="Z34" i="1"/>
  <c r="Z37" i="1"/>
  <c r="X47" i="1"/>
  <c r="AE49" i="1"/>
  <c r="AC50" i="1"/>
  <c r="AE50" i="1"/>
  <c r="W50" i="1"/>
  <c r="AB50" i="1"/>
  <c r="BV56" i="1"/>
  <c r="BX59" i="1"/>
  <c r="AE54" i="74"/>
  <c r="AI54" i="74"/>
  <c r="AM54" i="74"/>
  <c r="AQ54" i="74"/>
  <c r="AE68" i="74"/>
  <c r="AI68" i="74"/>
  <c r="AQ68" i="74"/>
  <c r="AG134" i="74"/>
  <c r="Q279" i="74"/>
  <c r="Q280" i="74"/>
  <c r="Q281" i="74"/>
  <c r="AC51" i="1"/>
  <c r="AR51" i="1" s="1"/>
  <c r="AC58" i="1"/>
  <c r="AR58" i="1" s="1"/>
  <c r="R19" i="74"/>
  <c r="V19" i="74"/>
  <c r="Z19" i="74"/>
  <c r="Q20" i="74"/>
  <c r="C264" i="74"/>
  <c r="G264" i="74"/>
  <c r="K264" i="74"/>
  <c r="S11" i="26"/>
  <c r="AD2" i="205"/>
  <c r="W3" i="205"/>
  <c r="AA3" i="205"/>
  <c r="AE3" i="205"/>
  <c r="BW3" i="205"/>
  <c r="BS3" i="205"/>
  <c r="BY3" i="205"/>
  <c r="BU3" i="205"/>
  <c r="AC4" i="205"/>
  <c r="X4" i="205"/>
  <c r="AE4" i="205"/>
  <c r="W4" i="205"/>
  <c r="BX5" i="205"/>
  <c r="BT5" i="205"/>
  <c r="BZ5" i="205"/>
  <c r="BV5" i="205"/>
  <c r="BW5" i="205"/>
  <c r="AC8" i="205"/>
  <c r="X8" i="205"/>
  <c r="AE8" i="205"/>
  <c r="W8" i="205"/>
  <c r="BX11" i="205"/>
  <c r="BT11" i="205"/>
  <c r="BW11" i="205"/>
  <c r="BS11" i="205"/>
  <c r="BZ11" i="205"/>
  <c r="BV11" i="205"/>
  <c r="BF11" i="205"/>
  <c r="Q11" i="205" s="1"/>
  <c r="AB11" i="205" s="1"/>
  <c r="BW14" i="205"/>
  <c r="BS14" i="205"/>
  <c r="BZ14" i="205"/>
  <c r="BV14" i="205"/>
  <c r="BF14" i="205"/>
  <c r="Q14" i="205" s="1"/>
  <c r="AB14" i="205" s="1"/>
  <c r="BY14" i="205"/>
  <c r="BU14" i="205"/>
  <c r="AD51" i="1"/>
  <c r="J58" i="1"/>
  <c r="AD58" i="1"/>
  <c r="Q17" i="74"/>
  <c r="U17" i="74"/>
  <c r="Y17" i="74"/>
  <c r="AC17" i="74"/>
  <c r="T23" i="74"/>
  <c r="X23" i="74"/>
  <c r="AB23" i="74"/>
  <c r="D264" i="74"/>
  <c r="H264" i="74"/>
  <c r="L264" i="74"/>
  <c r="F271" i="74"/>
  <c r="F272" i="74" s="1"/>
  <c r="J271" i="74"/>
  <c r="J272" i="74" s="1"/>
  <c r="N271" i="74"/>
  <c r="N272" i="74" s="1"/>
  <c r="Q302" i="74"/>
  <c r="B12" i="26"/>
  <c r="B93" i="26"/>
  <c r="W2" i="205"/>
  <c r="AA2" i="205"/>
  <c r="AE2" i="205"/>
  <c r="X3" i="205"/>
  <c r="AB3" i="205"/>
  <c r="BT3" i="205"/>
  <c r="BZ4" i="205"/>
  <c r="BV4" i="205"/>
  <c r="BX4" i="205"/>
  <c r="BT4" i="205"/>
  <c r="BW4" i="205"/>
  <c r="BY5" i="205"/>
  <c r="AE7" i="205"/>
  <c r="AC7" i="205"/>
  <c r="X7" i="205"/>
  <c r="W7" i="205"/>
  <c r="BZ8" i="205"/>
  <c r="BV8" i="205"/>
  <c r="BX8" i="205"/>
  <c r="BT8" i="205"/>
  <c r="BW8" i="205"/>
  <c r="BU11" i="205"/>
  <c r="AK12" i="205"/>
  <c r="AM12" i="205"/>
  <c r="BT14" i="205"/>
  <c r="AE25" i="205"/>
  <c r="Y25" i="205"/>
  <c r="AC25" i="205"/>
  <c r="AS25" i="205" s="1"/>
  <c r="AE28" i="205"/>
  <c r="Y28" i="205"/>
  <c r="AC28" i="205"/>
  <c r="AS28" i="205" s="1"/>
  <c r="Y46" i="205"/>
  <c r="AD46" i="205"/>
  <c r="W51" i="1"/>
  <c r="AA51" i="1"/>
  <c r="Q23" i="74"/>
  <c r="U23" i="74"/>
  <c r="Y23" i="74"/>
  <c r="AC23" i="74"/>
  <c r="E264" i="74"/>
  <c r="I264" i="74"/>
  <c r="O92" i="26"/>
  <c r="X2" i="205"/>
  <c r="AC3" i="205"/>
  <c r="AS3" i="205" s="1"/>
  <c r="BV3" i="205"/>
  <c r="AA4" i="205"/>
  <c r="AB4" i="205"/>
  <c r="BG4" i="205"/>
  <c r="BH4" i="205" s="1"/>
  <c r="BY4" i="205"/>
  <c r="BS5" i="205"/>
  <c r="AC6" i="205"/>
  <c r="X6" i="205"/>
  <c r="AE6" i="205"/>
  <c r="W6" i="205"/>
  <c r="BX7" i="205"/>
  <c r="BT7" i="205"/>
  <c r="BZ7" i="205"/>
  <c r="BV7" i="205"/>
  <c r="BW7" i="205"/>
  <c r="AA8" i="205"/>
  <c r="AB8" i="205"/>
  <c r="BG8" i="205"/>
  <c r="BH8" i="205" s="1"/>
  <c r="BY8" i="205"/>
  <c r="AD10" i="205"/>
  <c r="AC10" i="205"/>
  <c r="X10" i="205"/>
  <c r="BY11" i="205"/>
  <c r="BY12" i="205"/>
  <c r="BU12" i="205"/>
  <c r="BX12" i="205"/>
  <c r="BT12" i="205"/>
  <c r="BW12" i="205"/>
  <c r="BS12" i="205"/>
  <c r="BX14" i="205"/>
  <c r="AC15" i="205"/>
  <c r="AS15" i="205" s="1"/>
  <c r="Y23" i="205"/>
  <c r="AE23" i="205"/>
  <c r="AC23" i="205"/>
  <c r="AS23" i="205" s="1"/>
  <c r="BY34" i="205"/>
  <c r="BU34" i="205"/>
  <c r="BW34" i="205"/>
  <c r="BS34" i="205"/>
  <c r="BV34" i="205"/>
  <c r="BT34" i="205"/>
  <c r="BZ34" i="205"/>
  <c r="BF34" i="205"/>
  <c r="Q34" i="205" s="1"/>
  <c r="AB34" i="205" s="1"/>
  <c r="BX34" i="205"/>
  <c r="Y43" i="205"/>
  <c r="X43" i="205"/>
  <c r="L92" i="26"/>
  <c r="BX3" i="205"/>
  <c r="AD4" i="205"/>
  <c r="BS4" i="205"/>
  <c r="AE5" i="205"/>
  <c r="AC5" i="205"/>
  <c r="X5" i="205"/>
  <c r="W5" i="205"/>
  <c r="BU5" i="205"/>
  <c r="BZ6" i="205"/>
  <c r="BV6" i="205"/>
  <c r="BX6" i="205"/>
  <c r="BT6" i="205"/>
  <c r="BW6" i="205"/>
  <c r="AA7" i="205"/>
  <c r="AB7" i="205"/>
  <c r="BG7" i="205"/>
  <c r="BH7" i="205" s="1"/>
  <c r="BY7" i="205"/>
  <c r="AD8" i="205"/>
  <c r="BS8" i="205"/>
  <c r="AD9" i="205"/>
  <c r="AC9" i="205"/>
  <c r="AB9" i="205"/>
  <c r="X9" i="205"/>
  <c r="W9" i="205"/>
  <c r="AE9" i="205"/>
  <c r="BW10" i="205"/>
  <c r="BS10" i="205"/>
  <c r="BZ10" i="205"/>
  <c r="BV10" i="205"/>
  <c r="BF10" i="205"/>
  <c r="Q10" i="205" s="1"/>
  <c r="AB10" i="205" s="1"/>
  <c r="BY10" i="205"/>
  <c r="BU10" i="205"/>
  <c r="AD11" i="205"/>
  <c r="Y11" i="205"/>
  <c r="BF12" i="205"/>
  <c r="Q12" i="205" s="1"/>
  <c r="AB12" i="205" s="1"/>
  <c r="AD14" i="205"/>
  <c r="AC14" i="205"/>
  <c r="X14" i="205"/>
  <c r="Y15" i="205"/>
  <c r="AC17" i="205"/>
  <c r="AS17" i="205" s="1"/>
  <c r="AK10" i="205"/>
  <c r="AC11" i="205"/>
  <c r="AD12" i="205"/>
  <c r="W13" i="205"/>
  <c r="AE13" i="205"/>
  <c r="BT13" i="205"/>
  <c r="BX13" i="205"/>
  <c r="AK14" i="205"/>
  <c r="AD15" i="205"/>
  <c r="W16" i="205"/>
  <c r="AE16" i="205"/>
  <c r="AD17" i="205"/>
  <c r="AA22" i="205"/>
  <c r="BE22" i="205"/>
  <c r="AC24" i="205"/>
  <c r="AS24" i="205" s="1"/>
  <c r="AB24" i="205"/>
  <c r="BG24" i="205"/>
  <c r="BH24" i="205" s="1"/>
  <c r="AE24" i="205"/>
  <c r="W24" i="205"/>
  <c r="Z24" i="205"/>
  <c r="AA26" i="205"/>
  <c r="BW33" i="205"/>
  <c r="BS33" i="205"/>
  <c r="BZ33" i="205"/>
  <c r="BV33" i="205"/>
  <c r="BF33" i="205"/>
  <c r="BY33" i="205"/>
  <c r="BU33" i="205"/>
  <c r="AD34" i="205"/>
  <c r="AC34" i="205"/>
  <c r="AS34" i="205" s="1"/>
  <c r="Y34" i="205"/>
  <c r="W12" i="205"/>
  <c r="AE12" i="205"/>
  <c r="X13" i="205"/>
  <c r="BU13" i="205"/>
  <c r="BY13" i="205"/>
  <c r="X16" i="205"/>
  <c r="AB16" i="205"/>
  <c r="AE19" i="205"/>
  <c r="W19" i="205"/>
  <c r="AC19" i="205"/>
  <c r="AS19" i="205" s="1"/>
  <c r="Z20" i="205"/>
  <c r="R20" i="205"/>
  <c r="J20" i="205"/>
  <c r="AD41" i="205"/>
  <c r="P41" i="205"/>
  <c r="AA41" i="205" s="1"/>
  <c r="BW43" i="205"/>
  <c r="BS43" i="205"/>
  <c r="BY43" i="205"/>
  <c r="BU43" i="205"/>
  <c r="BV43" i="205"/>
  <c r="BT43" i="205"/>
  <c r="BZ43" i="205"/>
  <c r="BF43" i="205"/>
  <c r="Q43" i="205" s="1"/>
  <c r="AB43" i="205" s="1"/>
  <c r="AD53" i="205"/>
  <c r="AC53" i="205"/>
  <c r="X53" i="205"/>
  <c r="AE53" i="205"/>
  <c r="W53" i="205"/>
  <c r="AA53" i="205"/>
  <c r="W11" i="205"/>
  <c r="BF13" i="205"/>
  <c r="Q13" i="205" s="1"/>
  <c r="AB13" i="205" s="1"/>
  <c r="BV13" i="205"/>
  <c r="X15" i="205"/>
  <c r="X17" i="205"/>
  <c r="AB18" i="205"/>
  <c r="W18" i="205"/>
  <c r="AD18" i="205"/>
  <c r="AA18" i="205"/>
  <c r="AB19" i="205"/>
  <c r="BZ19" i="205"/>
  <c r="BV19" i="205"/>
  <c r="BF19" i="205"/>
  <c r="BX19" i="205"/>
  <c r="BT19" i="205"/>
  <c r="BY19" i="205"/>
  <c r="AM20" i="205"/>
  <c r="AK20" i="205"/>
  <c r="BG22" i="205"/>
  <c r="BH22" i="205" s="1"/>
  <c r="AE22" i="205"/>
  <c r="W22" i="205"/>
  <c r="AC22" i="205"/>
  <c r="AS22" i="205" s="1"/>
  <c r="Z22" i="205"/>
  <c r="AD23" i="205"/>
  <c r="AE26" i="205"/>
  <c r="W26" i="205"/>
  <c r="AD26" i="205"/>
  <c r="Z26" i="205"/>
  <c r="AC26" i="205"/>
  <c r="AS26" i="205" s="1"/>
  <c r="AB26" i="205"/>
  <c r="AE29" i="205"/>
  <c r="W29" i="205"/>
  <c r="AD29" i="205"/>
  <c r="Z29" i="205"/>
  <c r="AC29" i="205"/>
  <c r="AS29" i="205" s="1"/>
  <c r="AB29" i="205"/>
  <c r="BX33" i="205"/>
  <c r="X34" i="205"/>
  <c r="BW38" i="205"/>
  <c r="BS38" i="205"/>
  <c r="BY38" i="205"/>
  <c r="BU38" i="205"/>
  <c r="BV38" i="205"/>
  <c r="BT38" i="205"/>
  <c r="BZ38" i="205"/>
  <c r="BF38" i="205"/>
  <c r="BX43" i="205"/>
  <c r="AE52" i="205"/>
  <c r="AD52" i="205"/>
  <c r="X52" i="205"/>
  <c r="W52" i="205"/>
  <c r="X23" i="205"/>
  <c r="AB23" i="205"/>
  <c r="Z25" i="205"/>
  <c r="AD25" i="205"/>
  <c r="W27" i="205"/>
  <c r="AE27" i="205"/>
  <c r="BG27" i="205"/>
  <c r="BH27" i="205" s="1"/>
  <c r="Z28" i="205"/>
  <c r="AD28" i="205"/>
  <c r="AE31" i="205"/>
  <c r="BS31" i="205"/>
  <c r="BW31" i="205"/>
  <c r="BZ35" i="205"/>
  <c r="BV35" i="205"/>
  <c r="BF35" i="205"/>
  <c r="Q35" i="205" s="1"/>
  <c r="AB35" i="205" s="1"/>
  <c r="BX35" i="205"/>
  <c r="BT35" i="205"/>
  <c r="BY35" i="205"/>
  <c r="W36" i="205"/>
  <c r="AC38" i="205"/>
  <c r="AS38" i="205" s="1"/>
  <c r="W50" i="205"/>
  <c r="AD51" i="205"/>
  <c r="AC51" i="205"/>
  <c r="AS51" i="205" s="1"/>
  <c r="X51" i="205"/>
  <c r="W51" i="205"/>
  <c r="AE51" i="205"/>
  <c r="AB53" i="205"/>
  <c r="X27" i="205"/>
  <c r="AB27" i="205"/>
  <c r="W31" i="205"/>
  <c r="AB31" i="205"/>
  <c r="BT31" i="205"/>
  <c r="BX31" i="205"/>
  <c r="AD36" i="205"/>
  <c r="X36" i="205"/>
  <c r="AE36" i="205"/>
  <c r="BZ36" i="205"/>
  <c r="BV36" i="205"/>
  <c r="BF36" i="205"/>
  <c r="Q36" i="205" s="1"/>
  <c r="AB36" i="205" s="1"/>
  <c r="BX36" i="205"/>
  <c r="BT36" i="205"/>
  <c r="BY36" i="205"/>
  <c r="AD38" i="205"/>
  <c r="BW41" i="205"/>
  <c r="BS41" i="205"/>
  <c r="BY41" i="205"/>
  <c r="BU41" i="205"/>
  <c r="BX41" i="205"/>
  <c r="AD50" i="205"/>
  <c r="X50" i="205"/>
  <c r="AE50" i="205"/>
  <c r="AA52" i="205"/>
  <c r="BZ52" i="205"/>
  <c r="BF52" i="205"/>
  <c r="Q52" i="205" s="1"/>
  <c r="AB52" i="205" s="1"/>
  <c r="Z23" i="205"/>
  <c r="X25" i="205"/>
  <c r="X28" i="205"/>
  <c r="X31" i="205"/>
  <c r="AC31" i="205"/>
  <c r="AS31" i="205" s="1"/>
  <c r="BU31" i="205"/>
  <c r="J33" i="205"/>
  <c r="W34" i="205"/>
  <c r="BU35" i="205"/>
  <c r="AM36" i="205"/>
  <c r="AK36" i="205"/>
  <c r="BS36" i="205"/>
  <c r="X38" i="205"/>
  <c r="AE40" i="205"/>
  <c r="W40" i="205"/>
  <c r="AC40" i="205"/>
  <c r="AS40" i="205" s="1"/>
  <c r="BF41" i="205"/>
  <c r="BZ41" i="205"/>
  <c r="AE43" i="205"/>
  <c r="AE46" i="205"/>
  <c r="AD49" i="205"/>
  <c r="X49" i="205"/>
  <c r="AE49" i="205"/>
  <c r="W57" i="205"/>
  <c r="AE57" i="205"/>
  <c r="AD57" i="205"/>
  <c r="W35" i="205"/>
  <c r="AE35" i="205"/>
  <c r="X37" i="205"/>
  <c r="AB37" i="205"/>
  <c r="W38" i="205"/>
  <c r="AA38" i="205"/>
  <c r="AE38" i="205"/>
  <c r="AC41" i="205"/>
  <c r="AS41" i="205" s="1"/>
  <c r="AE44" i="205"/>
  <c r="X46" i="205"/>
  <c r="AC46" i="205"/>
  <c r="W54" i="205"/>
  <c r="W55" i="205"/>
  <c r="AE56" i="205"/>
  <c r="BU63" i="205"/>
  <c r="BY63" i="205"/>
  <c r="K68" i="216"/>
  <c r="I69" i="216"/>
  <c r="M69" i="216"/>
  <c r="X54" i="205"/>
  <c r="X55" i="205"/>
  <c r="AC55" i="205"/>
  <c r="L68" i="216"/>
  <c r="J69" i="216"/>
  <c r="N69" i="216"/>
  <c r="W44" i="205"/>
  <c r="Y54" i="205"/>
  <c r="X56" i="205"/>
  <c r="BA61" i="205"/>
  <c r="BC61" i="205" s="1"/>
  <c r="BS63" i="205"/>
  <c r="BW63" i="205"/>
  <c r="I4" i="216"/>
  <c r="I67" i="216" s="1"/>
  <c r="M4" i="216"/>
  <c r="M67" i="216" s="1"/>
  <c r="I26" i="216"/>
  <c r="M26" i="216"/>
  <c r="BT63" i="205"/>
  <c r="J4" i="216"/>
  <c r="J67" i="216" s="1"/>
  <c r="N4" i="216"/>
  <c r="N67" i="216" s="1"/>
  <c r="J26" i="216"/>
  <c r="N26" i="216"/>
  <c r="I290" i="74" l="1"/>
  <c r="I287" i="74"/>
  <c r="I296" i="74"/>
  <c r="BW61" i="205"/>
  <c r="BZ61" i="205"/>
  <c r="BV61" i="205"/>
  <c r="BF61" i="205"/>
  <c r="BY61" i="205"/>
  <c r="BU61" i="205"/>
  <c r="BE61" i="205"/>
  <c r="BX61" i="205"/>
  <c r="BT61" i="205"/>
  <c r="AD33" i="205"/>
  <c r="AC33" i="205"/>
  <c r="AS33" i="205" s="1"/>
  <c r="AB33" i="205"/>
  <c r="X33" i="205"/>
  <c r="W33" i="205"/>
  <c r="AE33" i="205"/>
  <c r="E294" i="74"/>
  <c r="E298" i="74" s="1"/>
  <c r="E287" i="74"/>
  <c r="E288" i="74"/>
  <c r="D288" i="74"/>
  <c r="D294" i="74"/>
  <c r="D298" i="74" s="1"/>
  <c r="D287" i="74"/>
  <c r="G288" i="74"/>
  <c r="G294" i="74"/>
  <c r="G298" i="74" s="1"/>
  <c r="G287" i="74"/>
  <c r="AS152" i="25"/>
  <c r="H295" i="74"/>
  <c r="H287" i="74"/>
  <c r="H289" i="74"/>
  <c r="BS61" i="205"/>
  <c r="AD20" i="205"/>
  <c r="AB20" i="205"/>
  <c r="X20" i="205"/>
  <c r="AE20" i="205"/>
  <c r="W20" i="205"/>
  <c r="AC20" i="205"/>
  <c r="AS20" i="205" s="1"/>
  <c r="AA20" i="205"/>
  <c r="AA33" i="205"/>
  <c r="C288" i="74"/>
  <c r="C294" i="74"/>
  <c r="C287" i="74"/>
  <c r="B152" i="25"/>
  <c r="B151" i="25"/>
  <c r="AV152" i="25"/>
  <c r="AV151" i="25"/>
  <c r="K296" i="74"/>
  <c r="K300" i="74" s="1"/>
  <c r="K290" i="74"/>
  <c r="K287" i="74"/>
  <c r="AD2" i="1"/>
  <c r="AC2" i="1"/>
  <c r="AR2" i="1" s="1"/>
  <c r="AE2" i="1"/>
  <c r="AB2" i="1"/>
  <c r="X2" i="1"/>
  <c r="W2" i="1"/>
  <c r="L288" i="74"/>
  <c r="L290" i="74"/>
  <c r="L287" i="74"/>
  <c r="L295" i="74"/>
  <c r="L299" i="74" s="1"/>
  <c r="S18" i="26"/>
  <c r="S17" i="26"/>
  <c r="S20" i="26"/>
  <c r="S19" i="26"/>
  <c r="AQ152" i="25"/>
  <c r="Q287" i="74" l="1"/>
  <c r="Q296" i="74"/>
  <c r="I300" i="74"/>
  <c r="Q300" i="74" s="1"/>
  <c r="Q294" i="74"/>
  <c r="C298" i="74"/>
  <c r="Q298" i="74" s="1"/>
  <c r="H299" i="74"/>
  <c r="Q299" i="74" s="1"/>
  <c r="Q295" i="74"/>
</calcChain>
</file>

<file path=xl/comments1.xml><?xml version="1.0" encoding="utf-8"?>
<comments xmlns="http://schemas.openxmlformats.org/spreadsheetml/2006/main">
  <authors>
    <author>pnaughton</author>
    <author>jwelsh</author>
    <author>Patrick F. Naughton</author>
  </authors>
  <commentList>
    <comment ref="A6" authorId="0" shapeId="0">
      <text>
        <r>
          <rPr>
            <b/>
            <sz val="10"/>
            <color indexed="81"/>
            <rFont val="Tahoma"/>
          </rPr>
          <t>pnaughton:</t>
        </r>
        <r>
          <rPr>
            <sz val="10"/>
            <color indexed="81"/>
            <rFont val="Tahoma"/>
          </rPr>
          <t xml:space="preserve">
Data in Janes suggests FAC similar to Norrkoping</t>
        </r>
      </text>
    </comment>
    <comment ref="A8" authorId="1" shapeId="0">
      <text>
        <r>
          <rPr>
            <b/>
            <sz val="8"/>
            <color indexed="81"/>
            <rFont val="Tahoma"/>
          </rPr>
          <t>jwelsh:</t>
        </r>
        <r>
          <rPr>
            <sz val="8"/>
            <color indexed="81"/>
            <rFont val="Tahoma"/>
          </rPr>
          <t xml:space="preserve">
Combat Fleets of the World p. 741 Guided-Missile Patrol Craft</t>
        </r>
      </text>
    </comment>
    <comment ref="K9" authorId="0" shapeId="0">
      <text>
        <r>
          <rPr>
            <b/>
            <sz val="10"/>
            <color indexed="81"/>
            <rFont val="Tahoma"/>
          </rPr>
          <t>pnaughton:</t>
        </r>
        <r>
          <rPr>
            <sz val="10"/>
            <color indexed="81"/>
            <rFont val="Tahoma"/>
          </rPr>
          <t xml:space="preserve">
NGSS indicates L = 59.5m</t>
        </r>
      </text>
    </comment>
    <comment ref="Q9" authorId="0" shapeId="0">
      <text>
        <r>
          <rPr>
            <b/>
            <sz val="10"/>
            <color indexed="81"/>
            <rFont val="Tahoma"/>
          </rPr>
          <t>pnaughton:</t>
        </r>
        <r>
          <rPr>
            <sz val="10"/>
            <color indexed="81"/>
            <rFont val="Tahoma"/>
          </rPr>
          <t xml:space="preserve">
NGSS indicates T = 3.3m</t>
        </r>
      </text>
    </comment>
    <comment ref="A11" authorId="1" shapeId="0">
      <text>
        <r>
          <rPr>
            <b/>
            <sz val="8"/>
            <color indexed="81"/>
            <rFont val="Tahoma"/>
          </rPr>
          <t>jwelsh:</t>
        </r>
        <r>
          <rPr>
            <sz val="8"/>
            <color indexed="81"/>
            <rFont val="Tahoma"/>
          </rPr>
          <t xml:space="preserve">
Combat Fleets of the World, p. 3 Patrol Combatant</t>
        </r>
      </text>
    </comment>
    <comment ref="H18" authorId="0" shapeId="0">
      <text>
        <r>
          <rPr>
            <b/>
            <sz val="10"/>
            <color indexed="81"/>
            <rFont val="Tahoma"/>
          </rPr>
          <t>pnaughton:</t>
        </r>
        <r>
          <rPr>
            <sz val="10"/>
            <color indexed="81"/>
            <rFont val="Tahoma"/>
          </rPr>
          <t xml:space="preserve">
AMI inidcates Displ = 120mt for the Eritrean boats</t>
        </r>
      </text>
    </comment>
    <comment ref="I18" authorId="0" shapeId="0">
      <text>
        <r>
          <rPr>
            <b/>
            <sz val="10"/>
            <color indexed="81"/>
            <rFont val="Tahoma"/>
          </rPr>
          <t>pnaughton:</t>
        </r>
        <r>
          <rPr>
            <sz val="10"/>
            <color indexed="81"/>
            <rFont val="Tahoma"/>
          </rPr>
          <t xml:space="preserve">
AMI inidcates Displ = 118LT for the Eritrean boats</t>
        </r>
      </text>
    </comment>
    <comment ref="L29" authorId="0" shapeId="0">
      <text>
        <r>
          <rPr>
            <b/>
            <sz val="10"/>
            <color indexed="81"/>
            <rFont val="Tahoma"/>
          </rPr>
          <t>pnaughton:</t>
        </r>
        <r>
          <rPr>
            <sz val="10"/>
            <color indexed="81"/>
            <rFont val="Tahoma"/>
          </rPr>
          <t xml:space="preserve">
ELC indicates Loa = 42.1m</t>
        </r>
      </text>
    </comment>
    <comment ref="Q29" authorId="0" shapeId="0">
      <text>
        <r>
          <rPr>
            <b/>
            <sz val="10"/>
            <color indexed="81"/>
            <rFont val="Tahoma"/>
          </rPr>
          <t>pnaughton:</t>
        </r>
        <r>
          <rPr>
            <sz val="10"/>
            <color indexed="81"/>
            <rFont val="Tahoma"/>
          </rPr>
          <t xml:space="preserve">
ELC indicates T = 1.9m</t>
        </r>
      </text>
    </comment>
    <comment ref="W29" authorId="0" shapeId="0">
      <text>
        <r>
          <rPr>
            <b/>
            <sz val="10"/>
            <color indexed="81"/>
            <rFont val="Tahoma"/>
          </rPr>
          <t>pnaughton:</t>
        </r>
        <r>
          <rPr>
            <sz val="10"/>
            <color indexed="81"/>
            <rFont val="Tahoma"/>
          </rPr>
          <t xml:space="preserve">
ELC indicates shp = 5400hp</t>
        </r>
      </text>
    </comment>
    <comment ref="L39" authorId="0" shapeId="0">
      <text>
        <r>
          <rPr>
            <b/>
            <sz val="10"/>
            <color indexed="81"/>
            <rFont val="Tahoma"/>
          </rPr>
          <t>pnaughton:</t>
        </r>
        <r>
          <rPr>
            <sz val="10"/>
            <color indexed="81"/>
            <rFont val="Tahoma"/>
          </rPr>
          <t xml:space="preserve">
ELC indicates that Loa = 38.6m</t>
        </r>
      </text>
    </comment>
    <comment ref="W39" authorId="0" shapeId="0">
      <text>
        <r>
          <rPr>
            <b/>
            <sz val="10"/>
            <color indexed="81"/>
            <rFont val="Tahoma"/>
          </rPr>
          <t>pnaughton:</t>
        </r>
        <r>
          <rPr>
            <sz val="10"/>
            <color indexed="81"/>
            <rFont val="Tahoma"/>
          </rPr>
          <t xml:space="preserve">
ELC indicates shp = 12000hp</t>
        </r>
      </text>
    </comment>
    <comment ref="L40" authorId="0" shapeId="0">
      <text>
        <r>
          <rPr>
            <b/>
            <sz val="10"/>
            <color indexed="81"/>
            <rFont val="Tahoma"/>
          </rPr>
          <t>pnaughton:</t>
        </r>
        <r>
          <rPr>
            <sz val="10"/>
            <color indexed="81"/>
            <rFont val="Tahoma"/>
          </rPr>
          <t xml:space="preserve">
ELC indicates Loa =38.6m</t>
        </r>
      </text>
    </comment>
    <comment ref="W40" authorId="0" shapeId="0">
      <text>
        <r>
          <rPr>
            <b/>
            <sz val="10"/>
            <color indexed="81"/>
            <rFont val="Tahoma"/>
          </rPr>
          <t>pnaughton:</t>
        </r>
        <r>
          <rPr>
            <sz val="10"/>
            <color indexed="81"/>
            <rFont val="Tahoma"/>
          </rPr>
          <t xml:space="preserve">
ELC indicates shp = 8025hp</t>
        </r>
      </text>
    </comment>
    <comment ref="L47" authorId="0" shapeId="0">
      <text>
        <r>
          <rPr>
            <b/>
            <sz val="10"/>
            <color indexed="81"/>
            <rFont val="Tahoma"/>
          </rPr>
          <t>pnaughton:</t>
        </r>
        <r>
          <rPr>
            <sz val="10"/>
            <color indexed="81"/>
            <rFont val="Tahoma"/>
          </rPr>
          <t xml:space="preserve">
ELC indicates Loa = 43.5m</t>
        </r>
      </text>
    </comment>
    <comment ref="Q47" authorId="0" shapeId="0">
      <text>
        <r>
          <rPr>
            <b/>
            <sz val="10"/>
            <color indexed="81"/>
            <rFont val="Tahoma"/>
          </rPr>
          <t>pnaughton:</t>
        </r>
        <r>
          <rPr>
            <sz val="10"/>
            <color indexed="81"/>
            <rFont val="Tahoma"/>
          </rPr>
          <t xml:space="preserve">
ELC indicates T = 2.3m</t>
        </r>
      </text>
    </comment>
    <comment ref="L48" authorId="0" shapeId="0">
      <text>
        <r>
          <rPr>
            <b/>
            <sz val="10"/>
            <color indexed="81"/>
            <rFont val="Tahoma"/>
          </rPr>
          <t>pnaughton:</t>
        </r>
        <r>
          <rPr>
            <sz val="10"/>
            <color indexed="81"/>
            <rFont val="Tahoma"/>
          </rPr>
          <t xml:space="preserve">
ELC indicates Loa = 44.9m</t>
        </r>
      </text>
    </comment>
    <comment ref="L50" authorId="0" shapeId="0">
      <text>
        <r>
          <rPr>
            <b/>
            <sz val="10"/>
            <color indexed="81"/>
            <rFont val="Tahoma"/>
          </rPr>
          <t>pnaughton:</t>
        </r>
        <r>
          <rPr>
            <sz val="10"/>
            <color indexed="81"/>
            <rFont val="Tahoma"/>
          </rPr>
          <t xml:space="preserve">
ELC indicates Loa = 39.4m</t>
        </r>
      </text>
    </comment>
    <comment ref="L51" authorId="0" shapeId="0">
      <text>
        <r>
          <rPr>
            <b/>
            <sz val="10"/>
            <color indexed="81"/>
            <rFont val="Tahoma"/>
          </rPr>
          <t>pnaughton:</t>
        </r>
        <r>
          <rPr>
            <sz val="10"/>
            <color indexed="81"/>
            <rFont val="Tahoma"/>
          </rPr>
          <t xml:space="preserve">
ELC indicates Loa = 44.9m</t>
        </r>
      </text>
    </comment>
    <comment ref="W51" authorId="0" shapeId="0">
      <text>
        <r>
          <rPr>
            <b/>
            <sz val="10"/>
            <color indexed="81"/>
            <rFont val="Tahoma"/>
          </rPr>
          <t>pnaughton:</t>
        </r>
        <r>
          <rPr>
            <sz val="10"/>
            <color indexed="81"/>
            <rFont val="Tahoma"/>
          </rPr>
          <t xml:space="preserve">
ELC indicates shp = 13640hp</t>
        </r>
      </text>
    </comment>
    <comment ref="H60" authorId="0" shapeId="0">
      <text>
        <r>
          <rPr>
            <b/>
            <sz val="10"/>
            <color indexed="81"/>
            <rFont val="Tahoma"/>
          </rPr>
          <t>pnaughton:</t>
        </r>
        <r>
          <rPr>
            <sz val="10"/>
            <color indexed="81"/>
            <rFont val="Tahoma"/>
          </rPr>
          <t xml:space="preserve">
ELC indicates Displ = 238mt</t>
        </r>
      </text>
    </comment>
    <comment ref="I60" authorId="0" shapeId="0">
      <text>
        <r>
          <rPr>
            <b/>
            <sz val="10"/>
            <color indexed="81"/>
            <rFont val="Tahoma"/>
          </rPr>
          <t>pnaughton:</t>
        </r>
        <r>
          <rPr>
            <sz val="10"/>
            <color indexed="81"/>
            <rFont val="Tahoma"/>
          </rPr>
          <t xml:space="preserve">
ELC indicates Displ = 234 LT</t>
        </r>
      </text>
    </comment>
    <comment ref="L60" authorId="0" shapeId="0">
      <text>
        <r>
          <rPr>
            <b/>
            <sz val="10"/>
            <color indexed="81"/>
            <rFont val="Tahoma"/>
          </rPr>
          <t>pnaughton:</t>
        </r>
        <r>
          <rPr>
            <sz val="10"/>
            <color indexed="81"/>
            <rFont val="Tahoma"/>
          </rPr>
          <t xml:space="preserve">
ELC indicates Loa = 47.0m</t>
        </r>
      </text>
    </comment>
    <comment ref="L63" authorId="0" shapeId="0">
      <text>
        <r>
          <rPr>
            <b/>
            <sz val="10"/>
            <color indexed="81"/>
            <rFont val="Tahoma"/>
          </rPr>
          <t>pnaughton:</t>
        </r>
        <r>
          <rPr>
            <sz val="10"/>
            <color indexed="81"/>
            <rFont val="Tahoma"/>
          </rPr>
          <t xml:space="preserve">
ELC indicates Loa = 47.0m</t>
        </r>
      </text>
    </comment>
    <comment ref="W63" authorId="0" shapeId="0">
      <text>
        <r>
          <rPr>
            <b/>
            <sz val="10"/>
            <color indexed="81"/>
            <rFont val="Tahoma"/>
          </rPr>
          <t>pnaughton:</t>
        </r>
        <r>
          <rPr>
            <sz val="10"/>
            <color indexed="81"/>
            <rFont val="Tahoma"/>
          </rPr>
          <t xml:space="preserve">
ELC indicates shp = 12000hp</t>
        </r>
      </text>
    </comment>
    <comment ref="H67" authorId="0" shapeId="0">
      <text>
        <r>
          <rPr>
            <b/>
            <sz val="10"/>
            <color indexed="81"/>
            <rFont val="Tahoma"/>
          </rPr>
          <t>pnaughton:</t>
        </r>
        <r>
          <rPr>
            <sz val="10"/>
            <color indexed="81"/>
            <rFont val="Tahoma"/>
          </rPr>
          <t xml:space="preserve">
ELC indicates Displ = 228mt</t>
        </r>
      </text>
    </comment>
    <comment ref="I67" authorId="0" shapeId="0">
      <text>
        <r>
          <rPr>
            <b/>
            <sz val="10"/>
            <color indexed="81"/>
            <rFont val="Tahoma"/>
          </rPr>
          <t>pnaughton:</t>
        </r>
        <r>
          <rPr>
            <sz val="10"/>
            <color indexed="81"/>
            <rFont val="Tahoma"/>
          </rPr>
          <t xml:space="preserve">
ELC indicates that Displ = 224 LT</t>
        </r>
      </text>
    </comment>
    <comment ref="L67" authorId="0" shapeId="0">
      <text>
        <r>
          <rPr>
            <b/>
            <sz val="10"/>
            <color indexed="81"/>
            <rFont val="Tahoma"/>
          </rPr>
          <t>pnaughton:</t>
        </r>
        <r>
          <rPr>
            <sz val="10"/>
            <color indexed="81"/>
            <rFont val="Tahoma"/>
          </rPr>
          <t xml:space="preserve">
ELC indicates Loa = 45.4m</t>
        </r>
      </text>
    </comment>
    <comment ref="W67" authorId="0" shapeId="0">
      <text>
        <r>
          <rPr>
            <b/>
            <sz val="10"/>
            <color indexed="81"/>
            <rFont val="Tahoma"/>
          </rPr>
          <t>pnaughton:</t>
        </r>
        <r>
          <rPr>
            <sz val="10"/>
            <color indexed="81"/>
            <rFont val="Tahoma"/>
          </rPr>
          <t xml:space="preserve">
ELC indicates shp = 13640hp</t>
        </r>
      </text>
    </comment>
    <comment ref="L68" authorId="0" shapeId="0">
      <text>
        <r>
          <rPr>
            <b/>
            <sz val="10"/>
            <color indexed="81"/>
            <rFont val="Tahoma"/>
          </rPr>
          <t>pnaughton:</t>
        </r>
        <r>
          <rPr>
            <sz val="10"/>
            <color indexed="81"/>
            <rFont val="Tahoma"/>
          </rPr>
          <t xml:space="preserve">
ELC indicates Loa = 44.9m</t>
        </r>
      </text>
    </comment>
    <comment ref="L75" authorId="0" shapeId="0">
      <text>
        <r>
          <rPr>
            <b/>
            <sz val="10"/>
            <color indexed="81"/>
            <rFont val="Tahoma"/>
          </rPr>
          <t>pnaughton:</t>
        </r>
        <r>
          <rPr>
            <sz val="10"/>
            <color indexed="81"/>
            <rFont val="Tahoma"/>
          </rPr>
          <t xml:space="preserve">
ELC indicates Loa = 48.5m</t>
        </r>
      </text>
    </comment>
    <comment ref="W75" authorId="0" shapeId="0">
      <text>
        <r>
          <rPr>
            <b/>
            <sz val="10"/>
            <color indexed="81"/>
            <rFont val="Tahoma"/>
          </rPr>
          <t>pnaughton:</t>
        </r>
        <r>
          <rPr>
            <sz val="10"/>
            <color indexed="81"/>
            <rFont val="Tahoma"/>
          </rPr>
          <t xml:space="preserve">
ELC indicates shp = 14400hp</t>
        </r>
      </text>
    </comment>
    <comment ref="K82" authorId="0" shapeId="0">
      <text>
        <r>
          <rPr>
            <b/>
            <sz val="10"/>
            <color indexed="81"/>
            <rFont val="Tahoma"/>
          </rPr>
          <t>pnaughton:</t>
        </r>
        <r>
          <rPr>
            <sz val="10"/>
            <color indexed="81"/>
            <rFont val="Tahoma"/>
          </rPr>
          <t xml:space="preserve">
NGSS indicates L = 56.2m</t>
        </r>
      </text>
    </comment>
    <comment ref="O82" authorId="0" shapeId="0">
      <text>
        <r>
          <rPr>
            <b/>
            <sz val="10"/>
            <color indexed="81"/>
            <rFont val="Tahoma"/>
          </rPr>
          <t>pnaughton:</t>
        </r>
        <r>
          <rPr>
            <sz val="10"/>
            <color indexed="81"/>
            <rFont val="Tahoma"/>
          </rPr>
          <t xml:space="preserve">
NGSS indicates B = 8m</t>
        </r>
      </text>
    </comment>
    <comment ref="Q82" authorId="0" shapeId="0">
      <text>
        <r>
          <rPr>
            <b/>
            <sz val="10"/>
            <color indexed="81"/>
            <rFont val="Tahoma"/>
          </rPr>
          <t>pnaughton:</t>
        </r>
        <r>
          <rPr>
            <sz val="10"/>
            <color indexed="81"/>
            <rFont val="Tahoma"/>
          </rPr>
          <t xml:space="preserve">
NGSS indicates T = 2.1m</t>
        </r>
      </text>
    </comment>
    <comment ref="I83" authorId="0" shapeId="0">
      <text>
        <r>
          <rPr>
            <b/>
            <sz val="10"/>
            <color indexed="81"/>
            <rFont val="Tahoma"/>
          </rPr>
          <t>pnaughton:</t>
        </r>
        <r>
          <rPr>
            <sz val="10"/>
            <color indexed="81"/>
            <rFont val="Tahoma"/>
          </rPr>
          <t xml:space="preserve">
ELC indicates Disp = 425LT (436mt)</t>
        </r>
      </text>
    </comment>
    <comment ref="L83" authorId="0" shapeId="0">
      <text>
        <r>
          <rPr>
            <b/>
            <sz val="10"/>
            <color indexed="81"/>
            <rFont val="Tahoma"/>
          </rPr>
          <t>pnaughton:</t>
        </r>
        <r>
          <rPr>
            <sz val="10"/>
            <color indexed="81"/>
            <rFont val="Tahoma"/>
          </rPr>
          <t xml:space="preserve">
ELC indicates Loa = 56.1m</t>
        </r>
      </text>
    </comment>
    <comment ref="H102" authorId="0" shapeId="0">
      <text>
        <r>
          <rPr>
            <b/>
            <sz val="10"/>
            <color indexed="81"/>
            <rFont val="Tahoma"/>
          </rPr>
          <t>pnaughton:</t>
        </r>
        <r>
          <rPr>
            <sz val="10"/>
            <color indexed="81"/>
            <rFont val="Tahoma"/>
          </rPr>
          <t xml:space="preserve">
NGSS indicates Disp = 193mt</t>
        </r>
      </text>
    </comment>
    <comment ref="L103" authorId="0" shapeId="0">
      <text>
        <r>
          <rPr>
            <b/>
            <sz val="10"/>
            <color indexed="81"/>
            <rFont val="Tahoma"/>
          </rPr>
          <t>pnaughton:</t>
        </r>
        <r>
          <rPr>
            <sz val="10"/>
            <color indexed="81"/>
            <rFont val="Tahoma"/>
          </rPr>
          <t xml:space="preserve">
ELC indicates Loa = 38.6m</t>
        </r>
      </text>
    </comment>
    <comment ref="T103" authorId="0" shapeId="0">
      <text>
        <r>
          <rPr>
            <b/>
            <sz val="10"/>
            <color indexed="81"/>
            <rFont val="Tahoma"/>
          </rPr>
          <t>pnaughton:</t>
        </r>
        <r>
          <rPr>
            <sz val="10"/>
            <color indexed="81"/>
            <rFont val="Tahoma"/>
          </rPr>
          <t xml:space="preserve">
AMI indicates on some ships Complement may be 25</t>
        </r>
      </text>
    </comment>
    <comment ref="W103" authorId="0" shapeId="0">
      <text>
        <r>
          <rPr>
            <b/>
            <sz val="10"/>
            <color indexed="81"/>
            <rFont val="Tahoma"/>
          </rPr>
          <t>pnaughton:</t>
        </r>
        <r>
          <rPr>
            <sz val="10"/>
            <color indexed="81"/>
            <rFont val="Tahoma"/>
          </rPr>
          <t xml:space="preserve">
ELC indicates 10800shp</t>
        </r>
      </text>
    </comment>
    <comment ref="AG103" authorId="0" shapeId="0">
      <text>
        <r>
          <rPr>
            <b/>
            <sz val="10"/>
            <color indexed="81"/>
            <rFont val="Tahoma"/>
          </rPr>
          <t>pnaughton:</t>
        </r>
        <r>
          <rPr>
            <sz val="10"/>
            <color indexed="81"/>
            <rFont val="Tahoma"/>
          </rPr>
          <t xml:space="preserve">
NGSS indicates 500nm</t>
        </r>
      </text>
    </comment>
    <comment ref="L104" authorId="0" shapeId="0">
      <text>
        <r>
          <rPr>
            <b/>
            <sz val="10"/>
            <color indexed="81"/>
            <rFont val="Tahoma"/>
          </rPr>
          <t>pnaughton:</t>
        </r>
        <r>
          <rPr>
            <sz val="10"/>
            <color indexed="81"/>
            <rFont val="Tahoma"/>
          </rPr>
          <t xml:space="preserve">
ELC indicates Loa = 48.0m</t>
        </r>
      </text>
    </comment>
    <comment ref="Q104" authorId="0" shapeId="0">
      <text>
        <r>
          <rPr>
            <b/>
            <sz val="10"/>
            <color indexed="81"/>
            <rFont val="Tahoma"/>
          </rPr>
          <t>pnaughton:</t>
        </r>
        <r>
          <rPr>
            <sz val="10"/>
            <color indexed="81"/>
            <rFont val="Tahoma"/>
          </rPr>
          <t xml:space="preserve">
ELC indicates T = 1.4m</t>
        </r>
      </text>
    </comment>
    <comment ref="W104" authorId="0" shapeId="0">
      <text>
        <r>
          <rPr>
            <b/>
            <sz val="10"/>
            <color indexed="81"/>
            <rFont val="Tahoma"/>
          </rPr>
          <t>pnaughton:</t>
        </r>
        <r>
          <rPr>
            <sz val="10"/>
            <color indexed="81"/>
            <rFont val="Tahoma"/>
          </rPr>
          <t xml:space="preserve">
ELC indicates shp = 7510hp</t>
        </r>
      </text>
    </comment>
    <comment ref="L105" authorId="0" shapeId="0">
      <text>
        <r>
          <rPr>
            <b/>
            <sz val="10"/>
            <color indexed="81"/>
            <rFont val="Tahoma"/>
          </rPr>
          <t>pnaughton:</t>
        </r>
        <r>
          <rPr>
            <sz val="10"/>
            <color indexed="81"/>
            <rFont val="Tahoma"/>
          </rPr>
          <t xml:space="preserve">
AMI indicates Loa = 50.0m</t>
        </r>
      </text>
    </comment>
    <comment ref="O105" authorId="0" shapeId="0">
      <text>
        <r>
          <rPr>
            <b/>
            <sz val="10"/>
            <color indexed="81"/>
            <rFont val="Tahoma"/>
          </rPr>
          <t>pnaughton:</t>
        </r>
        <r>
          <rPr>
            <sz val="10"/>
            <color indexed="81"/>
            <rFont val="Tahoma"/>
          </rPr>
          <t xml:space="preserve">
ELC indicates B = 8.0m</t>
        </r>
      </text>
    </comment>
    <comment ref="Q105" authorId="0" shapeId="0">
      <text>
        <r>
          <rPr>
            <b/>
            <sz val="10"/>
            <color indexed="81"/>
            <rFont val="Tahoma"/>
          </rPr>
          <t>pnaughton:</t>
        </r>
        <r>
          <rPr>
            <sz val="10"/>
            <color indexed="81"/>
            <rFont val="Tahoma"/>
          </rPr>
          <t xml:space="preserve">
ELC indicates T = 1.9m</t>
        </r>
      </text>
    </comment>
    <comment ref="L106" authorId="0" shapeId="0">
      <text>
        <r>
          <rPr>
            <b/>
            <sz val="10"/>
            <color indexed="81"/>
            <rFont val="Tahoma"/>
          </rPr>
          <t>pnaughton:</t>
        </r>
        <r>
          <rPr>
            <sz val="10"/>
            <color indexed="81"/>
            <rFont val="Tahoma"/>
          </rPr>
          <t xml:space="preserve">
ELC indicates Loa =45m</t>
        </r>
      </text>
    </comment>
    <comment ref="H110" authorId="0" shapeId="0">
      <text>
        <r>
          <rPr>
            <b/>
            <sz val="10"/>
            <color indexed="81"/>
            <rFont val="Tahoma"/>
          </rPr>
          <t>pnaughton:</t>
        </r>
        <r>
          <rPr>
            <sz val="10"/>
            <color indexed="81"/>
            <rFont val="Tahoma"/>
          </rPr>
          <t xml:space="preserve">
NGSS indicates Displ = 421.6mt</t>
        </r>
      </text>
    </comment>
    <comment ref="T113" authorId="0" shapeId="0">
      <text>
        <r>
          <rPr>
            <b/>
            <sz val="10"/>
            <color indexed="81"/>
            <rFont val="Tahoma"/>
          </rPr>
          <t>pnaughton:</t>
        </r>
        <r>
          <rPr>
            <sz val="10"/>
            <color indexed="81"/>
            <rFont val="Tahoma"/>
          </rPr>
          <t xml:space="preserve">
Per Damen PDF Accommodations for 16+4</t>
        </r>
      </text>
    </comment>
    <comment ref="Q114" authorId="0" shapeId="0">
      <text>
        <r>
          <rPr>
            <b/>
            <sz val="10"/>
            <color indexed="81"/>
            <rFont val="Tahoma"/>
          </rPr>
          <t>pnaughton:</t>
        </r>
        <r>
          <rPr>
            <sz val="10"/>
            <color indexed="81"/>
            <rFont val="Tahoma"/>
          </rPr>
          <t xml:space="preserve">
Austal website indicates T = 2.35m max</t>
        </r>
      </text>
    </comment>
    <comment ref="T114" authorId="0" shapeId="0">
      <text>
        <r>
          <rPr>
            <b/>
            <sz val="10"/>
            <color indexed="81"/>
            <rFont val="Tahoma"/>
          </rPr>
          <t>pnaughton:</t>
        </r>
        <r>
          <rPr>
            <sz val="10"/>
            <color indexed="81"/>
            <rFont val="Tahoma"/>
          </rPr>
          <t xml:space="preserve">
Austal website indicates crew of 15 + accommodations for 12 additional passengers</t>
        </r>
      </text>
    </comment>
    <comment ref="AG114" authorId="0" shapeId="0">
      <text>
        <r>
          <rPr>
            <b/>
            <sz val="10"/>
            <color indexed="81"/>
            <rFont val="Tahoma"/>
          </rPr>
          <t>pnaughton:</t>
        </r>
        <r>
          <rPr>
            <sz val="10"/>
            <color indexed="81"/>
            <rFont val="Tahoma"/>
          </rPr>
          <t xml:space="preserve">
Per Warship Technology Article includes 20% reserve </t>
        </r>
      </text>
    </comment>
    <comment ref="Y127" authorId="0" shapeId="0">
      <text>
        <r>
          <rPr>
            <b/>
            <sz val="10"/>
            <color indexed="81"/>
            <rFont val="Tahoma"/>
          </rPr>
          <t>pnaughton:</t>
        </r>
        <r>
          <rPr>
            <sz val="10"/>
            <color indexed="81"/>
            <rFont val="Tahoma"/>
          </rPr>
          <t xml:space="preserve">
AMI indicates Vmax of 23kts for Costa Rican boats</t>
        </r>
      </text>
    </comment>
    <comment ref="L181" authorId="0" shapeId="0">
      <text>
        <r>
          <rPr>
            <b/>
            <sz val="10"/>
            <color indexed="81"/>
            <rFont val="Tahoma"/>
          </rPr>
          <t>pnaughton:</t>
        </r>
        <r>
          <rPr>
            <sz val="10"/>
            <color indexed="81"/>
            <rFont val="Tahoma"/>
          </rPr>
          <t xml:space="preserve">
ELC indicates Loa = 36.6m</t>
        </r>
      </text>
    </comment>
    <comment ref="W181" authorId="0" shapeId="0">
      <text>
        <r>
          <rPr>
            <b/>
            <sz val="10"/>
            <color indexed="81"/>
            <rFont val="Tahoma"/>
          </rPr>
          <t>pnaughton:</t>
        </r>
        <r>
          <rPr>
            <sz val="10"/>
            <color indexed="81"/>
            <rFont val="Tahoma"/>
          </rPr>
          <t xml:space="preserve">
ELC indicates shp = 6000hp</t>
        </r>
      </text>
    </comment>
    <comment ref="T192" authorId="0" shapeId="0">
      <text>
        <r>
          <rPr>
            <b/>
            <sz val="10"/>
            <color indexed="81"/>
            <rFont val="Tahoma"/>
          </rPr>
          <t>pnaughton:</t>
        </r>
        <r>
          <rPr>
            <sz val="10"/>
            <color indexed="81"/>
            <rFont val="Tahoma"/>
          </rPr>
          <t xml:space="preserve">
AMI indicates compl of 14 for Solomon Isl boats</t>
        </r>
      </text>
    </comment>
    <comment ref="H194" authorId="0" shapeId="0">
      <text>
        <r>
          <rPr>
            <b/>
            <sz val="10"/>
            <color indexed="81"/>
            <rFont val="Tahoma"/>
          </rPr>
          <t>pnaughton:</t>
        </r>
        <r>
          <rPr>
            <sz val="10"/>
            <color indexed="81"/>
            <rFont val="Tahoma"/>
          </rPr>
          <t xml:space="preserve">
ELC indicates Displ = 168 mt</t>
        </r>
      </text>
    </comment>
    <comment ref="I194" authorId="0" shapeId="0">
      <text>
        <r>
          <rPr>
            <b/>
            <sz val="10"/>
            <color indexed="81"/>
            <rFont val="Tahoma"/>
          </rPr>
          <t>pnaughton:</t>
        </r>
        <r>
          <rPr>
            <sz val="10"/>
            <color indexed="81"/>
            <rFont val="Tahoma"/>
          </rPr>
          <t xml:space="preserve">
ELC indicates Displ = 165 LT</t>
        </r>
      </text>
    </comment>
    <comment ref="L194" authorId="0" shapeId="0">
      <text>
        <r>
          <rPr>
            <b/>
            <sz val="10"/>
            <color indexed="81"/>
            <rFont val="Tahoma"/>
          </rPr>
          <t>pnaughton:</t>
        </r>
        <r>
          <rPr>
            <sz val="10"/>
            <color indexed="81"/>
            <rFont val="Tahoma"/>
          </rPr>
          <t xml:space="preserve">
ELC indicates Loa = 33.5m</t>
        </r>
      </text>
    </comment>
    <comment ref="W194" authorId="0" shapeId="0">
      <text>
        <r>
          <rPr>
            <b/>
            <sz val="10"/>
            <color indexed="81"/>
            <rFont val="Tahoma"/>
          </rPr>
          <t>pnaughton:</t>
        </r>
        <r>
          <rPr>
            <sz val="10"/>
            <color indexed="81"/>
            <rFont val="Tahoma"/>
          </rPr>
          <t xml:space="preserve">
ELC indicates shp = 5760hp</t>
        </r>
      </text>
    </comment>
    <comment ref="Y194" authorId="0" shapeId="0">
      <text>
        <r>
          <rPr>
            <b/>
            <sz val="10"/>
            <color indexed="81"/>
            <rFont val="Tahoma"/>
          </rPr>
          <t>pnaughton:</t>
        </r>
        <r>
          <rPr>
            <sz val="10"/>
            <color indexed="81"/>
            <rFont val="Tahoma"/>
          </rPr>
          <t xml:space="preserve">
ELC indicates Vm = 29.5kts</t>
        </r>
      </text>
    </comment>
    <comment ref="L197" authorId="0" shapeId="0">
      <text>
        <r>
          <rPr>
            <b/>
            <sz val="10"/>
            <color indexed="81"/>
            <rFont val="Tahoma"/>
          </rPr>
          <t>pnaughton:</t>
        </r>
        <r>
          <rPr>
            <sz val="10"/>
            <color indexed="81"/>
            <rFont val="Tahoma"/>
          </rPr>
          <t xml:space="preserve">
ELC indicates LBP = 40.2m</t>
        </r>
      </text>
    </comment>
    <comment ref="W197" authorId="0" shapeId="0">
      <text>
        <r>
          <rPr>
            <b/>
            <sz val="10"/>
            <color indexed="81"/>
            <rFont val="Tahoma"/>
          </rPr>
          <t>pnaughton:</t>
        </r>
        <r>
          <rPr>
            <sz val="10"/>
            <color indexed="81"/>
            <rFont val="Tahoma"/>
          </rPr>
          <t xml:space="preserve">
ELC indicates shp = 9600</t>
        </r>
      </text>
    </comment>
    <comment ref="Q198" authorId="0" shapeId="0">
      <text>
        <r>
          <rPr>
            <b/>
            <sz val="10"/>
            <color indexed="81"/>
            <rFont val="Tahoma"/>
          </rPr>
          <t>pnaughton:</t>
        </r>
        <r>
          <rPr>
            <sz val="10"/>
            <color indexed="81"/>
            <rFont val="Tahoma"/>
          </rPr>
          <t xml:space="preserve">
Draft taken from structural analysis of 123' WPB</t>
        </r>
      </text>
    </comment>
    <comment ref="A209" authorId="1" shapeId="0">
      <text>
        <r>
          <rPr>
            <b/>
            <sz val="8"/>
            <color indexed="81"/>
            <rFont val="Tahoma"/>
          </rPr>
          <t>jwelsh:</t>
        </r>
        <r>
          <rPr>
            <sz val="8"/>
            <color indexed="81"/>
            <rFont val="Tahoma"/>
          </rPr>
          <t xml:space="preserve">
Jane's p 375 Small Patrol Vessels
</t>
        </r>
      </text>
    </comment>
    <comment ref="AM218" authorId="0" shapeId="0">
      <text>
        <r>
          <rPr>
            <b/>
            <sz val="10"/>
            <color indexed="81"/>
            <rFont val="Tahoma"/>
            <family val="2"/>
          </rPr>
          <t>jwelsh:</t>
        </r>
        <r>
          <rPr>
            <sz val="10"/>
            <color indexed="81"/>
            <rFont val="Tahoma"/>
          </rPr>
          <t xml:space="preserve">
Janes p 1019 Stenka class has 3 diesels 3 propellors</t>
        </r>
      </text>
    </comment>
    <comment ref="AM222" authorId="0" shapeId="0">
      <text>
        <r>
          <rPr>
            <b/>
            <sz val="10"/>
            <color indexed="81"/>
            <rFont val="Tahoma"/>
            <family val="2"/>
          </rPr>
          <t>jwelsh:</t>
        </r>
        <r>
          <rPr>
            <sz val="10"/>
            <color indexed="81"/>
            <rFont val="Tahoma"/>
          </rPr>
          <t xml:space="preserve">
Janes p 743 Spica II class 3 Rolls Royce Proteus  Gas Turbines 3 props</t>
        </r>
      </text>
    </comment>
    <comment ref="Y225" authorId="0" shapeId="0">
      <text>
        <r>
          <rPr>
            <b/>
            <sz val="10"/>
            <color indexed="81"/>
            <rFont val="Tahoma"/>
          </rPr>
          <t>pnaughton:</t>
        </r>
        <r>
          <rPr>
            <sz val="10"/>
            <color indexed="81"/>
            <rFont val="Tahoma"/>
          </rPr>
          <t xml:space="preserve">
NGSS indicated 20kts</t>
        </r>
      </text>
    </comment>
    <comment ref="L233" authorId="0" shapeId="0">
      <text>
        <r>
          <rPr>
            <b/>
            <sz val="10"/>
            <color indexed="81"/>
            <rFont val="Tahoma"/>
          </rPr>
          <t>pnaughton:</t>
        </r>
        <r>
          <rPr>
            <sz val="10"/>
            <color indexed="81"/>
            <rFont val="Tahoma"/>
          </rPr>
          <t xml:space="preserve">
ELC indicates Loa = 50.1m</t>
        </r>
      </text>
    </comment>
    <comment ref="W233" authorId="0" shapeId="0">
      <text>
        <r>
          <rPr>
            <b/>
            <sz val="10"/>
            <color indexed="81"/>
            <rFont val="Tahoma"/>
          </rPr>
          <t>pnaughton:</t>
        </r>
        <r>
          <rPr>
            <sz val="10"/>
            <color indexed="81"/>
            <rFont val="Tahoma"/>
          </rPr>
          <t xml:space="preserve">
ELC indicates shp = 6820hp</t>
        </r>
      </text>
    </comment>
    <comment ref="H239" authorId="0" shapeId="0">
      <text>
        <r>
          <rPr>
            <b/>
            <sz val="10"/>
            <color indexed="81"/>
            <rFont val="Tahoma"/>
          </rPr>
          <t>pnaughton:</t>
        </r>
        <r>
          <rPr>
            <sz val="10"/>
            <color indexed="81"/>
            <rFont val="Tahoma"/>
          </rPr>
          <t xml:space="preserve">
ELC indicates Displ = 392 mt</t>
        </r>
      </text>
    </comment>
    <comment ref="I239" authorId="0" shapeId="0">
      <text>
        <r>
          <rPr>
            <b/>
            <sz val="10"/>
            <color indexed="81"/>
            <rFont val="Tahoma"/>
          </rPr>
          <t>pnaughton:</t>
        </r>
        <r>
          <rPr>
            <sz val="10"/>
            <color indexed="81"/>
            <rFont val="Tahoma"/>
          </rPr>
          <t xml:space="preserve">
ELC indicates Displ = 386 LT</t>
        </r>
      </text>
    </comment>
    <comment ref="AG246" authorId="0" shapeId="0">
      <text>
        <r>
          <rPr>
            <b/>
            <sz val="10"/>
            <color indexed="81"/>
            <rFont val="Tahoma"/>
          </rPr>
          <t>pnaughton:</t>
        </r>
        <r>
          <rPr>
            <sz val="10"/>
            <color indexed="81"/>
            <rFont val="Tahoma"/>
          </rPr>
          <t xml:space="preserve">
1800nm @ 12kts per Naval-Technology Webiste</t>
        </r>
      </text>
    </comment>
    <comment ref="AM246" authorId="0" shapeId="0">
      <text>
        <r>
          <rPr>
            <b/>
            <sz val="10"/>
            <color indexed="81"/>
            <rFont val="Tahoma"/>
          </rPr>
          <t>pnaughton:</t>
        </r>
        <r>
          <rPr>
            <sz val="10"/>
            <color indexed="81"/>
            <rFont val="Tahoma"/>
          </rPr>
          <t xml:space="preserve">
Per Combat Fleets of the World 2000-2001 pg 567</t>
        </r>
      </text>
    </comment>
    <comment ref="L250" authorId="0" shapeId="0">
      <text>
        <r>
          <rPr>
            <b/>
            <sz val="10"/>
            <color indexed="81"/>
            <rFont val="Tahoma"/>
          </rPr>
          <t>pnaughton:</t>
        </r>
        <r>
          <rPr>
            <sz val="10"/>
            <color indexed="81"/>
            <rFont val="Tahoma"/>
          </rPr>
          <t xml:space="preserve">
ELC indicates Loa = 54.8m</t>
        </r>
      </text>
    </comment>
    <comment ref="W250" authorId="0" shapeId="0">
      <text>
        <r>
          <rPr>
            <b/>
            <sz val="10"/>
            <color indexed="81"/>
            <rFont val="Tahoma"/>
          </rPr>
          <t>pnaughton:</t>
        </r>
        <r>
          <rPr>
            <sz val="10"/>
            <color indexed="81"/>
            <rFont val="Tahoma"/>
          </rPr>
          <t xml:space="preserve">
ELC indicates shp = 7230hp</t>
        </r>
      </text>
    </comment>
    <comment ref="A254" authorId="1" shapeId="0">
      <text>
        <r>
          <rPr>
            <b/>
            <sz val="8"/>
            <color indexed="81"/>
            <rFont val="Tahoma"/>
          </rPr>
          <t>jwelsh:</t>
        </r>
        <r>
          <rPr>
            <sz val="8"/>
            <color indexed="81"/>
            <rFont val="Tahoma"/>
          </rPr>
          <t xml:space="preserve">
Jane's p 221 force de surface a missions civiles-fsmc</t>
        </r>
      </text>
    </comment>
    <comment ref="I263" authorId="0" shapeId="0">
      <text>
        <r>
          <rPr>
            <b/>
            <sz val="10"/>
            <color indexed="81"/>
            <rFont val="Tahoma"/>
          </rPr>
          <t>pnaughton:</t>
        </r>
        <r>
          <rPr>
            <sz val="10"/>
            <color indexed="81"/>
            <rFont val="Tahoma"/>
          </rPr>
          <t xml:space="preserve">
Data not provided by ELC but Janes &amp; Combat Fleets indicates Displ = 450LT (Full Load)</t>
        </r>
      </text>
    </comment>
    <comment ref="W265" authorId="0" shapeId="0">
      <text>
        <r>
          <rPr>
            <b/>
            <sz val="10"/>
            <color indexed="81"/>
            <rFont val="Tahoma"/>
          </rPr>
          <t>pnaughton:</t>
        </r>
        <r>
          <rPr>
            <sz val="10"/>
            <color indexed="81"/>
            <rFont val="Tahoma"/>
          </rPr>
          <t xml:space="preserve">
NGSS indicates shp = 11211hp</t>
        </r>
      </text>
    </comment>
    <comment ref="N283" authorId="0" shapeId="0">
      <text>
        <r>
          <rPr>
            <b/>
            <sz val="10"/>
            <color indexed="81"/>
            <rFont val="Tahoma"/>
          </rPr>
          <t>pnaughton:</t>
        </r>
        <r>
          <rPr>
            <sz val="10"/>
            <color indexed="81"/>
            <rFont val="Tahoma"/>
          </rPr>
          <t xml:space="preserve">
Per ICGS info Bwl = 26ft</t>
        </r>
      </text>
    </comment>
    <comment ref="Q283" authorId="0" shapeId="0">
      <text>
        <r>
          <rPr>
            <b/>
            <sz val="10"/>
            <color indexed="81"/>
            <rFont val="Tahoma"/>
          </rPr>
          <t>pnaughton:</t>
        </r>
        <r>
          <rPr>
            <sz val="10"/>
            <color indexed="81"/>
            <rFont val="Tahoma"/>
          </rPr>
          <t xml:space="preserve">
Per ICGS Design Draft = 7.07ft</t>
        </r>
      </text>
    </comment>
    <comment ref="T284" authorId="0" shapeId="0">
      <text>
        <r>
          <rPr>
            <b/>
            <sz val="10"/>
            <color indexed="81"/>
            <rFont val="Tahoma"/>
          </rPr>
          <t>pnaughton:</t>
        </r>
        <r>
          <rPr>
            <sz val="10"/>
            <color indexed="81"/>
            <rFont val="Tahoma"/>
          </rPr>
          <t xml:space="preserve">
Per Damen PDF Accommodations for 16+4</t>
        </r>
      </text>
    </comment>
    <comment ref="Q285" authorId="0" shapeId="0">
      <text>
        <r>
          <rPr>
            <b/>
            <sz val="10"/>
            <color indexed="81"/>
            <rFont val="Tahoma"/>
          </rPr>
          <t>pnaughton:</t>
        </r>
        <r>
          <rPr>
            <sz val="10"/>
            <color indexed="81"/>
            <rFont val="Tahoma"/>
          </rPr>
          <t xml:space="preserve">
Austal website indicates T = 2.35m max</t>
        </r>
      </text>
    </comment>
    <comment ref="T285" authorId="0" shapeId="0">
      <text>
        <r>
          <rPr>
            <b/>
            <sz val="10"/>
            <color indexed="81"/>
            <rFont val="Tahoma"/>
          </rPr>
          <t>pnaughton:</t>
        </r>
        <r>
          <rPr>
            <sz val="10"/>
            <color indexed="81"/>
            <rFont val="Tahoma"/>
          </rPr>
          <t xml:space="preserve">
Austal website indicates crew of 15 + accommodations for 12 additional passengers</t>
        </r>
      </text>
    </comment>
    <comment ref="AG285" authorId="0" shapeId="0">
      <text>
        <r>
          <rPr>
            <b/>
            <sz val="10"/>
            <color indexed="81"/>
            <rFont val="Tahoma"/>
          </rPr>
          <t>pnaughton:</t>
        </r>
        <r>
          <rPr>
            <sz val="10"/>
            <color indexed="81"/>
            <rFont val="Tahoma"/>
          </rPr>
          <t xml:space="preserve">
Per Warship Technology Article includes 20% reserve </t>
        </r>
      </text>
    </comment>
    <comment ref="H292" authorId="0" shapeId="0">
      <text>
        <r>
          <rPr>
            <b/>
            <sz val="10"/>
            <color indexed="81"/>
            <rFont val="Tahoma"/>
          </rPr>
          <t>pnaughton:</t>
        </r>
        <r>
          <rPr>
            <sz val="10"/>
            <color indexed="81"/>
            <rFont val="Tahoma"/>
          </rPr>
          <t xml:space="preserve">
ELC indicates Displ = 392 mt</t>
        </r>
      </text>
    </comment>
    <comment ref="I292" authorId="0" shapeId="0">
      <text>
        <r>
          <rPr>
            <b/>
            <sz val="10"/>
            <color indexed="81"/>
            <rFont val="Tahoma"/>
          </rPr>
          <t>pnaughton:</t>
        </r>
        <r>
          <rPr>
            <sz val="10"/>
            <color indexed="81"/>
            <rFont val="Tahoma"/>
          </rPr>
          <t xml:space="preserve">
ELC indicates Displ = 386 LT</t>
        </r>
      </text>
    </comment>
    <comment ref="H293" authorId="0" shapeId="0">
      <text>
        <r>
          <rPr>
            <b/>
            <sz val="10"/>
            <color indexed="81"/>
            <rFont val="Tahoma"/>
          </rPr>
          <t>pnaughton:</t>
        </r>
        <r>
          <rPr>
            <sz val="10"/>
            <color indexed="81"/>
            <rFont val="Tahoma"/>
          </rPr>
          <t xml:space="preserve">
ELC indicates Displ = 168 mt</t>
        </r>
      </text>
    </comment>
    <comment ref="I293" authorId="0" shapeId="0">
      <text>
        <r>
          <rPr>
            <b/>
            <sz val="10"/>
            <color indexed="81"/>
            <rFont val="Tahoma"/>
          </rPr>
          <t>pnaughton:</t>
        </r>
        <r>
          <rPr>
            <sz val="10"/>
            <color indexed="81"/>
            <rFont val="Tahoma"/>
          </rPr>
          <t xml:space="preserve">
ELC indicates Displ = 165 LT</t>
        </r>
      </text>
    </comment>
    <comment ref="L293" authorId="0" shapeId="0">
      <text>
        <r>
          <rPr>
            <b/>
            <sz val="10"/>
            <color indexed="81"/>
            <rFont val="Tahoma"/>
          </rPr>
          <t>pnaughton:</t>
        </r>
        <r>
          <rPr>
            <sz val="10"/>
            <color indexed="81"/>
            <rFont val="Tahoma"/>
          </rPr>
          <t xml:space="preserve">
ELC indicates Loa = 33.5m</t>
        </r>
      </text>
    </comment>
    <comment ref="W293" authorId="0" shapeId="0">
      <text>
        <r>
          <rPr>
            <b/>
            <sz val="10"/>
            <color indexed="81"/>
            <rFont val="Tahoma"/>
          </rPr>
          <t>pnaughton:</t>
        </r>
        <r>
          <rPr>
            <sz val="10"/>
            <color indexed="81"/>
            <rFont val="Tahoma"/>
          </rPr>
          <t xml:space="preserve">
ELC indicates shp = 5760hp</t>
        </r>
      </text>
    </comment>
    <comment ref="Y293" authorId="0" shapeId="0">
      <text>
        <r>
          <rPr>
            <b/>
            <sz val="10"/>
            <color indexed="81"/>
            <rFont val="Tahoma"/>
          </rPr>
          <t>pnaughton:</t>
        </r>
        <r>
          <rPr>
            <sz val="10"/>
            <color indexed="81"/>
            <rFont val="Tahoma"/>
          </rPr>
          <t xml:space="preserve">
ELC indicates Vm = 29.5kts</t>
        </r>
      </text>
    </comment>
    <comment ref="Q294" authorId="0" shapeId="0">
      <text>
        <r>
          <rPr>
            <b/>
            <sz val="10"/>
            <color indexed="81"/>
            <rFont val="Tahoma"/>
          </rPr>
          <t>pnaughton:</t>
        </r>
        <r>
          <rPr>
            <sz val="10"/>
            <color indexed="81"/>
            <rFont val="Tahoma"/>
          </rPr>
          <t xml:space="preserve">
Draft taken from structural analysis of 123' WPB</t>
        </r>
      </text>
    </comment>
    <comment ref="L296" authorId="0" shapeId="0">
      <text>
        <r>
          <rPr>
            <b/>
            <sz val="10"/>
            <color indexed="81"/>
            <rFont val="Tahoma"/>
          </rPr>
          <t>pnaughton:</t>
        </r>
        <r>
          <rPr>
            <sz val="10"/>
            <color indexed="81"/>
            <rFont val="Tahoma"/>
          </rPr>
          <t xml:space="preserve">
ELC indicates Loa = 48.0m</t>
        </r>
      </text>
    </comment>
    <comment ref="Q296" authorId="0" shapeId="0">
      <text>
        <r>
          <rPr>
            <b/>
            <sz val="10"/>
            <color indexed="81"/>
            <rFont val="Tahoma"/>
          </rPr>
          <t>pnaughton:</t>
        </r>
        <r>
          <rPr>
            <sz val="10"/>
            <color indexed="81"/>
            <rFont val="Tahoma"/>
          </rPr>
          <t xml:space="preserve">
ELC indicates T = 1.4m</t>
        </r>
      </text>
    </comment>
    <comment ref="W296" authorId="0" shapeId="0">
      <text>
        <r>
          <rPr>
            <b/>
            <sz val="10"/>
            <color indexed="81"/>
            <rFont val="Tahoma"/>
          </rPr>
          <t>pnaughton:</t>
        </r>
        <r>
          <rPr>
            <sz val="10"/>
            <color indexed="81"/>
            <rFont val="Tahoma"/>
          </rPr>
          <t xml:space="preserve">
ELC indicates shp = 7510hp</t>
        </r>
      </text>
    </comment>
    <comment ref="L297" authorId="0" shapeId="0">
      <text>
        <r>
          <rPr>
            <b/>
            <sz val="10"/>
            <color indexed="81"/>
            <rFont val="Tahoma"/>
          </rPr>
          <t>pnaughton:</t>
        </r>
        <r>
          <rPr>
            <sz val="10"/>
            <color indexed="81"/>
            <rFont val="Tahoma"/>
          </rPr>
          <t xml:space="preserve">
AMI indicates Loa = 50.0m</t>
        </r>
      </text>
    </comment>
    <comment ref="O297" authorId="0" shapeId="0">
      <text>
        <r>
          <rPr>
            <b/>
            <sz val="10"/>
            <color indexed="81"/>
            <rFont val="Tahoma"/>
          </rPr>
          <t>pnaughton:</t>
        </r>
        <r>
          <rPr>
            <sz val="10"/>
            <color indexed="81"/>
            <rFont val="Tahoma"/>
          </rPr>
          <t xml:space="preserve">
ELC indicates B = 8.0m</t>
        </r>
      </text>
    </comment>
    <comment ref="Q297" authorId="0" shapeId="0">
      <text>
        <r>
          <rPr>
            <b/>
            <sz val="10"/>
            <color indexed="81"/>
            <rFont val="Tahoma"/>
          </rPr>
          <t>pnaughton:</t>
        </r>
        <r>
          <rPr>
            <sz val="10"/>
            <color indexed="81"/>
            <rFont val="Tahoma"/>
          </rPr>
          <t xml:space="preserve">
ELC indicates T = 1.9m</t>
        </r>
      </text>
    </comment>
    <comment ref="L298" authorId="0" shapeId="0">
      <text>
        <r>
          <rPr>
            <b/>
            <sz val="10"/>
            <color indexed="81"/>
            <rFont val="Tahoma"/>
          </rPr>
          <t>pnaughton:</t>
        </r>
        <r>
          <rPr>
            <sz val="10"/>
            <color indexed="81"/>
            <rFont val="Tahoma"/>
          </rPr>
          <t xml:space="preserve">
ELC indicates Loa =45m</t>
        </r>
      </text>
    </comment>
    <comment ref="AK318" authorId="1" shapeId="0">
      <text>
        <r>
          <rPr>
            <b/>
            <sz val="8"/>
            <color indexed="81"/>
            <rFont val="Tahoma"/>
          </rPr>
          <t>jwelsh:</t>
        </r>
        <r>
          <rPr>
            <sz val="8"/>
            <color indexed="81"/>
            <rFont val="Tahoma"/>
          </rPr>
          <t xml:space="preserve">
Combat Fleets of the World p345- 2 GMT BM 230.20 DVM diesels</t>
        </r>
      </text>
    </comment>
    <comment ref="AM318" authorId="1" shapeId="0">
      <text>
        <r>
          <rPr>
            <b/>
            <sz val="8"/>
            <color indexed="81"/>
            <rFont val="Tahoma"/>
          </rPr>
          <t>jwelsh:</t>
        </r>
        <r>
          <rPr>
            <sz val="8"/>
            <color indexed="81"/>
            <rFont val="Tahoma"/>
          </rPr>
          <t xml:space="preserve">
Combat Fleets of the World p. 345  2 CP props</t>
        </r>
      </text>
    </comment>
    <comment ref="X322" authorId="2" shapeId="0">
      <text>
        <r>
          <rPr>
            <b/>
            <sz val="8"/>
            <color indexed="81"/>
            <rFont val="Tahoma"/>
            <charset val="1"/>
          </rPr>
          <t>Patrick F. Naughton:</t>
        </r>
        <r>
          <rPr>
            <sz val="8"/>
            <color indexed="81"/>
            <rFont val="Tahoma"/>
            <charset val="1"/>
          </rPr>
          <t xml:space="preserve">
NGSS indicates power = 2052kw
Data on internet indicates one LM2500 of 27000hp + 2 MTU 16V956 Diesels of 7800hp tot</t>
        </r>
      </text>
    </comment>
    <comment ref="H325" authorId="0" shapeId="0">
      <text>
        <r>
          <rPr>
            <b/>
            <sz val="10"/>
            <color indexed="81"/>
            <rFont val="Tahoma"/>
          </rPr>
          <t>pnaughton:</t>
        </r>
        <r>
          <rPr>
            <sz val="10"/>
            <color indexed="81"/>
            <rFont val="Tahoma"/>
          </rPr>
          <t xml:space="preserve">
NGSS indicates Displ = 650mt</t>
        </r>
      </text>
    </comment>
    <comment ref="H340" authorId="0" shapeId="0">
      <text>
        <r>
          <rPr>
            <b/>
            <sz val="10"/>
            <color indexed="81"/>
            <rFont val="Tahoma"/>
          </rPr>
          <t>pnaughton:</t>
        </r>
        <r>
          <rPr>
            <sz val="10"/>
            <color indexed="81"/>
            <rFont val="Tahoma"/>
          </rPr>
          <t xml:space="preserve">
AMI indicated a displacement of 1002LT (1018mt)</t>
        </r>
      </text>
    </comment>
  </commentList>
</comments>
</file>

<file path=xl/sharedStrings.xml><?xml version="1.0" encoding="utf-8"?>
<sst xmlns="http://schemas.openxmlformats.org/spreadsheetml/2006/main" count="4397" uniqueCount="1628">
  <si>
    <t>IMPERIAL UNITS</t>
  </si>
  <si>
    <t>METRIC UNITS</t>
  </si>
  <si>
    <t>w242</t>
  </si>
  <si>
    <t>[PROP GTs]</t>
  </si>
  <si>
    <t>w243</t>
  </si>
  <si>
    <t>[SHAFTING]</t>
  </si>
  <si>
    <t>IITH</t>
  </si>
  <si>
    <t>=</t>
  </si>
  <si>
    <t>LWL</t>
  </si>
  <si>
    <t>*</t>
  </si>
  <si>
    <t>[SINGLE SHAFT]</t>
  </si>
  <si>
    <t>[TWIN SHAFT]</t>
  </si>
  <si>
    <t>w244</t>
  </si>
  <si>
    <t>(w243+w245)</t>
  </si>
  <si>
    <t>w245</t>
  </si>
  <si>
    <t>Dp</t>
  </si>
  <si>
    <t xml:space="preserve">^ </t>
  </si>
  <si>
    <t>(</t>
  </si>
  <si>
    <t>-</t>
  </si>
  <si>
    <t>)</t>
  </si>
  <si>
    <t>w298</t>
  </si>
  <si>
    <t>[PROP PLNT OP FLUIDS]</t>
  </si>
  <si>
    <t>w299</t>
  </si>
  <si>
    <t>(w230+w240+w250+w260)</t>
  </si>
  <si>
    <t>[PROP PLNT RPR PTS]</t>
  </si>
  <si>
    <t>w311</t>
  </si>
  <si>
    <t>KWI</t>
  </si>
  <si>
    <t>[FOR GTGs]</t>
  </si>
  <si>
    <t>ASSET</t>
  </si>
  <si>
    <t>w313</t>
  </si>
  <si>
    <t>[BTTY &amp; SERV FACILITIES]</t>
  </si>
  <si>
    <t>w314</t>
  </si>
  <si>
    <t>[POWER CONV EQ]</t>
  </si>
  <si>
    <t>w321</t>
  </si>
  <si>
    <t>+</t>
  </si>
  <si>
    <t>VOLA</t>
  </si>
  <si>
    <t>[SHIP SERV PWR CBL]</t>
  </si>
  <si>
    <t>BASED ON SES DES MAN</t>
  </si>
  <si>
    <t>w323</t>
  </si>
  <si>
    <t>[CASUALTY PWR CBL]</t>
  </si>
  <si>
    <t>SES DES MAN</t>
  </si>
  <si>
    <t>w324</t>
  </si>
  <si>
    <t>[SWITCH GR &amp; PNLS]</t>
  </si>
  <si>
    <t>w331</t>
  </si>
  <si>
    <t>[LIGHTING DISTRO]</t>
  </si>
  <si>
    <t>SESDOC</t>
  </si>
  <si>
    <t>w332</t>
  </si>
  <si>
    <t>COMP</t>
  </si>
  <si>
    <t>[LIGHTING FIXTURES]</t>
  </si>
  <si>
    <t>w343</t>
  </si>
  <si>
    <t>[GTG SUPT SYSTEMS]</t>
  </si>
  <si>
    <t>w398</t>
  </si>
  <si>
    <t>[ELEC PLNT OP FLUIDS]</t>
  </si>
  <si>
    <t>w399</t>
  </si>
  <si>
    <t>[ELEC PLNT PTS &amp; TOOLS]</t>
  </si>
  <si>
    <t>w511</t>
  </si>
  <si>
    <t>[COMPT HEATING]</t>
  </si>
  <si>
    <t>w512</t>
  </si>
  <si>
    <t>[VENT SYS]</t>
  </si>
  <si>
    <t>w513</t>
  </si>
  <si>
    <t>[MCHY SPC VENT SYS]</t>
  </si>
  <si>
    <t>w514</t>
  </si>
  <si>
    <t>ACCOM</t>
  </si>
  <si>
    <t>[AC SYS]</t>
  </si>
  <si>
    <t>w516</t>
  </si>
  <si>
    <t>[REFRIG SYS]</t>
  </si>
  <si>
    <t>w521</t>
  </si>
  <si>
    <t>[FIREMAIN &amp; SW SYS]</t>
  </si>
  <si>
    <t>w522</t>
  </si>
  <si>
    <t>[SPRINKLER SYS]</t>
  </si>
  <si>
    <t>w524</t>
  </si>
  <si>
    <t>[AUX SW SYS]</t>
  </si>
  <si>
    <t>NEW</t>
  </si>
  <si>
    <t>w526</t>
  </si>
  <si>
    <t>L * BOA</t>
  </si>
  <si>
    <t>[SCUPPERS &amp; DK DRNS]</t>
  </si>
  <si>
    <t>w528</t>
  </si>
  <si>
    <t>[PLUMBING DRNS]</t>
  </si>
  <si>
    <t>w529</t>
  </si>
  <si>
    <t>[DRAINAGE &amp; BLST SYS]</t>
  </si>
  <si>
    <t>w531</t>
  </si>
  <si>
    <t>[DIST PLNT]</t>
  </si>
  <si>
    <t>^</t>
  </si>
  <si>
    <t>w532</t>
  </si>
  <si>
    <t>w400</t>
  </si>
  <si>
    <t>[COOLING WTR]</t>
  </si>
  <si>
    <t>w533</t>
  </si>
  <si>
    <t>[POT WTR SYS]</t>
  </si>
  <si>
    <t>w541</t>
  </si>
  <si>
    <t>wF41</t>
  </si>
  <si>
    <t>[FO &amp; FO COMP SYS]</t>
  </si>
  <si>
    <t>w542</t>
  </si>
  <si>
    <t>wF42</t>
  </si>
  <si>
    <t>[JP5 SYS]</t>
  </si>
  <si>
    <t>w551</t>
  </si>
  <si>
    <t>[COMP AIR SYS]</t>
  </si>
  <si>
    <t>w555</t>
  </si>
  <si>
    <t>[FIRE EXT SYS]</t>
  </si>
  <si>
    <t>w556</t>
  </si>
  <si>
    <t>w561</t>
  </si>
  <si>
    <t>[STEERING SYS]</t>
  </si>
  <si>
    <t>BASED ON CONFORM</t>
  </si>
  <si>
    <t>w562</t>
  </si>
  <si>
    <t>[RUDDERS]</t>
  </si>
  <si>
    <t>BASED ON w561 EQN</t>
  </si>
  <si>
    <t>w571</t>
  </si>
  <si>
    <t>[RAS SYS]</t>
  </si>
  <si>
    <t>w572</t>
  </si>
  <si>
    <t>[SHIP STR &amp; EQ HNDLG]</t>
  </si>
  <si>
    <t>w581</t>
  </si>
  <si>
    <t>[ANCHR HNDLG &amp; STWG]</t>
  </si>
  <si>
    <t>w582</t>
  </si>
  <si>
    <t>[MOORING &amp; TOW SYS]</t>
  </si>
  <si>
    <t>w583</t>
  </si>
  <si>
    <t>[BOAT HNDLG &amp; STG SYS]</t>
  </si>
  <si>
    <t>w593</t>
  </si>
  <si>
    <t>[ENVIRO POLLUTION CNTRL SYS]</t>
  </si>
  <si>
    <t>w598</t>
  </si>
  <si>
    <t>(w500-(w598+w599))</t>
  </si>
  <si>
    <t>[AUX SYS OP FLDS]</t>
  </si>
  <si>
    <t>w599</t>
  </si>
  <si>
    <t>[AUX SYS RPR PTS &amp; TOOLS]</t>
  </si>
  <si>
    <t>w611</t>
  </si>
  <si>
    <t>[HULL FITTINGS]</t>
  </si>
  <si>
    <t>ASSET/SES DES MAN</t>
  </si>
  <si>
    <t>SWBS REGRESSION</t>
  </si>
  <si>
    <t>w612</t>
  </si>
  <si>
    <t>[RAILS, STNCHNS &amp; LIFELINES]</t>
  </si>
  <si>
    <t>w613</t>
  </si>
  <si>
    <t>[RIGGING &amp; CANVAS]</t>
  </si>
  <si>
    <t>w621</t>
  </si>
  <si>
    <t>[NON STRUCT BHDS]</t>
  </si>
  <si>
    <t>BASED ON ASSET</t>
  </si>
  <si>
    <t>w622</t>
  </si>
  <si>
    <t>[FLOOR PLTS &amp; GRTGS]</t>
  </si>
  <si>
    <t>BASED ON ASSET/SESDOC</t>
  </si>
  <si>
    <t>w623</t>
  </si>
  <si>
    <t>[LADDERS]</t>
  </si>
  <si>
    <t>w624</t>
  </si>
  <si>
    <t>[NON STRUCT CLOSURES]</t>
  </si>
  <si>
    <t>HYDROS &amp; SESs</t>
  </si>
  <si>
    <t>w625</t>
  </si>
  <si>
    <t>VLSS</t>
  </si>
  <si>
    <t>[AIRPORTS, PORTLIGHTS, &amp; WINDOWS]</t>
  </si>
  <si>
    <t>w631</t>
  </si>
  <si>
    <t>[PAINTING]</t>
  </si>
  <si>
    <t>w633</t>
  </si>
  <si>
    <t>[CATHODIC PROT]</t>
  </si>
  <si>
    <t>w634</t>
  </si>
  <si>
    <t>[DK COVERINGS]</t>
  </si>
  <si>
    <t>w635</t>
  </si>
  <si>
    <t>[HULL INSUL]</t>
  </si>
  <si>
    <t>VOLA-(VOLIB+2*VOLSH)</t>
  </si>
  <si>
    <t>w636</t>
  </si>
  <si>
    <t>DEFINED IN CBT SUITE</t>
  </si>
  <si>
    <t>[HUL DAMPING]</t>
  </si>
  <si>
    <t>w637</t>
  </si>
  <si>
    <t>[SHEATHING]</t>
  </si>
  <si>
    <t>w638</t>
  </si>
  <si>
    <t>w641</t>
  </si>
  <si>
    <t>NOFF</t>
  </si>
  <si>
    <t>[OFF BERTH &amp; MESS SPACES]</t>
  </si>
  <si>
    <t>HYDROS &amp; SESs/SESDOC</t>
  </si>
  <si>
    <t>w642</t>
  </si>
  <si>
    <t>NCPO</t>
  </si>
  <si>
    <t>[NCO BERTH &amp; MESS SPACES]</t>
  </si>
  <si>
    <t>w643</t>
  </si>
  <si>
    <t>NENL</t>
  </si>
  <si>
    <t>[ENLISTED BERTH &amp; MESS SPACES]</t>
  </si>
  <si>
    <t>w644</t>
  </si>
  <si>
    <t>[SANITARY SPC &amp; FIXTURES]</t>
  </si>
  <si>
    <t>w645</t>
  </si>
  <si>
    <t>[LEISURE &amp; COMMUNITY SPC]</t>
  </si>
  <si>
    <t>w651</t>
  </si>
  <si>
    <t>[COMMISSARY SPACES]</t>
  </si>
  <si>
    <t>w652</t>
  </si>
  <si>
    <t>[MED SPACES]</t>
  </si>
  <si>
    <t>w654</t>
  </si>
  <si>
    <t>[UTIL SPACES]</t>
  </si>
  <si>
    <t>w655</t>
  </si>
  <si>
    <t>[LAUNDRY SPACES]</t>
  </si>
  <si>
    <t>w656</t>
  </si>
  <si>
    <t>[TRASH DISP SPACE]</t>
  </si>
  <si>
    <t>w661</t>
  </si>
  <si>
    <t>[OFFICES]</t>
  </si>
  <si>
    <t>w662</t>
  </si>
  <si>
    <t>HPT</t>
  </si>
  <si>
    <t>[MCHY CNTRL CTR O&amp;F]</t>
  </si>
  <si>
    <t>w663</t>
  </si>
  <si>
    <t>[ELEC CNTRL CTR O&amp;F]</t>
  </si>
  <si>
    <t>w664</t>
  </si>
  <si>
    <t>[DC STA]</t>
  </si>
  <si>
    <t>HYDROS &amp;SESs</t>
  </si>
  <si>
    <t>w665</t>
  </si>
  <si>
    <t>[WKSHP, LAB &amp; TEST AREAS]</t>
  </si>
  <si>
    <t>w671</t>
  </si>
  <si>
    <t>[LKRS &amp; SPC STG]</t>
  </si>
  <si>
    <t xml:space="preserve">VOLA </t>
  </si>
  <si>
    <t>NAVSEA DATA FIT</t>
  </si>
  <si>
    <t>w672</t>
  </si>
  <si>
    <t>[STRM &amp; ISSUE RMS]</t>
  </si>
  <si>
    <t>DSTRS</t>
  </si>
  <si>
    <t>w698</t>
  </si>
  <si>
    <t>(w600-(w698+w699))</t>
  </si>
  <si>
    <t>[O&amp;F OP FLUIDS]</t>
  </si>
  <si>
    <t>w650</t>
  </si>
  <si>
    <t>w699</t>
  </si>
  <si>
    <t>[O&amp;F RPR PTS &amp; SPE TOOLS]</t>
  </si>
  <si>
    <t xml:space="preserve">SHIP VOLUME </t>
  </si>
  <si>
    <t>(ft3/1000)</t>
  </si>
  <si>
    <t>COMPLEMENT</t>
  </si>
  <si>
    <t>VSH</t>
  </si>
  <si>
    <t>VOLUME OF SIDE HULLS</t>
  </si>
  <si>
    <t>(SES)</t>
  </si>
  <si>
    <t>VOLUME OF SUPERSTRUCTURE</t>
  </si>
  <si>
    <t>NUMBER OF OFFICERS</t>
  </si>
  <si>
    <t>NUMBER OF CPOs/NCOs</t>
  </si>
  <si>
    <t>NUMBER OF ENLISTED CREW</t>
  </si>
  <si>
    <t>INSTALLED GENEROTOR KW FOR GTGS</t>
  </si>
  <si>
    <t>HORSEPOWER TOTAL</t>
  </si>
  <si>
    <t xml:space="preserve">PROPELLER DIA </t>
  </si>
  <si>
    <t>(ft)</t>
  </si>
  <si>
    <t>This spreadsheet has been developed to assist in comparing estimated ship weights to parametric data for existing warships and designs.</t>
  </si>
  <si>
    <t>The data for existing designs comes from three separate databases, that have not yet been fully pulled into a single format.</t>
  </si>
  <si>
    <t>Data for the 1st database came from various ASNE, SNAME and similar type technical papers small vessels including Fast Attack Craft, Offshore Patrol Vessels, Mine Countermeasures Vessels, and small surface combatants (Corvettes and Frigates).  This data primarily is limited to single digit weights (Groups 100, 200, 300, 400, 500, 600 &amp; 700) plus dimensional data (such as Length, Beam, Depth, etc).  These data points are shown in the attached graphs as:</t>
  </si>
  <si>
    <t xml:space="preserve">FAC - Fast Attack Craft - Brown Triangles </t>
  </si>
  <si>
    <t>OPV - Offshore Patrol Vessels - Red Circles</t>
  </si>
  <si>
    <t>MCM - Mine Countermeasures Vessel - Orange Squares</t>
  </si>
  <si>
    <t>FF - Small Surface Comatants/Frigate - Gray Diamonds</t>
  </si>
  <si>
    <t xml:space="preserve">Data for the 2nd database came from G&amp;C datafiles for several recent USN vessels, plus some smaller G&amp;C surface combatbat designs.  This data includes 3-digit weights for SWBS 100 and single digit weights for SWBS 200, 300, 400, 500, 600, and 700.  Eventually it is intended to include 3 digit weights for SWBS 200-700 but this has not yet been done.  These data points include the PGG511, the PCG 612, several G&amp;C designs for 500-900t corvettes, a G&amp;C 1300t OPV design, the FFG7 and DDG 79.  These data points are shown in the attached graphs as: </t>
  </si>
  <si>
    <t>Black Diamonds with White Centers</t>
  </si>
  <si>
    <t>Data for the 3rd database came from a summary of past USN designs.  This data includes mostly 3-digit weights for SWBS 100, 200, 300, 500, &amp; 600.   SWBS 400, 700 &amp; 150 are only listed as 2-digit numbers.  These data points include ships from the CG16 &amp; DDG 35 up to DDG51.  These data points are shown in the attached graphs as:</t>
  </si>
  <si>
    <t>Blue Circles with a Light Center</t>
  </si>
  <si>
    <t>All the source data from these databases is included as tabs at the end of the spreadsheet (Colored Bright Yellow)</t>
  </si>
  <si>
    <t>The Tab "Inputs" (Shaded Green) is where the user can enter data for a new design to be compared against the data for the existing designs in these three databases.</t>
  </si>
  <si>
    <t>The remainder of the sheets in this spreadsheet provide plots of the user input data in comparison to the data for existing designs.  On this plots the user input data will be shown as:</t>
  </si>
  <si>
    <t xml:space="preserve">Green Cross </t>
  </si>
  <si>
    <t>For many weight groups the SWBS group weights are plotted against Cubic Number (or Cubic Number/100) where Cubic Number equals L*B*D.</t>
  </si>
  <si>
    <t>For Propulsion Plant weights the SWBS groups have typically been plotted against Installed Propulsion Power (in kW).</t>
  </si>
  <si>
    <t>For Electric Plant weights the SWBS groups have typically been plotted against Installed Electric Plant Power (in kW).</t>
  </si>
  <si>
    <t>For some SWBS weights additional plots have been included to investigate trends against other independent variables.</t>
  </si>
  <si>
    <t>The user can also update and/or add additional plot to investigate trends versus other independent variables as desired.</t>
  </si>
  <si>
    <t>Finally, in database 3 a few additional weight groupings were provided, including:</t>
  </si>
  <si>
    <t>Cabling Weight (equal to SWBS 321+322+323)</t>
  </si>
  <si>
    <t>Lighting System Weight (equal to SWBS 331+332)</t>
  </si>
  <si>
    <t>Hull Insulation, Damping &amp; Sheathing (equal to SWBS 635+636+637)</t>
  </si>
  <si>
    <t>Hull Girder Weight (equal to SWBS 110+120+130+140)</t>
  </si>
  <si>
    <t>Plots are also included for these weight groupings as well.</t>
  </si>
  <si>
    <t xml:space="preserve">Input Cells - Shaded </t>
  </si>
  <si>
    <t>Lt Green</t>
  </si>
  <si>
    <t xml:space="preserve">Optional/Alternate Inputs - Shaded </t>
  </si>
  <si>
    <t>Lt Blue</t>
  </si>
  <si>
    <t>[Can either add SWBS 150 as a single weight for total deckhouse or separate weights for each deckhouse level]</t>
  </si>
  <si>
    <t xml:space="preserve">Intermediate Calcs - Shaded </t>
  </si>
  <si>
    <t>Lt Yellow</t>
  </si>
  <si>
    <t>[Highlighted for Reference]</t>
  </si>
  <si>
    <t>Loa</t>
  </si>
  <si>
    <t>Length Overall</t>
  </si>
  <si>
    <t>(m)</t>
  </si>
  <si>
    <t>Lbp</t>
  </si>
  <si>
    <t>Length Between Perpendiculars</t>
  </si>
  <si>
    <t>B</t>
  </si>
  <si>
    <t>Beam</t>
  </si>
  <si>
    <t>D</t>
  </si>
  <si>
    <t>Depth</t>
  </si>
  <si>
    <t>Pwr</t>
  </si>
  <si>
    <t>Installed Power</t>
  </si>
  <si>
    <t>(kW)</t>
  </si>
  <si>
    <t>ePwr</t>
  </si>
  <si>
    <t>Generator Power</t>
  </si>
  <si>
    <t>Accom</t>
  </si>
  <si>
    <t>Total Number of Accommodations</t>
  </si>
  <si>
    <t>Vss</t>
  </si>
  <si>
    <t>Total Superstructure Volume</t>
  </si>
  <si>
    <t>(m3)</t>
  </si>
  <si>
    <t>LBD</t>
  </si>
  <si>
    <t>Cubic Number</t>
  </si>
  <si>
    <t>LBD/100</t>
  </si>
  <si>
    <t>L*(B+D)</t>
  </si>
  <si>
    <t>L*(B+2D)</t>
  </si>
  <si>
    <t>Loa/Lbp</t>
  </si>
  <si>
    <t>B/L</t>
  </si>
  <si>
    <t>L/B</t>
  </si>
  <si>
    <t>D/L</t>
  </si>
  <si>
    <t>L/D</t>
  </si>
  <si>
    <t>D/B</t>
  </si>
  <si>
    <t>B/D</t>
  </si>
  <si>
    <t>w100</t>
  </si>
  <si>
    <t>Strucutral Weight</t>
  </si>
  <si>
    <t>w200</t>
  </si>
  <si>
    <t>Propulsion Plant Weight</t>
  </si>
  <si>
    <t>w300</t>
  </si>
  <si>
    <t>Electric Plant Weight</t>
  </si>
  <si>
    <t>Command &amp; Surveillance Weight</t>
  </si>
  <si>
    <t>w500</t>
  </si>
  <si>
    <t>Auxiliary Systems Weight</t>
  </si>
  <si>
    <t>w600</t>
  </si>
  <si>
    <t>Outfit &amp; Furnishings Weight</t>
  </si>
  <si>
    <t>w700</t>
  </si>
  <si>
    <t>Armament Weight</t>
  </si>
  <si>
    <t>Margins</t>
  </si>
  <si>
    <t>Lt Ship Weight</t>
  </si>
  <si>
    <t>Shell &amp; Supports</t>
  </si>
  <si>
    <t>Shell Plating</t>
  </si>
  <si>
    <t>Inner Bottom</t>
  </si>
  <si>
    <t>Shell Appendages</t>
  </si>
  <si>
    <t>Stanchions</t>
  </si>
  <si>
    <t>Long Framing</t>
  </si>
  <si>
    <t>Transv Framing</t>
  </si>
  <si>
    <t>Hull Strucutral BHDs</t>
  </si>
  <si>
    <t>Long Structural BHDs</t>
  </si>
  <si>
    <t>Transv Structural BHDs</t>
  </si>
  <si>
    <t>Trunks &amp; Enclosures</t>
  </si>
  <si>
    <t>Hull Decks</t>
  </si>
  <si>
    <t>Main Deck</t>
  </si>
  <si>
    <t>2nd Deck</t>
  </si>
  <si>
    <t>01 Hull Deck (Fcsle &amp; Poop Deck)</t>
  </si>
  <si>
    <t>Hull Platforms/Flats</t>
  </si>
  <si>
    <t>1st Platform</t>
  </si>
  <si>
    <t>2nd Platform</t>
  </si>
  <si>
    <t>Flats</t>
  </si>
  <si>
    <t>Deck House Structure</t>
  </si>
  <si>
    <t>Deck House Structure to 1st Level</t>
  </si>
  <si>
    <t>1st Deck House Level</t>
  </si>
  <si>
    <t>2nd Deck House Level</t>
  </si>
  <si>
    <t>3rd Deck House Level</t>
  </si>
  <si>
    <t>4th Deck House Level</t>
  </si>
  <si>
    <t>5th Deck House Level</t>
  </si>
  <si>
    <t>Special Structures</t>
  </si>
  <si>
    <t>Structural Castings</t>
  </si>
  <si>
    <t>Stacks &amp; Macks</t>
  </si>
  <si>
    <t>Sea Chests</t>
  </si>
  <si>
    <t>Ballistic Plating</t>
  </si>
  <si>
    <t>SONAR Domes</t>
  </si>
  <si>
    <t>Hull Structural Closures</t>
  </si>
  <si>
    <t>Deck House Structural Closures</t>
  </si>
  <si>
    <t>Special Purpose Closures</t>
  </si>
  <si>
    <t>Masts, Kingposts &amp; Service Platforms</t>
  </si>
  <si>
    <t>Masts, Towers &amp; Tetrapods</t>
  </si>
  <si>
    <t>Kingposts</t>
  </si>
  <si>
    <t>Service Platforms</t>
  </si>
  <si>
    <t>Foundations</t>
  </si>
  <si>
    <t>Hull Structural Foundations</t>
  </si>
  <si>
    <t>Propulsion Plant Foundations</t>
  </si>
  <si>
    <t>Electric Plant Foundations</t>
  </si>
  <si>
    <t>Command &amp; Surveillance Foundations</t>
  </si>
  <si>
    <t>Auxiliary Systems Foundations</t>
  </si>
  <si>
    <t>Outfit &amp; Furnishing Foundations</t>
  </si>
  <si>
    <t>Armament Foundations</t>
  </si>
  <si>
    <t>Special Purpose Systems</t>
  </si>
  <si>
    <t>Ballast &amp; Buoyancy Units</t>
  </si>
  <si>
    <t>196/197</t>
  </si>
  <si>
    <t>Weld &amp; Mill Tolerances</t>
  </si>
  <si>
    <t>Free Flooding Liquids</t>
  </si>
  <si>
    <t>Hull Repair Parts &amp; Special Tools</t>
  </si>
  <si>
    <t>Energy Generating Systems (Non-Nuclear)</t>
  </si>
  <si>
    <t>Boilers</t>
  </si>
  <si>
    <t>Propulsion Units</t>
  </si>
  <si>
    <t>Steam Turbines</t>
  </si>
  <si>
    <t>Internal Combustion Engines</t>
  </si>
  <si>
    <t>Gas Turbines</t>
  </si>
  <si>
    <t>Auxiliary Propulsion on Devices</t>
  </si>
  <si>
    <t>Transmission &amp; Propulsor Systems</t>
  </si>
  <si>
    <t>Reduction Gears</t>
  </si>
  <si>
    <t>Clutches &amp; Couplings</t>
  </si>
  <si>
    <t>Shafting</t>
  </si>
  <si>
    <t>Shaft Bearings</t>
  </si>
  <si>
    <t>Propellers</t>
  </si>
  <si>
    <t>Support Systems</t>
  </si>
  <si>
    <t>Combustion Air System</t>
  </si>
  <si>
    <t>Propulsion Control System</t>
  </si>
  <si>
    <t>Main Steam Piping</t>
  </si>
  <si>
    <t>Main Condensers</t>
  </si>
  <si>
    <t>Feed and Condensate</t>
  </si>
  <si>
    <t>Circulating 8 Cooling Water</t>
  </si>
  <si>
    <t>HP Steam Drains</t>
  </si>
  <si>
    <t>Uptakes</t>
  </si>
  <si>
    <t>Propulsion Support Systems (FO &amp; LO)</t>
  </si>
  <si>
    <t>Fuel Service System</t>
  </si>
  <si>
    <t>Lube Oil Service System</t>
  </si>
  <si>
    <t>Lube Oil Transfer System</t>
  </si>
  <si>
    <t>Propulsion Operating Fluids</t>
  </si>
  <si>
    <t>Propul Repair Parts, Tools</t>
  </si>
  <si>
    <t>Generating Plant (311-314)</t>
  </si>
  <si>
    <t>Ship Service Generators</t>
  </si>
  <si>
    <t>Emergency Generators</t>
  </si>
  <si>
    <t>Batteries &amp; Service Fadlities</t>
  </si>
  <si>
    <t>Power Conversion</t>
  </si>
  <si>
    <t>Power Distribution System</t>
  </si>
  <si>
    <t>CBL</t>
  </si>
  <si>
    <t>Power Cable (321-323)</t>
  </si>
  <si>
    <t>Ship Service Power Cable</t>
  </si>
  <si>
    <t>Emergency Power Cable</t>
  </si>
  <si>
    <t>Casualty Power Cable</t>
  </si>
  <si>
    <t>Switchgear</t>
  </si>
  <si>
    <t>LTG</t>
  </si>
  <si>
    <t>Lighting System (331-332)</t>
  </si>
  <si>
    <t>Lighting Distribution</t>
  </si>
  <si>
    <t>Lighting Fixtures</t>
  </si>
  <si>
    <t>Power Generation Support System</t>
  </si>
  <si>
    <t>SSTG Lube Oil System</t>
  </si>
  <si>
    <t>Diesel Support</t>
  </si>
  <si>
    <t>Turbine Support</t>
  </si>
  <si>
    <t>Electric Plant Op Fluids</t>
  </si>
  <si>
    <t>Electric Plant Repair Parts</t>
  </si>
  <si>
    <t>Command &amp; Control</t>
  </si>
  <si>
    <t>Navigation Systems</t>
  </si>
  <si>
    <t>Interior Comm &amp; Alarms</t>
  </si>
  <si>
    <t>Exterior Communications</t>
  </si>
  <si>
    <t>Surveillance Sys, Surf/Air</t>
  </si>
  <si>
    <t>Surveil Systems, Underwater</t>
  </si>
  <si>
    <t>Countermeasures (less DG)</t>
  </si>
  <si>
    <t>Degaussing</t>
  </si>
  <si>
    <t>Fire Control Systems</t>
  </si>
  <si>
    <t>Electronic Test, Checkout &amp; Monitoring Eq</t>
  </si>
  <si>
    <t>Non-Combat Data Processing System</t>
  </si>
  <si>
    <t>C&amp;S Operating Fluids</t>
  </si>
  <si>
    <t>C&amp;S Repair Parts</t>
  </si>
  <si>
    <t>Climate Control</t>
  </si>
  <si>
    <t>Heating</t>
  </si>
  <si>
    <t>Ventilation, Non-Machinery</t>
  </si>
  <si>
    <t>Ventilation, Machinery</t>
  </si>
  <si>
    <t>Air Conditioning</t>
  </si>
  <si>
    <t>Refrigeration</t>
  </si>
  <si>
    <t>Auxiliary Boilers</t>
  </si>
  <si>
    <t>Sea Water Systems</t>
  </si>
  <si>
    <t>Firemain</t>
  </si>
  <si>
    <t>Sprinkler System</t>
  </si>
  <si>
    <t>Washdown System</t>
  </si>
  <si>
    <t>Seawater Supply System</t>
  </si>
  <si>
    <t>Scuppers and Deck Drains</t>
  </si>
  <si>
    <t>Plumbing Drainage</t>
  </si>
  <si>
    <t>Ballast Drainage</t>
  </si>
  <si>
    <t>Distilling Plant</t>
  </si>
  <si>
    <t>Fresh Water Cooling</t>
  </si>
  <si>
    <t>Potable Water</t>
  </si>
  <si>
    <t>Aux Steam Drains, Machy</t>
  </si>
  <si>
    <t>Aux Steam Dms, Non-Mach</t>
  </si>
  <si>
    <t>Aux Fresh Water Cooling</t>
  </si>
  <si>
    <t>Fuel Handling/Storage</t>
  </si>
  <si>
    <t>Fuel Transfer System</t>
  </si>
  <si>
    <t>JP-5 System</t>
  </si>
  <si>
    <t>Tank Heating System</t>
  </si>
  <si>
    <t>Air, Gas &amp; Misc Fluids Systems</t>
  </si>
  <si>
    <t>Compressed Air Systems</t>
  </si>
  <si>
    <t>Compressed Gas Systems</t>
  </si>
  <si>
    <t>02-N2 System</t>
  </si>
  <si>
    <t>LP Blow System</t>
  </si>
  <si>
    <t>Fire Extinguishing System</t>
  </si>
  <si>
    <t>Hydraulics</t>
  </si>
  <si>
    <t>Special Piping Systems</t>
  </si>
  <si>
    <t>Ship Control Systems</t>
  </si>
  <si>
    <t>Steering</t>
  </si>
  <si>
    <t>Rudder</t>
  </si>
  <si>
    <t>Fin Stabilizers</t>
  </si>
  <si>
    <t>Maneuvering Systems</t>
  </si>
  <si>
    <t>Underway Replenishment Systems</t>
  </si>
  <si>
    <t>Replenishment-at-Sea Sys</t>
  </si>
  <si>
    <t>Ship Stores Handling</t>
  </si>
  <si>
    <t>Mechanical Handling Systems</t>
  </si>
  <si>
    <t>Anchor &amp; Anchor Handling</t>
  </si>
  <si>
    <t>Mooring &amp; Towing System</t>
  </si>
  <si>
    <t>Boats and Handling System</t>
  </si>
  <si>
    <t>Aircraft Recovery</t>
  </si>
  <si>
    <t>Aircraft Handling, Service &amp; Stowage</t>
  </si>
  <si>
    <t>Pollution Control Systems</t>
  </si>
  <si>
    <t>Auxiliary Systems Op Fluids</t>
  </si>
  <si>
    <t>Auxiliary Sys Repair Parts</t>
  </si>
  <si>
    <t>Ship Fittings</t>
  </si>
  <si>
    <t>Hull Compartmentation</t>
  </si>
  <si>
    <t>Nonstructural Bulkheads</t>
  </si>
  <si>
    <t>Floor Plates &amp; Gratings</t>
  </si>
  <si>
    <t>Ladders</t>
  </si>
  <si>
    <t>Nonstructural Closures</t>
  </si>
  <si>
    <t>Airports &amp; Windows</t>
  </si>
  <si>
    <t>Preservatives &amp; Coverings</t>
  </si>
  <si>
    <t>Painting</t>
  </si>
  <si>
    <t>Cathodic Protection</t>
  </si>
  <si>
    <t>Deck Covering</t>
  </si>
  <si>
    <t>IDS</t>
  </si>
  <si>
    <t>Hull Insul/Damping/Sheathing</t>
  </si>
  <si>
    <t>Refrigerated Spaces</t>
  </si>
  <si>
    <t>Living Spaces</t>
  </si>
  <si>
    <t>Officers Berth/Mess/Furnish</t>
  </si>
  <si>
    <t>CPOs Berth/Mess/Furnish</t>
  </si>
  <si>
    <t>Enlisted Berth/Mess/Furnish</t>
  </si>
  <si>
    <t>Sandary_Ipace Fixtures</t>
  </si>
  <si>
    <t>Leisure Space Furnishings</t>
  </si>
  <si>
    <t>Service Spaces</t>
  </si>
  <si>
    <t>Commissary Spaces</t>
  </si>
  <si>
    <t>Medical Space Furnishings</t>
  </si>
  <si>
    <t>Utility Space Equipment</t>
  </si>
  <si>
    <t>Laundry Space Equipment</t>
  </si>
  <si>
    <t>656/658</t>
  </si>
  <si>
    <t>Trash Disposal Equipment</t>
  </si>
  <si>
    <t>Service Spaces Plumbing</t>
  </si>
  <si>
    <t>Working Spaces</t>
  </si>
  <si>
    <t>Office Furnishings</t>
  </si>
  <si>
    <t>Machy Control Cen Furnish</t>
  </si>
  <si>
    <t>Elex Control Cen Furnish</t>
  </si>
  <si>
    <t>Damage-Control Equipment</t>
  </si>
  <si>
    <t>Workshops</t>
  </si>
  <si>
    <t>Stowage Spaces</t>
  </si>
  <si>
    <t>Lockers &amp; Special Stowage</t>
  </si>
  <si>
    <t>Storerooms &amp; Issue Rooms</t>
  </si>
  <si>
    <t>O &amp; F Operating Fluids</t>
  </si>
  <si>
    <t>O &amp; F Repair Parts</t>
  </si>
  <si>
    <t>Gun &amp; Ammunition Systems</t>
  </si>
  <si>
    <t>Missile &amp; Rocket Systems</t>
  </si>
  <si>
    <t>Torpedo Systems</t>
  </si>
  <si>
    <t>Smali Arms &amp; Pyrotechnics</t>
  </si>
  <si>
    <t>Aircraft Related Weapons</t>
  </si>
  <si>
    <t>Special Weapons Handling</t>
  </si>
  <si>
    <t>Armament Operating Fluids</t>
  </si>
  <si>
    <t>Armament Repair Parts</t>
  </si>
  <si>
    <t>110-140</t>
  </si>
  <si>
    <t>Item Description</t>
  </si>
  <si>
    <t>Similar Ships</t>
  </si>
  <si>
    <t>CPCApprox</t>
  </si>
  <si>
    <t>WMEC</t>
  </si>
  <si>
    <t>For Corv</t>
  </si>
  <si>
    <t>FFG7</t>
  </si>
  <si>
    <t>99CS</t>
  </si>
  <si>
    <t>DDG51</t>
  </si>
  <si>
    <t>DD-IF</t>
  </si>
  <si>
    <t>Conv1</t>
  </si>
  <si>
    <t>Conv2</t>
  </si>
  <si>
    <t>Conv3</t>
  </si>
  <si>
    <t>IPS1</t>
  </si>
  <si>
    <t>IPS2</t>
  </si>
  <si>
    <t>IPS3</t>
  </si>
  <si>
    <t>Tutorial</t>
  </si>
  <si>
    <t>CPCX</t>
  </si>
  <si>
    <t>HSC-St</t>
  </si>
  <si>
    <t>HSC-AL</t>
  </si>
  <si>
    <t>WMSM</t>
  </si>
  <si>
    <t>ASSET2</t>
  </si>
  <si>
    <t>WMSL</t>
  </si>
  <si>
    <t>Selected Inputs</t>
  </si>
  <si>
    <t>PGG511</t>
  </si>
  <si>
    <t>800-t Corvette</t>
  </si>
  <si>
    <t>SAAR V</t>
  </si>
  <si>
    <t>Steel Corv</t>
  </si>
  <si>
    <t>900-t Corvette</t>
  </si>
  <si>
    <t>Turkish Corvette</t>
  </si>
  <si>
    <t>1300-T OPV</t>
  </si>
  <si>
    <t>Polish Corvette</t>
  </si>
  <si>
    <t>Early Hellenic Corvette Est</t>
  </si>
  <si>
    <t>500-t Corvette</t>
  </si>
  <si>
    <t>PCG612</t>
  </si>
  <si>
    <t>Intl FF</t>
  </si>
  <si>
    <t>DDG79</t>
  </si>
  <si>
    <t>Hellenic Corv</t>
  </si>
  <si>
    <t>MCC</t>
  </si>
  <si>
    <t>Length on Waterline</t>
  </si>
  <si>
    <t>Length of 01 Level</t>
  </si>
  <si>
    <t>Length of 2nd Platform</t>
  </si>
  <si>
    <t>Beam (Design Waterline)</t>
  </si>
  <si>
    <t>Beam (at Main Deck)</t>
  </si>
  <si>
    <t>Depth (Averaged)</t>
  </si>
  <si>
    <t>Depth at Amidships (Station 10)</t>
  </si>
  <si>
    <t>Draft at Design Waterline</t>
  </si>
  <si>
    <t>LxBxD/100</t>
  </si>
  <si>
    <t>Lx(B+2*D)</t>
  </si>
  <si>
    <t>LxB</t>
  </si>
  <si>
    <t>LxD</t>
  </si>
  <si>
    <t>Length of Inner Bottom</t>
  </si>
  <si>
    <t xml:space="preserve"> </t>
  </si>
  <si>
    <t>Number of Transverse Bulkheads</t>
  </si>
  <si>
    <t xml:space="preserve">Factor for Tumblehome (2.8% Reduction) </t>
  </si>
  <si>
    <t>Angle of Tumblehome (in Degrees)</t>
  </si>
  <si>
    <t>Material Type - Hull</t>
  </si>
  <si>
    <t>St</t>
  </si>
  <si>
    <t>Material Type - Superstructure</t>
  </si>
  <si>
    <t>Al</t>
  </si>
  <si>
    <t>Hull Volume - Below WL</t>
  </si>
  <si>
    <t>Total Hull Volume</t>
  </si>
  <si>
    <t>Deckhouse Volume - Main Deck</t>
  </si>
  <si>
    <t>Deckhouse Volume - Level 01</t>
  </si>
  <si>
    <t>Deckhouse Volume - Level 02</t>
  </si>
  <si>
    <t>Deckhouse Volume - Level 03</t>
  </si>
  <si>
    <t>Total Superstructure Volume - Above 01</t>
  </si>
  <si>
    <t>Units</t>
  </si>
  <si>
    <t>(mt)</t>
  </si>
  <si>
    <t>GROUP 1 - STRUCTURE</t>
  </si>
  <si>
    <t>Corvette</t>
  </si>
  <si>
    <t>111 - Shell Plating</t>
  </si>
  <si>
    <t>113 - Innerbottom</t>
  </si>
  <si>
    <t>114 - Shell Appendages</t>
  </si>
  <si>
    <t>115 - Stanchions (Included in SWBS 116 on some ships)</t>
  </si>
  <si>
    <t>116 - Longitudinal Framing</t>
  </si>
  <si>
    <t>117 - Transverse Framing (Included in SWBS 116 on some ships)</t>
  </si>
  <si>
    <t>121 - Longitudinal Bulkheads</t>
  </si>
  <si>
    <t>122 - Transverse Bulkheads</t>
  </si>
  <si>
    <t>123 - Structural Trunks &amp; Enclosures</t>
  </si>
  <si>
    <t xml:space="preserve">131 - Main Deck </t>
  </si>
  <si>
    <t>132 - 2nd Deck</t>
  </si>
  <si>
    <t xml:space="preserve">136 - 01 Level Deck </t>
  </si>
  <si>
    <t>137 - 02 Hull Deck</t>
  </si>
  <si>
    <t>141- 1st Platform</t>
  </si>
  <si>
    <t>142- 2nd Platform</t>
  </si>
  <si>
    <t>143- 3rd Platform</t>
  </si>
  <si>
    <t>149- Misc Platforms &amp; Flats</t>
  </si>
  <si>
    <t>151 - Main Deck Deckhouse</t>
  </si>
  <si>
    <t xml:space="preserve">152 - 01 Deckhouse &amp; 01 Level </t>
  </si>
  <si>
    <t xml:space="preserve">153 - 02 Deckhouse &amp; 02 Level </t>
  </si>
  <si>
    <t xml:space="preserve">154 - 03 Deckhouse &amp;  03 Level </t>
  </si>
  <si>
    <t>155 - 04 Level (House Top)</t>
  </si>
  <si>
    <t>156 - 06 Level</t>
  </si>
  <si>
    <t>161 - Structural Castings &amp; Forgings</t>
  </si>
  <si>
    <t>162 - Stacks</t>
  </si>
  <si>
    <t>163 - Sea Chests</t>
  </si>
  <si>
    <t>164 - Armor</t>
  </si>
  <si>
    <t>165 - Sonar Dome</t>
  </si>
  <si>
    <t>167 - Hull Structural Closures (Includes SWBS 168)</t>
  </si>
  <si>
    <t>168 - Deckhouse Structural Closures</t>
  </si>
  <si>
    <t>169 - Special Purpose Closures</t>
  </si>
  <si>
    <t>171 - Masts, Towers, &amp; Tetrapods</t>
  </si>
  <si>
    <t>179 - Service Platforms</t>
  </si>
  <si>
    <t>182 - Propulsion Plant Foundations</t>
  </si>
  <si>
    <t>183 - Electric Plant Foundations</t>
  </si>
  <si>
    <t>184 - Command &amp; Survelliance  Foundations</t>
  </si>
  <si>
    <t>185 - Auxiliary Systems Foundations</t>
  </si>
  <si>
    <t>186 - Outfit &amp; Furnishings Foundations</t>
  </si>
  <si>
    <t>187 - Armament Foundations</t>
  </si>
  <si>
    <t>189 - Combat System Alignment</t>
  </si>
  <si>
    <t>191 - Fixed Ballast</t>
  </si>
  <si>
    <t>196/197 WELDING &amp; MILL TOLERANCE (2.5%)</t>
  </si>
  <si>
    <t>198 - Free Flooding Liquids</t>
  </si>
  <si>
    <t>Total Group 1 - Hull Structure</t>
  </si>
  <si>
    <t>METRIC</t>
  </si>
  <si>
    <t>420+430</t>
  </si>
  <si>
    <t>182/200</t>
  </si>
  <si>
    <t>Elec Pwr</t>
  </si>
  <si>
    <t>Prop Pwr</t>
  </si>
  <si>
    <t>Comp</t>
  </si>
  <si>
    <t>Comp*LBD/100</t>
  </si>
  <si>
    <t>Epwr*LBD/100</t>
  </si>
  <si>
    <t>Name</t>
  </si>
  <si>
    <t>Class</t>
  </si>
  <si>
    <t>Natl</t>
  </si>
  <si>
    <t>ID</t>
  </si>
  <si>
    <t>Status</t>
  </si>
  <si>
    <t>Year</t>
  </si>
  <si>
    <t>Lwl</t>
  </si>
  <si>
    <t>Lref</t>
  </si>
  <si>
    <t>Bwl</t>
  </si>
  <si>
    <t>Bmax</t>
  </si>
  <si>
    <t>Bref</t>
  </si>
  <si>
    <t>Dm</t>
  </si>
  <si>
    <t>T</t>
  </si>
  <si>
    <t>Fbd</t>
  </si>
  <si>
    <t>Disp</t>
  </si>
  <si>
    <t>Cb</t>
  </si>
  <si>
    <t>Cp</t>
  </si>
  <si>
    <t>Cx</t>
  </si>
  <si>
    <t>Cwp</t>
  </si>
  <si>
    <t>Ci</t>
  </si>
  <si>
    <t>B/T</t>
  </si>
  <si>
    <t>L/T</t>
  </si>
  <si>
    <t>Fbd/L</t>
  </si>
  <si>
    <t>Disp/(0.01L)^3</t>
  </si>
  <si>
    <t>L(B+D)</t>
  </si>
  <si>
    <t>L(B+2D)</t>
  </si>
  <si>
    <t>VT</t>
  </si>
  <si>
    <t>VH</t>
  </si>
  <si>
    <t>VSS</t>
  </si>
  <si>
    <t># Shfts</t>
  </si>
  <si>
    <t>P/Shft</t>
  </si>
  <si>
    <t>Power</t>
  </si>
  <si>
    <t>Sqr(Power)</t>
  </si>
  <si>
    <t>Vk</t>
  </si>
  <si>
    <t>Vcr</t>
  </si>
  <si>
    <t>Plant Type</t>
  </si>
  <si>
    <t>G Pwr</t>
  </si>
  <si>
    <t>Accom*(LBD)</t>
  </si>
  <si>
    <t>LS</t>
  </si>
  <si>
    <t>Mar</t>
  </si>
  <si>
    <t>LS+Mar</t>
  </si>
  <si>
    <t>Ballast</t>
  </si>
  <si>
    <t>Loads</t>
  </si>
  <si>
    <t>FL</t>
  </si>
  <si>
    <t>SLR</t>
  </si>
  <si>
    <t>Fn</t>
  </si>
  <si>
    <t>%w100</t>
  </si>
  <si>
    <t>%w200</t>
  </si>
  <si>
    <t>%w300</t>
  </si>
  <si>
    <t>%w400</t>
  </si>
  <si>
    <t>%w500</t>
  </si>
  <si>
    <t>%w600</t>
  </si>
  <si>
    <t>%w700</t>
  </si>
  <si>
    <t>%wMar</t>
  </si>
  <si>
    <t>v100</t>
  </si>
  <si>
    <t>v200</t>
  </si>
  <si>
    <t>v300</t>
  </si>
  <si>
    <t>v400</t>
  </si>
  <si>
    <t>v500</t>
  </si>
  <si>
    <t>v600</t>
  </si>
  <si>
    <t>v700</t>
  </si>
  <si>
    <t>vMar</t>
  </si>
  <si>
    <t>vLS</t>
  </si>
  <si>
    <t>vLds</t>
  </si>
  <si>
    <t>vFL</t>
  </si>
  <si>
    <t>%v100</t>
  </si>
  <si>
    <t>%v200</t>
  </si>
  <si>
    <t>%v300</t>
  </si>
  <si>
    <t>%v400</t>
  </si>
  <si>
    <t>%v500</t>
  </si>
  <si>
    <t>%v600</t>
  </si>
  <si>
    <t>%v700</t>
  </si>
  <si>
    <t>%vMar</t>
  </si>
  <si>
    <t>%vLS</t>
  </si>
  <si>
    <t>%vLds</t>
  </si>
  <si>
    <t>%vFL</t>
  </si>
  <si>
    <t>Acq Cost</t>
  </si>
  <si>
    <t>Tot V</t>
  </si>
  <si>
    <t>Vhull</t>
  </si>
  <si>
    <t>CPIC(X)</t>
  </si>
  <si>
    <t>USN</t>
  </si>
  <si>
    <t>D76CPICX</t>
  </si>
  <si>
    <t>Built</t>
  </si>
  <si>
    <t>CODOG</t>
  </si>
  <si>
    <t>PG92/93</t>
  </si>
  <si>
    <t>G78PG92-93</t>
  </si>
  <si>
    <t>FPGG1</t>
  </si>
  <si>
    <t>For</t>
  </si>
  <si>
    <t>G73FPGG1</t>
  </si>
  <si>
    <t>Feas Des</t>
  </si>
  <si>
    <t>Diesel</t>
  </si>
  <si>
    <t>Tarantul</t>
  </si>
  <si>
    <t>USSR</t>
  </si>
  <si>
    <t>A93Tarantul</t>
  </si>
  <si>
    <t>Est</t>
  </si>
  <si>
    <t>COGAG</t>
  </si>
  <si>
    <t>PG100</t>
  </si>
  <si>
    <t>G78PG100</t>
  </si>
  <si>
    <t>FPGG2</t>
  </si>
  <si>
    <t>G73FPGG2</t>
  </si>
  <si>
    <t>PGG Opt</t>
  </si>
  <si>
    <t>G78PGGOpt</t>
  </si>
  <si>
    <t>G500t</t>
  </si>
  <si>
    <t>Des</t>
  </si>
  <si>
    <t>PCG</t>
  </si>
  <si>
    <t>G73PCG</t>
  </si>
  <si>
    <t>A93PGG511</t>
  </si>
  <si>
    <t>FPGG3</t>
  </si>
  <si>
    <t>G73FPGG3</t>
  </si>
  <si>
    <t>FPGG3a</t>
  </si>
  <si>
    <t>G73FPGG3a</t>
  </si>
  <si>
    <t>FPGG4</t>
  </si>
  <si>
    <t>G73FPGG4</t>
  </si>
  <si>
    <t>Sa'ar 4.5</t>
  </si>
  <si>
    <t>Isreal</t>
  </si>
  <si>
    <t>A93Saar4.5</t>
  </si>
  <si>
    <t>Island</t>
  </si>
  <si>
    <t>RN</t>
  </si>
  <si>
    <t>MT85ISL</t>
  </si>
  <si>
    <t>2 x D</t>
  </si>
  <si>
    <t>Peacock</t>
  </si>
  <si>
    <t>MT85PCK</t>
  </si>
  <si>
    <t>1 x D</t>
  </si>
  <si>
    <t>P957</t>
  </si>
  <si>
    <t>In</t>
  </si>
  <si>
    <t>MT85P957</t>
  </si>
  <si>
    <t>Castle</t>
  </si>
  <si>
    <t>MT85CSL</t>
  </si>
  <si>
    <t>Bear</t>
  </si>
  <si>
    <t>WMEC270</t>
  </si>
  <si>
    <t>USCG</t>
  </si>
  <si>
    <t>ASSTWMEC</t>
  </si>
  <si>
    <t>ASSET Wt Est</t>
  </si>
  <si>
    <t>A86AWMEC</t>
  </si>
  <si>
    <t>Nordkapp</t>
  </si>
  <si>
    <t>No</t>
  </si>
  <si>
    <t>MT85NKP</t>
  </si>
  <si>
    <t>FRC</t>
  </si>
  <si>
    <t>PBA</t>
  </si>
  <si>
    <t>APB</t>
  </si>
  <si>
    <t>PBB</t>
  </si>
  <si>
    <t>LC</t>
  </si>
  <si>
    <t>PBC</t>
  </si>
  <si>
    <t>G1300t</t>
  </si>
  <si>
    <t>Heritage</t>
  </si>
  <si>
    <t>WPB120</t>
  </si>
  <si>
    <t>QWR4/91</t>
  </si>
  <si>
    <t>WMSMFeb05</t>
  </si>
  <si>
    <t>CODAD</t>
  </si>
  <si>
    <t>M80</t>
  </si>
  <si>
    <t>Sweden</t>
  </si>
  <si>
    <t>A92M80</t>
  </si>
  <si>
    <t>Lerici</t>
  </si>
  <si>
    <t>Italy</t>
  </si>
  <si>
    <t>A92Lerici</t>
  </si>
  <si>
    <t>Tripartite</t>
  </si>
  <si>
    <t>Eur</t>
  </si>
  <si>
    <t>A92Tripartite</t>
  </si>
  <si>
    <t>SRMH</t>
  </si>
  <si>
    <t>A92SRMH</t>
  </si>
  <si>
    <t>M343</t>
  </si>
  <si>
    <t>Ger</t>
  </si>
  <si>
    <t>A92M343</t>
  </si>
  <si>
    <t>MHC51</t>
  </si>
  <si>
    <t>A92MHC51</t>
  </si>
  <si>
    <t>Hunt</t>
  </si>
  <si>
    <t>A92Hunt</t>
  </si>
  <si>
    <t>MCM1</t>
  </si>
  <si>
    <t>A92MCM1</t>
  </si>
  <si>
    <t>G800t</t>
  </si>
  <si>
    <t>G900t</t>
  </si>
  <si>
    <t>FPV</t>
  </si>
  <si>
    <t>G72FPV</t>
  </si>
  <si>
    <t>Conc Des</t>
  </si>
  <si>
    <t>GPCorv</t>
  </si>
  <si>
    <t>GHCorv(old)</t>
  </si>
  <si>
    <t>GTrkCorv</t>
  </si>
  <si>
    <t>GSaarV</t>
  </si>
  <si>
    <t>GStCorv</t>
  </si>
  <si>
    <t>Type14</t>
  </si>
  <si>
    <t>MT885T14</t>
  </si>
  <si>
    <t>550psi/850F S</t>
  </si>
  <si>
    <t>Claud Jones</t>
  </si>
  <si>
    <t>FF1033</t>
  </si>
  <si>
    <t>Composite</t>
  </si>
  <si>
    <t>FF21</t>
  </si>
  <si>
    <t>US</t>
  </si>
  <si>
    <t>A94FF21</t>
  </si>
  <si>
    <t>SWAM-X</t>
  </si>
  <si>
    <t>D76SWAMX</t>
  </si>
  <si>
    <t>PHFMex</t>
  </si>
  <si>
    <t>O82PHFMex</t>
  </si>
  <si>
    <t>GT</t>
  </si>
  <si>
    <t>FAC (Near Shore)</t>
  </si>
  <si>
    <t>A96FACNS</t>
  </si>
  <si>
    <t>INDEPENDENT VARIABLES</t>
  </si>
  <si>
    <t>CGN 38</t>
  </si>
  <si>
    <t>CGN 36</t>
  </si>
  <si>
    <t>CGN 35</t>
  </si>
  <si>
    <t>CG 26</t>
  </si>
  <si>
    <t>CG 16</t>
  </si>
  <si>
    <t>DDG 35</t>
  </si>
  <si>
    <t>FF1065</t>
  </si>
  <si>
    <t>FF 1040</t>
  </si>
  <si>
    <t>FF 1037</t>
  </si>
  <si>
    <t>CG 47</t>
  </si>
  <si>
    <t>DDG 51</t>
  </si>
  <si>
    <t>DDG 994</t>
  </si>
  <si>
    <t>FFG 7</t>
  </si>
  <si>
    <t>Length Between Perpendiculars, ft</t>
  </si>
  <si>
    <t>Beam, ft</t>
  </si>
  <si>
    <t>Mean Depth, ft</t>
  </si>
  <si>
    <t>Design Draft, ft</t>
  </si>
  <si>
    <t>Prismatic Coeffident</t>
  </si>
  <si>
    <t>Midships Coeffident</t>
  </si>
  <si>
    <t>Waterplane Coeffident</t>
  </si>
  <si>
    <t>Accommodations</t>
  </si>
  <si>
    <t>Officers</t>
  </si>
  <si>
    <t>CPO</t>
  </si>
  <si>
    <t>Crew</t>
  </si>
  <si>
    <t>Deckhouse Area, sg ft</t>
  </si>
  <si>
    <t>Number of Hull Decks</t>
  </si>
  <si>
    <t>Number of Deckhouse Decks</t>
  </si>
  <si>
    <t>Cubic Number (LBD/100)</t>
  </si>
  <si>
    <t>Accom* LBD</t>
  </si>
  <si>
    <t>Shaft Horsepower per Shaft</t>
  </si>
  <si>
    <t>Number of Shafts</t>
  </si>
  <si>
    <t>Tot SHP</t>
  </si>
  <si>
    <t>Propulsion Prime Mover</t>
  </si>
  <si>
    <t>Steam</t>
  </si>
  <si>
    <t>Gas Turb</t>
  </si>
  <si>
    <t>Machinery Box Volume, cu ft</t>
  </si>
  <si>
    <t>Total Volume</t>
  </si>
  <si>
    <t>Hull</t>
  </si>
  <si>
    <t>SS</t>
  </si>
  <si>
    <t>Ship Serv
Number</t>
  </si>
  <si>
    <t>Gener Output (KW/gen)</t>
  </si>
  <si>
    <t>of Ship Service Generators</t>
  </si>
  <si>
    <t>Ship Serv Generator Prime Mover</t>
  </si>
  <si>
    <t>A/C Plant Capacity, tons</t>
  </si>
  <si>
    <t>Weight of A/C Machinery, pounds</t>
  </si>
  <si>
    <t>Boiler Steam Flow (lb/hr/boiler)</t>
  </si>
  <si>
    <t>Conf</t>
  </si>
  <si>
    <t>Number of Boilers</t>
  </si>
  <si>
    <t>Propul Gas Turb Outp (HP/turbine)</t>
  </si>
  <si>
    <t>Number of Gas Turbines</t>
  </si>
  <si>
    <t>Number of Rudders</t>
  </si>
  <si>
    <t>Anchor Weight, total, pounds</t>
  </si>
  <si>
    <t>LIGHTSHIP WEIGHT SUMMARY</t>
  </si>
  <si>
    <t>Structure</t>
  </si>
  <si>
    <t>Propulsion</t>
  </si>
  <si>
    <t>Electrical</t>
  </si>
  <si>
    <t>Command &amp; Surveillance</t>
  </si>
  <si>
    <t xml:space="preserve">Auxiliary </t>
  </si>
  <si>
    <t>Outfit and Furnishings</t>
  </si>
  <si>
    <t>Armament</t>
  </si>
  <si>
    <t>TOTAL</t>
  </si>
  <si>
    <t>STRUCTURE WEIGHT</t>
  </si>
  <si>
    <t>Innerbottom</t>
  </si>
  <si>
    <t>Appendages</t>
  </si>
  <si>
    <t>Longitudinal Framing</t>
  </si>
  <si>
    <t>Transverse Framing</t>
  </si>
  <si>
    <t>BHD</t>
  </si>
  <si>
    <t>Bulkheads (121+122)</t>
  </si>
  <si>
    <t>Longitudinal Bulkheads</t>
  </si>
  <si>
    <t>Transverse Bulkheads</t>
  </si>
  <si>
    <t>Trunks &amp; Endosures</t>
  </si>
  <si>
    <t>SPE</t>
  </si>
  <si>
    <t>Innerbottom + Hull Decks</t>
  </si>
  <si>
    <t>(SWBS 113 + 131 thru 149)</t>
  </si>
  <si>
    <t>Superstructure</t>
  </si>
  <si>
    <t>Castings</t>
  </si>
  <si>
    <t>Stack</t>
  </si>
  <si>
    <t>Seachests</t>
  </si>
  <si>
    <t>Sonar Dome</t>
  </si>
  <si>
    <t>Hull Closures</t>
  </si>
  <si>
    <t>Superstructure Closures</t>
  </si>
  <si>
    <t>Masts, Towers</t>
  </si>
  <si>
    <t>Propulslon Foundations</t>
  </si>
  <si>
    <t>FDN</t>
  </si>
  <si>
    <t>Foundations, Non-propulsion</t>
  </si>
  <si>
    <t>(SWBS 183 thru 187)</t>
  </si>
  <si>
    <t>Electric Foundations</t>
  </si>
  <si>
    <t>C&amp;C Foundations</t>
  </si>
  <si>
    <t>Auxiliary Foundations</t>
  </si>
  <si>
    <t>0 &amp; F Foundations</t>
  </si>
  <si>
    <t>Ballast/Buoyancy Material</t>
  </si>
  <si>
    <t>MTW</t>
  </si>
  <si>
    <t>Mill Tolerance &amp; Welding</t>
  </si>
  <si>
    <t>Free-Flooding Liquids</t>
  </si>
  <si>
    <t>GROUP 1</t>
  </si>
  <si>
    <t>PROPULSION WEIGHT</t>
  </si>
  <si>
    <t>Nudear Reactor and Plant</t>
  </si>
  <si>
    <t>GROUP 2</t>
  </si>
  <si>
    <t>ELECTRICAL WEIGHT</t>
  </si>
  <si>
    <t>CO 16</t>
  </si>
  <si>
    <t>Lightingribution</t>
  </si>
  <si>
    <t>GROUP 3</t>
  </si>
  <si>
    <t>COMMAND &amp; CONTROL WEIGHT</t>
  </si>
  <si>
    <t>GROUP 4</t>
  </si>
  <si>
    <t>AUXILIARY WEIGHT</t>
  </si>
  <si>
    <t>GROUP 5</t>
  </si>
  <si>
    <t>OUTFIT &amp; FURNISHINGS WEIGHT</t>
  </si>
  <si>
    <t>Radiation Shielding</t>
  </si>
  <si>
    <r>
      <rPr>
        <sz val="8"/>
        <rFont val="Calibri"/>
        <charset val="134"/>
        <scheme val="minor"/>
      </rPr>
      <t xml:space="preserve">Laundry Space </t>
    </r>
    <r>
      <rPr>
        <i/>
        <sz val="8"/>
        <rFont val="Calibri"/>
        <charset val="134"/>
        <scheme val="minor"/>
      </rPr>
      <t>Equipment</t>
    </r>
  </si>
  <si>
    <r>
      <rPr>
        <i/>
        <sz val="8"/>
        <rFont val="Calibri"/>
        <charset val="134"/>
        <scheme val="minor"/>
      </rPr>
      <t xml:space="preserve">Machy </t>
    </r>
    <r>
      <rPr>
        <sz val="8"/>
        <rFont val="Calibri"/>
        <charset val="134"/>
        <scheme val="minor"/>
      </rPr>
      <t>Control Cen Furnish</t>
    </r>
  </si>
  <si>
    <t>0 &amp; F Operating Fluids</t>
  </si>
  <si>
    <t>0 &amp; F Repair Parts</t>
  </si>
  <si>
    <t>GROUP 6</t>
  </si>
  <si>
    <t>ARMAMENT WEIGHT</t>
  </si>
  <si>
    <t>Gun Systems</t>
  </si>
  <si>
    <t>Missile Systems</t>
  </si>
  <si>
    <t>Aircraft Weapons</t>
  </si>
  <si>
    <t>GROUP 7</t>
  </si>
  <si>
    <t>LOAD FACTORS</t>
  </si>
  <si>
    <t>Crew and Effects, Officers</t>
  </si>
  <si>
    <t>lb/man</t>
  </si>
  <si>
    <t>Crew and Effects, CPOs</t>
  </si>
  <si>
    <t>Crew and Effects, Enlisted</t>
  </si>
  <si>
    <t>Dry Provisions</t>
  </si>
  <si>
    <t>lb/man/day; use 45 days unless otherwise specified</t>
  </si>
  <si>
    <t>Chili Provisions</t>
  </si>
  <si>
    <t>Freeze Provisions</t>
  </si>
  <si>
    <t>Medical Stores</t>
  </si>
  <si>
    <t>Clothing and Small Stores</t>
  </si>
  <si>
    <t>gal/man</t>
  </si>
  <si>
    <t>Ship Serv Number</t>
  </si>
  <si>
    <t>410-430</t>
  </si>
  <si>
    <t>410-440</t>
  </si>
  <si>
    <t>400+700</t>
  </si>
  <si>
    <t>CG</t>
  </si>
  <si>
    <t>DD</t>
  </si>
  <si>
    <t>FF</t>
  </si>
  <si>
    <t>Comm Year</t>
  </si>
  <si>
    <t>Lx(B+D)</t>
  </si>
  <si>
    <t>w100-190</t>
  </si>
  <si>
    <t>Group</t>
  </si>
  <si>
    <t>DATABASE  VESSELS</t>
  </si>
  <si>
    <t>Draft</t>
  </si>
  <si>
    <t>Cubic</t>
  </si>
  <si>
    <t>LOA</t>
  </si>
  <si>
    <t>BOA</t>
  </si>
  <si>
    <t>BWL</t>
  </si>
  <si>
    <t>Av Depth</t>
  </si>
  <si>
    <t>Generator kW</t>
  </si>
  <si>
    <t>(kW)(LOA)(BOA)</t>
  </si>
  <si>
    <t>(kW)(CN)</t>
  </si>
  <si>
    <t>(kW)(LOA)</t>
  </si>
  <si>
    <t>Crew Size</t>
  </si>
  <si>
    <t>Full Load Wgt</t>
  </si>
  <si>
    <t>Lightship Wgt</t>
  </si>
  <si>
    <t>Lightship VCG</t>
  </si>
  <si>
    <t>Light VCG / Depth</t>
  </si>
  <si>
    <t>100 Wgt</t>
  </si>
  <si>
    <t>100 VCG</t>
  </si>
  <si>
    <t>150 Wgt</t>
  </si>
  <si>
    <t>150 VCG</t>
  </si>
  <si>
    <t>150 VCG / Depth</t>
  </si>
  <si>
    <t>100-150 Wgt</t>
  </si>
  <si>
    <t>100-150 VCG</t>
  </si>
  <si>
    <t>100-150 Wgt / Light</t>
  </si>
  <si>
    <t>100-150 VCG / Depth</t>
  </si>
  <si>
    <t>200 Wgt</t>
  </si>
  <si>
    <t>200 VCG</t>
  </si>
  <si>
    <t>200 VCG / Depth</t>
  </si>
  <si>
    <t>230 Wgt</t>
  </si>
  <si>
    <t>230 VCG</t>
  </si>
  <si>
    <t>230 VCG / Depth</t>
  </si>
  <si>
    <t>240 Wgt</t>
  </si>
  <si>
    <t>240 VCG</t>
  </si>
  <si>
    <t>240 VCG / Depth</t>
  </si>
  <si>
    <t>200-230-240 Wgt</t>
  </si>
  <si>
    <t>200-230-240 Vcg</t>
  </si>
  <si>
    <t>300 Wgt</t>
  </si>
  <si>
    <t>300 VCG</t>
  </si>
  <si>
    <t>300 VCG / Depth</t>
  </si>
  <si>
    <t>310 Wgt</t>
  </si>
  <si>
    <t>310 VCG</t>
  </si>
  <si>
    <t>310 VCG / Depth</t>
  </si>
  <si>
    <t>300-310 Wgt</t>
  </si>
  <si>
    <t>300-310 VCG</t>
  </si>
  <si>
    <t>300-310 VCG / Depth</t>
  </si>
  <si>
    <t>320 Wgt</t>
  </si>
  <si>
    <t>300-310-320 Wgt</t>
  </si>
  <si>
    <t>400 Wgt</t>
  </si>
  <si>
    <t>400 VCG</t>
  </si>
  <si>
    <t>400 VCG / Depth</t>
  </si>
  <si>
    <t>500 Wgt</t>
  </si>
  <si>
    <t>500 VCG</t>
  </si>
  <si>
    <t>500 Wgt / Lightship</t>
  </si>
  <si>
    <t>500 VCG / Depth</t>
  </si>
  <si>
    <t>600 Wgt</t>
  </si>
  <si>
    <t>600 VCG</t>
  </si>
  <si>
    <t>600 Wgt / Lightship</t>
  </si>
  <si>
    <t>600 VCG / Depth</t>
  </si>
  <si>
    <t>700 Wgt</t>
  </si>
  <si>
    <t>700 VCG</t>
  </si>
  <si>
    <t>700 Wgt / Lightship</t>
  </si>
  <si>
    <t>700 VCG / Depth</t>
  </si>
  <si>
    <t>Vol T</t>
  </si>
  <si>
    <t>Vol SS</t>
  </si>
  <si>
    <t>Vol H</t>
  </si>
  <si>
    <t>Below 600LT</t>
  </si>
  <si>
    <t>Type</t>
  </si>
  <si>
    <t># in Class</t>
  </si>
  <si>
    <t>Country</t>
  </si>
  <si>
    <t>Commisioned</t>
  </si>
  <si>
    <t>Designator</t>
  </si>
  <si>
    <t>L</t>
  </si>
  <si>
    <t>LBP</t>
  </si>
  <si>
    <t>TWL</t>
  </si>
  <si>
    <t>Complement</t>
  </si>
  <si>
    <t>bhp</t>
  </si>
  <si>
    <t>shp</t>
  </si>
  <si>
    <t>Pe</t>
  </si>
  <si>
    <t>Vmax</t>
  </si>
  <si>
    <t>Range</t>
  </si>
  <si>
    <t>FnV</t>
  </si>
  <si>
    <t>FnV2</t>
  </si>
  <si>
    <t>Fn2</t>
  </si>
  <si>
    <t>Cdl</t>
  </si>
  <si>
    <t>Disp X Vm/Pwr</t>
  </si>
  <si>
    <t>Cruise Range</t>
  </si>
  <si>
    <t>@ Vcr</t>
  </si>
  <si>
    <t>Sprint Range</t>
  </si>
  <si>
    <t>@ Vspr</t>
  </si>
  <si>
    <t>Power Plant</t>
  </si>
  <si>
    <t># Screws</t>
  </si>
  <si>
    <t>Ac</t>
  </si>
  <si>
    <t>Mf</t>
  </si>
  <si>
    <t>Built By</t>
  </si>
  <si>
    <t>Source</t>
  </si>
  <si>
    <t>[mt]</t>
  </si>
  <si>
    <t>[LT]</t>
  </si>
  <si>
    <t>[ft]</t>
  </si>
  <si>
    <t>[m]</t>
  </si>
  <si>
    <t>[hp]</t>
  </si>
  <si>
    <t>[kW]</t>
  </si>
  <si>
    <t>[kn]</t>
  </si>
  <si>
    <t>[nm]</t>
  </si>
  <si>
    <t>Orkan</t>
  </si>
  <si>
    <t>East Germany</t>
  </si>
  <si>
    <t>Diesels</t>
  </si>
  <si>
    <t>NGSS</t>
  </si>
  <si>
    <t>Stockholm</t>
  </si>
  <si>
    <t>Kralj</t>
  </si>
  <si>
    <t>Croatia</t>
  </si>
  <si>
    <t>Goteborg</t>
  </si>
  <si>
    <t>WJ</t>
  </si>
  <si>
    <t xml:space="preserve">Pauk </t>
  </si>
  <si>
    <t xml:space="preserve">Russia </t>
  </si>
  <si>
    <t xml:space="preserve">n/a  </t>
  </si>
  <si>
    <t>AMI/NGSS</t>
  </si>
  <si>
    <t>Russia</t>
  </si>
  <si>
    <t>Djebel Chinoise</t>
  </si>
  <si>
    <t>Algeria</t>
  </si>
  <si>
    <t>Victory</t>
  </si>
  <si>
    <t>Germany</t>
  </si>
  <si>
    <t>FAC</t>
  </si>
  <si>
    <t xml:space="preserve">Isla </t>
  </si>
  <si>
    <t xml:space="preserve">Mexico </t>
  </si>
  <si>
    <t xml:space="preserve">Equitable  </t>
  </si>
  <si>
    <t>AMI</t>
  </si>
  <si>
    <t>Super Dvora (a)</t>
  </si>
  <si>
    <t>Eritrea</t>
  </si>
  <si>
    <t xml:space="preserve">Israel Aircraft Ind </t>
  </si>
  <si>
    <t>Hegu</t>
  </si>
  <si>
    <t>Egypt/Bangladesh</t>
  </si>
  <si>
    <t>Houku</t>
  </si>
  <si>
    <t>China</t>
  </si>
  <si>
    <t>October</t>
  </si>
  <si>
    <t>Egypt</t>
  </si>
  <si>
    <t>Swift 105 (a)</t>
  </si>
  <si>
    <t>Honduras/Eritrea</t>
  </si>
  <si>
    <t xml:space="preserve">Swiftships   </t>
  </si>
  <si>
    <t>Al Hussein</t>
  </si>
  <si>
    <t>Jordan</t>
  </si>
  <si>
    <t xml:space="preserve">Vosper   </t>
  </si>
  <si>
    <t>Shanghai II (d)</t>
  </si>
  <si>
    <t xml:space="preserve">n/a   </t>
  </si>
  <si>
    <t>Shanghai II (a)</t>
  </si>
  <si>
    <t>Albania/Tanzania</t>
  </si>
  <si>
    <t>Shanghai II (c )</t>
  </si>
  <si>
    <t>Bangledesh</t>
  </si>
  <si>
    <t>Shanghai II (b)</t>
  </si>
  <si>
    <t>Sri Lanka</t>
  </si>
  <si>
    <t xml:space="preserve">Qinxin Shipyrd </t>
  </si>
  <si>
    <t>Mirna</t>
  </si>
  <si>
    <t xml:space="preserve">Kraljevica  </t>
  </si>
  <si>
    <t>Sea Dolphin (b)</t>
  </si>
  <si>
    <t>Sea Dolphin (a)</t>
  </si>
  <si>
    <t>S. Korea</t>
  </si>
  <si>
    <t xml:space="preserve">Korea SEC  </t>
  </si>
  <si>
    <t xml:space="preserve">Ranarisi </t>
  </si>
  <si>
    <t xml:space="preserve">Guijiang Shipyrd </t>
  </si>
  <si>
    <t xml:space="preserve">Hauk </t>
  </si>
  <si>
    <t xml:space="preserve">Norway </t>
  </si>
  <si>
    <t>Bergens M V</t>
  </si>
  <si>
    <t>Patra (c )</t>
  </si>
  <si>
    <t>Gabon</t>
  </si>
  <si>
    <t>PTM</t>
  </si>
  <si>
    <t>Chantiers Naval de l'Esterel</t>
  </si>
  <si>
    <t>AMI/ELC</t>
  </si>
  <si>
    <t xml:space="preserve">Constitucion </t>
  </si>
  <si>
    <t>Venezuela</t>
  </si>
  <si>
    <t xml:space="preserve">Vosper </t>
  </si>
  <si>
    <t>Shershen</t>
  </si>
  <si>
    <t>Kaman (a)</t>
  </si>
  <si>
    <t>Iran</t>
  </si>
  <si>
    <t>PGGF</t>
  </si>
  <si>
    <t>2000@15</t>
  </si>
  <si>
    <t>ELC</t>
  </si>
  <si>
    <t xml:space="preserve">Jalalat </t>
  </si>
  <si>
    <t xml:space="preserve">Pakistan </t>
  </si>
  <si>
    <t xml:space="preserve">PN Dockyard </t>
  </si>
  <si>
    <t xml:space="preserve">Hesperos </t>
  </si>
  <si>
    <t>Greece</t>
  </si>
  <si>
    <t xml:space="preserve">Lurssen   </t>
  </si>
  <si>
    <t>FAC(Torp)</t>
  </si>
  <si>
    <t>Jaguar</t>
  </si>
  <si>
    <t>PTF</t>
  </si>
  <si>
    <t>500@40, 1000@32</t>
  </si>
  <si>
    <t xml:space="preserve">Kartal </t>
  </si>
  <si>
    <t>Turkey</t>
  </si>
  <si>
    <t xml:space="preserve">Lurssen </t>
  </si>
  <si>
    <t>Huangfen</t>
  </si>
  <si>
    <t xml:space="preserve">Huangfen </t>
  </si>
  <si>
    <t xml:space="preserve">China/Pakistan </t>
  </si>
  <si>
    <t>PTGF</t>
  </si>
  <si>
    <t xml:space="preserve">FAC </t>
  </si>
  <si>
    <t xml:space="preserve">Thondor </t>
  </si>
  <si>
    <t xml:space="preserve">Zhanjiang   </t>
  </si>
  <si>
    <t>Waspada</t>
  </si>
  <si>
    <t>Brunei</t>
  </si>
  <si>
    <t xml:space="preserve">Vosper  </t>
  </si>
  <si>
    <t>OSA II (a)</t>
  </si>
  <si>
    <t xml:space="preserve">Puck </t>
  </si>
  <si>
    <t xml:space="preserve">Poland </t>
  </si>
  <si>
    <t xml:space="preserve">Leningrad  </t>
  </si>
  <si>
    <t xml:space="preserve">Lushun </t>
  </si>
  <si>
    <t xml:space="preserve">Lushun Dockyrd </t>
  </si>
  <si>
    <t xml:space="preserve">Naluca </t>
  </si>
  <si>
    <t xml:space="preserve">Romania </t>
  </si>
  <si>
    <t xml:space="preserve">Mangalia Shipyrd </t>
  </si>
  <si>
    <t>Asheville (b)</t>
  </si>
  <si>
    <t>PGM</t>
  </si>
  <si>
    <t xml:space="preserve">Handalan </t>
  </si>
  <si>
    <t>Malaysia</t>
  </si>
  <si>
    <t>PTFG</t>
  </si>
  <si>
    <t xml:space="preserve">Karlskrona   </t>
  </si>
  <si>
    <t xml:space="preserve">Jerong </t>
  </si>
  <si>
    <t xml:space="preserve">Malaysia </t>
  </si>
  <si>
    <t>PB</t>
  </si>
  <si>
    <t xml:space="preserve">Lurssen  </t>
  </si>
  <si>
    <t>Asheville (a)</t>
  </si>
  <si>
    <t>Columbia</t>
  </si>
  <si>
    <t>Tacoma Boat Bldg</t>
  </si>
  <si>
    <t>Stenka (b)</t>
  </si>
  <si>
    <t>Russia/Cambodia</t>
  </si>
  <si>
    <t>PBF</t>
  </si>
  <si>
    <t>Sea Wolf</t>
  </si>
  <si>
    <t xml:space="preserve">Singapore </t>
  </si>
  <si>
    <t>PTGMFM</t>
  </si>
  <si>
    <t xml:space="preserve">Anninos </t>
  </si>
  <si>
    <t xml:space="preserve">CMN Cherbourg  </t>
  </si>
  <si>
    <t>Lurssen 45</t>
  </si>
  <si>
    <t>Ecuador</t>
  </si>
  <si>
    <t>TNC  45</t>
  </si>
  <si>
    <t>Kuwait</t>
  </si>
  <si>
    <t>Ahmed El Fateh</t>
  </si>
  <si>
    <t>Bahrain</t>
  </si>
  <si>
    <t>Ban Yas</t>
  </si>
  <si>
    <t>UAE</t>
  </si>
  <si>
    <t>Koncar</t>
  </si>
  <si>
    <t xml:space="preserve">Tito SY </t>
  </si>
  <si>
    <t>Mubarraz</t>
  </si>
  <si>
    <t>United Arab Emirates</t>
  </si>
  <si>
    <t>PGGFM</t>
  </si>
  <si>
    <t>500@38</t>
  </si>
  <si>
    <t xml:space="preserve">Murbarraz </t>
  </si>
  <si>
    <t xml:space="preserve">Perdana </t>
  </si>
  <si>
    <t>Riquelme</t>
  </si>
  <si>
    <t>Chile</t>
  </si>
  <si>
    <t xml:space="preserve">CMN Cherbourg </t>
  </si>
  <si>
    <t>Tiger (a)</t>
  </si>
  <si>
    <t>PGG</t>
  </si>
  <si>
    <t>570@30, 1600@15</t>
  </si>
  <si>
    <t>Tiger (b)</t>
  </si>
  <si>
    <t>Germany/Egypt</t>
  </si>
  <si>
    <t xml:space="preserve">Votsis </t>
  </si>
  <si>
    <t>Intrepida</t>
  </si>
  <si>
    <t>Argentina</t>
  </si>
  <si>
    <t>Pae Ku</t>
  </si>
  <si>
    <t xml:space="preserve">Korea Tacoma  </t>
  </si>
  <si>
    <t xml:space="preserve">Prabparapak </t>
  </si>
  <si>
    <t xml:space="preserve">Thailand </t>
  </si>
  <si>
    <t xml:space="preserve">Singapore SBEC </t>
  </si>
  <si>
    <t>Ghana</t>
  </si>
  <si>
    <t>PBO</t>
  </si>
  <si>
    <t xml:space="preserve">Dagger </t>
  </si>
  <si>
    <t>Indonesia</t>
  </si>
  <si>
    <t>Lung Chiang</t>
  </si>
  <si>
    <t xml:space="preserve">Taiwan </t>
  </si>
  <si>
    <t xml:space="preserve">Ratcharit </t>
  </si>
  <si>
    <t xml:space="preserve">CN Breda </t>
  </si>
  <si>
    <t>Kaman (b)</t>
  </si>
  <si>
    <t>Combattante II</t>
  </si>
  <si>
    <t>Libya</t>
  </si>
  <si>
    <t>Cormoran (b)</t>
  </si>
  <si>
    <t xml:space="preserve">Bazan  </t>
  </si>
  <si>
    <t xml:space="preserve">Svetlyak </t>
  </si>
  <si>
    <t>Lurssen 57</t>
  </si>
  <si>
    <t xml:space="preserve">Gepard </t>
  </si>
  <si>
    <t xml:space="preserve">AEG/Lurssen   </t>
  </si>
  <si>
    <t>Hainan (c )</t>
  </si>
  <si>
    <t>Lazaga (a)</t>
  </si>
  <si>
    <t xml:space="preserve">Dhofar </t>
  </si>
  <si>
    <t xml:space="preserve">Oman </t>
  </si>
  <si>
    <t>Combattante III (b)</t>
  </si>
  <si>
    <t xml:space="preserve">Qatar </t>
  </si>
  <si>
    <t>Combattante III (c )</t>
  </si>
  <si>
    <t xml:space="preserve">France/Tunisia </t>
  </si>
  <si>
    <t xml:space="preserve">Laskos </t>
  </si>
  <si>
    <t>PGGF/PGG</t>
  </si>
  <si>
    <t>Lazaga (b)</t>
  </si>
  <si>
    <t xml:space="preserve">Morocco </t>
  </si>
  <si>
    <t>Combattante III (a)</t>
  </si>
  <si>
    <t xml:space="preserve">Nigeria </t>
  </si>
  <si>
    <t xml:space="preserve">Nyayo </t>
  </si>
  <si>
    <t>Kenya</t>
  </si>
  <si>
    <t xml:space="preserve">Warrior </t>
  </si>
  <si>
    <t>S. Africa</t>
  </si>
  <si>
    <t xml:space="preserve">Sandock Austral </t>
  </si>
  <si>
    <t xml:space="preserve">Yildiz </t>
  </si>
  <si>
    <t xml:space="preserve">Turkey </t>
  </si>
  <si>
    <t xml:space="preserve">Taskizak Yard </t>
  </si>
  <si>
    <t xml:space="preserve">Dogan </t>
  </si>
  <si>
    <t>Taskizak Yard</t>
  </si>
  <si>
    <t>Casma</t>
  </si>
  <si>
    <t xml:space="preserve">Haifa Shipyard </t>
  </si>
  <si>
    <t>Chon Buri</t>
  </si>
  <si>
    <t>Haiqing</t>
  </si>
  <si>
    <t>China/Sri Lanka</t>
  </si>
  <si>
    <t xml:space="preserve">Quixin Shipyard </t>
  </si>
  <si>
    <t>Houxin</t>
  </si>
  <si>
    <t>China/Burma</t>
  </si>
  <si>
    <t xml:space="preserve">Quixin, Huangpu </t>
  </si>
  <si>
    <t xml:space="preserve">Hetz </t>
  </si>
  <si>
    <t>Israel</t>
  </si>
  <si>
    <t xml:space="preserve">Israel Shipyards  </t>
  </si>
  <si>
    <t xml:space="preserve">Aliya </t>
  </si>
  <si>
    <t xml:space="preserve">Kilic </t>
  </si>
  <si>
    <t>Super Vita</t>
  </si>
  <si>
    <t xml:space="preserve">Eleusis   </t>
  </si>
  <si>
    <t>FAC/Patrol Boat</t>
  </si>
  <si>
    <t xml:space="preserve">Kaparen </t>
  </si>
  <si>
    <t>Sweden/Norway</t>
  </si>
  <si>
    <t>Al Riffa</t>
  </si>
  <si>
    <t>Bahrain/Germany</t>
  </si>
  <si>
    <t>OSA I</t>
  </si>
  <si>
    <t xml:space="preserve">Russia/Romania </t>
  </si>
  <si>
    <t xml:space="preserve">Norrkoping </t>
  </si>
  <si>
    <t xml:space="preserve">Sweden </t>
  </si>
  <si>
    <t xml:space="preserve">Karlskronavarvet  </t>
  </si>
  <si>
    <t>OSA II (b) Type 205</t>
  </si>
  <si>
    <t>Russia/Algeria/Cuba/Eritrea/Libya/Vietnam/Syria/Bulgaria</t>
  </si>
  <si>
    <t>AMI/NGSS/ELC</t>
  </si>
  <si>
    <t xml:space="preserve">Rauma </t>
  </si>
  <si>
    <t>Finland</t>
  </si>
  <si>
    <t>PTGM</t>
  </si>
  <si>
    <t xml:space="preserve">Hollming/Finnyards   </t>
  </si>
  <si>
    <t>Hamina</t>
  </si>
  <si>
    <t>90SII WJ</t>
  </si>
  <si>
    <t xml:space="preserve">Aker Finnyards  </t>
  </si>
  <si>
    <t xml:space="preserve">Helsinki </t>
  </si>
  <si>
    <t xml:space="preserve">Wartsila   </t>
  </si>
  <si>
    <t>Ramadan</t>
  </si>
  <si>
    <t>UK/Egypt</t>
  </si>
  <si>
    <t>Hainan (a)</t>
  </si>
  <si>
    <t xml:space="preserve">Albatros </t>
  </si>
  <si>
    <t>Saar 4</t>
  </si>
  <si>
    <t>Isreal/Sri Lanka</t>
  </si>
  <si>
    <t xml:space="preserve">Israel Shipyards </t>
  </si>
  <si>
    <t>Houjian/Huang</t>
  </si>
  <si>
    <t xml:space="preserve">Huangpu Shipyrd </t>
  </si>
  <si>
    <t xml:space="preserve">Velarde </t>
  </si>
  <si>
    <t xml:space="preserve">France/Peru </t>
  </si>
  <si>
    <t xml:space="preserve">SFCN  </t>
  </si>
  <si>
    <t>Patrol Boat</t>
  </si>
  <si>
    <t>Lilian Ngoyi (Damen 4708)</t>
  </si>
  <si>
    <t>Netherlands/S Africa</t>
  </si>
  <si>
    <t>CPP</t>
  </si>
  <si>
    <t>Damen</t>
  </si>
  <si>
    <t>Internet</t>
  </si>
  <si>
    <t>Bay Class</t>
  </si>
  <si>
    <t>Australia/Yemen</t>
  </si>
  <si>
    <t>FP</t>
  </si>
  <si>
    <t>Austal</t>
  </si>
  <si>
    <t>Damen 4207</t>
  </si>
  <si>
    <t>Netherlands</t>
  </si>
  <si>
    <t>2 VPP</t>
  </si>
  <si>
    <t>Project 1400M</t>
  </si>
  <si>
    <t>Georgia</t>
  </si>
  <si>
    <t>Zhuk</t>
  </si>
  <si>
    <t>Ukraine</t>
  </si>
  <si>
    <t>Rodman 101</t>
  </si>
  <si>
    <t>Cameroon</t>
  </si>
  <si>
    <t>Ital Thai Marine</t>
  </si>
  <si>
    <t>Thailand</t>
  </si>
  <si>
    <t>Sewart</t>
  </si>
  <si>
    <t>Guatemala</t>
  </si>
  <si>
    <t>Patrol</t>
  </si>
  <si>
    <t>Benin</t>
  </si>
  <si>
    <t>Project 360</t>
  </si>
  <si>
    <t>Super Dvora (b)</t>
  </si>
  <si>
    <t>Slovenia</t>
  </si>
  <si>
    <t>Bellatrix</t>
  </si>
  <si>
    <t>DominicanRep.</t>
  </si>
  <si>
    <t>Super Dvora (c )</t>
  </si>
  <si>
    <t>India</t>
  </si>
  <si>
    <t>Point (a)</t>
  </si>
  <si>
    <t>Trinidad&amp;Tobago</t>
  </si>
  <si>
    <t>Point (b)</t>
  </si>
  <si>
    <t>Jamaica/Argentina/Costa Rica/Dominican Rep</t>
  </si>
  <si>
    <t>Point (c )</t>
  </si>
  <si>
    <t>Stanflex GRP Hull</t>
  </si>
  <si>
    <t>Denmark</t>
  </si>
  <si>
    <t>KW15</t>
  </si>
  <si>
    <t>Vosper 25</t>
  </si>
  <si>
    <t>Oman</t>
  </si>
  <si>
    <t>Murakumo</t>
  </si>
  <si>
    <t>Japan</t>
  </si>
  <si>
    <t>Damen MkI</t>
  </si>
  <si>
    <t>HongKong</t>
  </si>
  <si>
    <t>Dilos (b)</t>
  </si>
  <si>
    <t>Georgia/Greece</t>
  </si>
  <si>
    <t>Wasp</t>
  </si>
  <si>
    <t>Broadsword</t>
  </si>
  <si>
    <t>Protector (a)</t>
  </si>
  <si>
    <t>USA</t>
  </si>
  <si>
    <t>Rihtniemi</t>
  </si>
  <si>
    <t>Estonia</t>
  </si>
  <si>
    <t>Dilos (a)</t>
  </si>
  <si>
    <t>Cyprus</t>
  </si>
  <si>
    <t>PB90Class</t>
  </si>
  <si>
    <t>Burma</t>
  </si>
  <si>
    <t>Hero</t>
  </si>
  <si>
    <t>Jamaica</t>
  </si>
  <si>
    <t>Stanflex Steel Hull</t>
  </si>
  <si>
    <t>Swift 110 (a)</t>
  </si>
  <si>
    <t>Argos</t>
  </si>
  <si>
    <t>Portugal</t>
  </si>
  <si>
    <t>Guardian (a)</t>
  </si>
  <si>
    <t>Honduras</t>
  </si>
  <si>
    <t>Damen MkIII</t>
  </si>
  <si>
    <t>KAAN 29</t>
  </si>
  <si>
    <t>Koskelo</t>
  </si>
  <si>
    <t>31mPatrolCraft</t>
  </si>
  <si>
    <t>CoastalPatrol</t>
  </si>
  <si>
    <t>Vosper</t>
  </si>
  <si>
    <t xml:space="preserve">Panama </t>
  </si>
  <si>
    <t>Cape Class (a)</t>
  </si>
  <si>
    <t>Micronesia/Costa Rica</t>
  </si>
  <si>
    <t>Cape Class (b)</t>
  </si>
  <si>
    <t>Mexico</t>
  </si>
  <si>
    <t>Patra (a)</t>
  </si>
  <si>
    <t>Swift 110 (b)</t>
  </si>
  <si>
    <t>Camcraft</t>
  </si>
  <si>
    <t>ElSalvador</t>
  </si>
  <si>
    <t>Lynch</t>
  </si>
  <si>
    <t>Swift 93</t>
  </si>
  <si>
    <t>Al Shaheed</t>
  </si>
  <si>
    <t>Piratini</t>
  </si>
  <si>
    <t>Brazil</t>
  </si>
  <si>
    <t>Timsah</t>
  </si>
  <si>
    <t>Ardhana</t>
  </si>
  <si>
    <t>Nisr</t>
  </si>
  <si>
    <t>Protector (b)</t>
  </si>
  <si>
    <t>Bahamas</t>
  </si>
  <si>
    <t>Akagi</t>
  </si>
  <si>
    <t>River</t>
  </si>
  <si>
    <t>Bangladesh</t>
  </si>
  <si>
    <t>Swift 105 (b)</t>
  </si>
  <si>
    <t>Takatsuki</t>
  </si>
  <si>
    <t>Town</t>
  </si>
  <si>
    <t>Pakistan</t>
  </si>
  <si>
    <t>Subahi</t>
  </si>
  <si>
    <t>300@28</t>
  </si>
  <si>
    <t>Vapper</t>
  </si>
  <si>
    <t>Manta</t>
  </si>
  <si>
    <t>Haizhui</t>
  </si>
  <si>
    <t>Tunisia</t>
  </si>
  <si>
    <t>Protector (c )</t>
  </si>
  <si>
    <t>Fort</t>
  </si>
  <si>
    <t>PGM 71 (a)</t>
  </si>
  <si>
    <t>PGM 71 (b)</t>
  </si>
  <si>
    <t>Viima</t>
  </si>
  <si>
    <t>Storm (a)</t>
  </si>
  <si>
    <t>Norway/Latvia</t>
  </si>
  <si>
    <t>Storm (b)</t>
  </si>
  <si>
    <t>Lithuania</t>
  </si>
  <si>
    <t>Toledo</t>
  </si>
  <si>
    <t>NingHai</t>
  </si>
  <si>
    <t>Taiwan</t>
  </si>
  <si>
    <t>Barcelo</t>
  </si>
  <si>
    <t>Spain</t>
  </si>
  <si>
    <t>Sibarau</t>
  </si>
  <si>
    <t>Patra (b)</t>
  </si>
  <si>
    <t>Mauritania</t>
  </si>
  <si>
    <t xml:space="preserve">Patrol Boat </t>
  </si>
  <si>
    <t>Azteca</t>
  </si>
  <si>
    <t>UK/Mexico</t>
  </si>
  <si>
    <t>Inttisar</t>
  </si>
  <si>
    <t>Y300 (Barso)</t>
  </si>
  <si>
    <t>Kebir (a)</t>
  </si>
  <si>
    <t>Barbados</t>
  </si>
  <si>
    <t>Pacific (a)</t>
  </si>
  <si>
    <t>Cook Islands/Fiji/Tonga</t>
  </si>
  <si>
    <t>Pacific (b)</t>
  </si>
  <si>
    <t>Marshall Isl/Micronesia/ Papua N Guinea/Soloman Isl.</t>
  </si>
  <si>
    <t>Pacific (c )</t>
  </si>
  <si>
    <t>Tuvalu/Vanatu</t>
  </si>
  <si>
    <t>Island (a)</t>
  </si>
  <si>
    <t>WPB</t>
  </si>
  <si>
    <t>Protector (d)</t>
  </si>
  <si>
    <t>SO1</t>
  </si>
  <si>
    <t>N.Korea/Vietnam</t>
  </si>
  <si>
    <t>Turk</t>
  </si>
  <si>
    <t>Azerbaijan/Kazakhstan/Turkey/Georgia</t>
  </si>
  <si>
    <t>Island (b)</t>
  </si>
  <si>
    <t>Large PC</t>
  </si>
  <si>
    <t>Larkana</t>
  </si>
  <si>
    <t>Protector (e)</t>
  </si>
  <si>
    <t>SAR 33</t>
  </si>
  <si>
    <t>Jija Bai Mod I</t>
  </si>
  <si>
    <t>WPBO</t>
  </si>
  <si>
    <t>2375@14</t>
  </si>
  <si>
    <t>Espada</t>
  </si>
  <si>
    <t>Golok</t>
  </si>
  <si>
    <t>Vigilante</t>
  </si>
  <si>
    <t>Uruguay</t>
  </si>
  <si>
    <t>Karnaphuli</t>
  </si>
  <si>
    <t>Mihashi</t>
  </si>
  <si>
    <t>PS/PBOF</t>
  </si>
  <si>
    <t>Tara Bai</t>
  </si>
  <si>
    <t>2400@12</t>
  </si>
  <si>
    <t>ChaoTha</t>
  </si>
  <si>
    <t>Kebir (b)</t>
  </si>
  <si>
    <t>UK/Algeria</t>
  </si>
  <si>
    <t xml:space="preserve">Brooke Marine </t>
  </si>
  <si>
    <t>SDB Mk2 RAJ</t>
  </si>
  <si>
    <t>Al Jouf</t>
  </si>
  <si>
    <t>SaudiArabia</t>
  </si>
  <si>
    <t>WPBF</t>
  </si>
  <si>
    <t>CG40</t>
  </si>
  <si>
    <t>SAR 35</t>
  </si>
  <si>
    <t>SDB Mk3 T60</t>
  </si>
  <si>
    <t>Stenka (a)</t>
  </si>
  <si>
    <t>Neustadt</t>
  </si>
  <si>
    <t>450@27</t>
  </si>
  <si>
    <t>TNC 45 (Prabparapak)</t>
  </si>
  <si>
    <t>Aguinaldo</t>
  </si>
  <si>
    <t>Philippines</t>
  </si>
  <si>
    <t>1100@18</t>
  </si>
  <si>
    <t>Spica-M/Handalan</t>
  </si>
  <si>
    <t>Fremantle</t>
  </si>
  <si>
    <t>Australia</t>
  </si>
  <si>
    <t>La Combattante I</t>
  </si>
  <si>
    <t>France</t>
  </si>
  <si>
    <t>Bizerte (a)</t>
  </si>
  <si>
    <t>Bizerte (b)</t>
  </si>
  <si>
    <t>Um Almaradim</t>
  </si>
  <si>
    <t>PBM</t>
  </si>
  <si>
    <t>180@16</t>
  </si>
  <si>
    <t>Sarojini Naidu</t>
  </si>
  <si>
    <t>Trinkat</t>
  </si>
  <si>
    <t>2000@12</t>
  </si>
  <si>
    <t>Meghna/Grajau</t>
  </si>
  <si>
    <t>UK</t>
  </si>
  <si>
    <t>Grajau</t>
  </si>
  <si>
    <t>Armidale</t>
  </si>
  <si>
    <t>Sattahip</t>
  </si>
  <si>
    <t>PG</t>
  </si>
  <si>
    <t>Cacine</t>
  </si>
  <si>
    <t>Priyadarshini</t>
  </si>
  <si>
    <t>Anaga</t>
  </si>
  <si>
    <t>Jayasagara</t>
  </si>
  <si>
    <t>SriLanka</t>
  </si>
  <si>
    <t>Cyclone</t>
  </si>
  <si>
    <t>OPV 54</t>
  </si>
  <si>
    <t>BahamasOPV</t>
  </si>
  <si>
    <t>Durjoy</t>
  </si>
  <si>
    <t>Hainan (b)</t>
  </si>
  <si>
    <t>N.Korea</t>
  </si>
  <si>
    <t>Okba</t>
  </si>
  <si>
    <t>Morocco</t>
  </si>
  <si>
    <t>Barzan</t>
  </si>
  <si>
    <t>Vita</t>
  </si>
  <si>
    <t>Qatar</t>
  </si>
  <si>
    <t>Sterne</t>
  </si>
  <si>
    <t>4900@12, 1500@20</t>
  </si>
  <si>
    <t>Osprey</t>
  </si>
  <si>
    <t>Taechong I&amp;II</t>
  </si>
  <si>
    <t>Flamant OPV 54</t>
  </si>
  <si>
    <t>Province</t>
  </si>
  <si>
    <t>Telkka</t>
  </si>
  <si>
    <t>P400 (a)</t>
  </si>
  <si>
    <t>Grebe</t>
  </si>
  <si>
    <t>4500@12</t>
  </si>
  <si>
    <t>Kakap</t>
  </si>
  <si>
    <t>Cormoran (a)</t>
  </si>
  <si>
    <t>Hameln</t>
  </si>
  <si>
    <t>Lurssen FPB 57 (Ekpe)</t>
  </si>
  <si>
    <t>P400 (b)</t>
  </si>
  <si>
    <t>France/Gabon</t>
  </si>
  <si>
    <t>Singa</t>
  </si>
  <si>
    <t>Todak</t>
  </si>
  <si>
    <t>Centenario</t>
  </si>
  <si>
    <t>Stan</t>
  </si>
  <si>
    <t>Al Bushra</t>
  </si>
  <si>
    <t>France/Oman</t>
  </si>
  <si>
    <t>Flyvefisken</t>
  </si>
  <si>
    <t>CODAG</t>
  </si>
  <si>
    <t>2 CPP</t>
  </si>
  <si>
    <t>Shupavu</t>
  </si>
  <si>
    <t>Saar 4.5</t>
  </si>
  <si>
    <t>Haijiu</t>
  </si>
  <si>
    <t>Al Siddiq</t>
  </si>
  <si>
    <t>Fearless</t>
  </si>
  <si>
    <t>Singapore</t>
  </si>
  <si>
    <t>Silma</t>
  </si>
  <si>
    <t>Valpas</t>
  </si>
  <si>
    <t>Improved Valpas</t>
  </si>
  <si>
    <t>Hellenic 56</t>
  </si>
  <si>
    <t>Osprey 55</t>
  </si>
  <si>
    <t>RaisBargach</t>
  </si>
  <si>
    <t>Ships of Interest</t>
  </si>
  <si>
    <t>T/L</t>
  </si>
  <si>
    <t>ICGS</t>
  </si>
  <si>
    <t>FAC/Patrol Boat Forces</t>
  </si>
  <si>
    <t>Above 600 LT</t>
  </si>
  <si>
    <t>Visby</t>
  </si>
  <si>
    <t>Khamronsin</t>
  </si>
  <si>
    <t>Muray Jib</t>
  </si>
  <si>
    <t>Al Manama</t>
  </si>
  <si>
    <t>Nanuchka</t>
  </si>
  <si>
    <t>Assad</t>
  </si>
  <si>
    <t>Mk 9 Vosper Thornycroft Type</t>
  </si>
  <si>
    <t>Rattanakosin</t>
  </si>
  <si>
    <t>Badr</t>
  </si>
  <si>
    <t>Dong Hae</t>
  </si>
  <si>
    <t>S Korea</t>
  </si>
  <si>
    <t>Po Hang</t>
  </si>
  <si>
    <t>Saar 5</t>
  </si>
  <si>
    <t>Minerva</t>
  </si>
  <si>
    <t>CP</t>
  </si>
  <si>
    <t>Qahir</t>
  </si>
  <si>
    <t>K130</t>
  </si>
  <si>
    <t>Inhauma</t>
  </si>
  <si>
    <t>OPV</t>
  </si>
  <si>
    <t>Vosper Thornycroft</t>
  </si>
  <si>
    <t>Madhumati/Sea Dragon</t>
  </si>
  <si>
    <t>S Korea/Bangladesh</t>
  </si>
  <si>
    <t>Hua Hin</t>
  </si>
  <si>
    <t>CPP CL</t>
  </si>
  <si>
    <t>Jin Chiang</t>
  </si>
  <si>
    <t>Peacock/Jacinto</t>
  </si>
  <si>
    <t>Tursas</t>
  </si>
  <si>
    <t>WPSO</t>
  </si>
  <si>
    <t>Island OPV</t>
  </si>
  <si>
    <t>P21 OPV</t>
  </si>
  <si>
    <t>Ireland</t>
  </si>
  <si>
    <t>Improved Tursas</t>
  </si>
  <si>
    <t>Serviola</t>
  </si>
  <si>
    <t>Vikram</t>
  </si>
  <si>
    <t>Musytari</t>
  </si>
  <si>
    <t>S Korea/Malaysia</t>
  </si>
  <si>
    <t>Castle OPV</t>
  </si>
  <si>
    <t>Cassiopea</t>
  </si>
  <si>
    <t>Commandante</t>
  </si>
  <si>
    <t>Olivieri</t>
  </si>
  <si>
    <t>Guardian (b)</t>
  </si>
  <si>
    <t>Mauritius</t>
  </si>
  <si>
    <t>Roisin OPV</t>
  </si>
  <si>
    <t>Vosper River</t>
  </si>
  <si>
    <t>Eithne OPV</t>
  </si>
  <si>
    <t>Sukanya</t>
  </si>
  <si>
    <t>India/S Korea</t>
  </si>
  <si>
    <t>Alboran</t>
  </si>
  <si>
    <t>Samar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</si>
</sst>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0.000"/>
    <numFmt numFmtId="165" formatCode="0.0_)"/>
    <numFmt numFmtId="166" formatCode="0_)"/>
    <numFmt numFmtId="167" formatCode="0.00_ "/>
    <numFmt numFmtId="168" formatCode="0.0"/>
    <numFmt numFmtId="169" formatCode="000.0"/>
    <numFmt numFmtId="170" formatCode="0_ "/>
    <numFmt numFmtId="171" formatCode="0.000_ "/>
    <numFmt numFmtId="172" formatCode="00.0"/>
    <numFmt numFmtId="173" formatCode="0.00_)"/>
    <numFmt numFmtId="174" formatCode="0.0_ "/>
    <numFmt numFmtId="175" formatCode="0_);\(0\)"/>
    <numFmt numFmtId="176" formatCode="#,##0.0"/>
    <numFmt numFmtId="177" formatCode="_(* #,##0_);_(* \(#,##0\);_(* &quot;-&quot;??_);_(@_)"/>
  </numFmts>
  <fonts count="35">
    <font>
      <sz val="12"/>
      <name val="Times New Roman"/>
      <charset val="134"/>
    </font>
    <font>
      <sz val="10"/>
      <name val="Arial"/>
    </font>
    <font>
      <b/>
      <sz val="10"/>
      <name val="Arial"/>
    </font>
    <font>
      <sz val="10"/>
      <name val="Times New Roman"/>
      <charset val="134"/>
    </font>
    <font>
      <sz val="10"/>
      <color indexed="10"/>
      <name val="Times New Roman"/>
      <charset val="134"/>
    </font>
    <font>
      <b/>
      <sz val="10"/>
      <name val="Arial"/>
      <charset val="134"/>
    </font>
    <font>
      <b/>
      <sz val="10"/>
      <color rgb="FFFF0000"/>
      <name val="Arial"/>
      <charset val="134"/>
    </font>
    <font>
      <sz val="10"/>
      <name val="Arial"/>
      <charset val="134"/>
    </font>
    <font>
      <b/>
      <sz val="10"/>
      <color indexed="10"/>
      <name val="Arial"/>
      <charset val="134"/>
    </font>
    <font>
      <sz val="8"/>
      <name val="Calibri"/>
      <charset val="134"/>
      <scheme val="minor"/>
    </font>
    <font>
      <i/>
      <sz val="8"/>
      <name val="Calibri"/>
      <charset val="134"/>
      <scheme val="minor"/>
    </font>
    <font>
      <vertAlign val="superscript"/>
      <sz val="8"/>
      <name val="Calibri"/>
      <charset val="134"/>
      <scheme val="minor"/>
    </font>
    <font>
      <b/>
      <sz val="18"/>
      <color indexed="12"/>
      <name val="Arial"/>
      <charset val="134"/>
    </font>
    <font>
      <b/>
      <sz val="18"/>
      <name val="Arial"/>
      <charset val="134"/>
    </font>
    <font>
      <b/>
      <sz val="18"/>
      <color indexed="10"/>
      <name val="Arial"/>
      <charset val="134"/>
    </font>
    <font>
      <b/>
      <sz val="18"/>
      <color indexed="60"/>
      <name val="Arial"/>
      <charset val="134"/>
    </font>
    <font>
      <b/>
      <sz val="18"/>
      <color indexed="19"/>
      <name val="Arial"/>
      <charset val="134"/>
    </font>
    <font>
      <b/>
      <sz val="18"/>
      <color indexed="20"/>
      <name val="Arial"/>
      <charset val="134"/>
    </font>
    <font>
      <b/>
      <sz val="18"/>
      <color indexed="13"/>
      <name val="Arial"/>
      <charset val="134"/>
    </font>
    <font>
      <sz val="10"/>
      <color indexed="10"/>
      <name val="Arial"/>
      <charset val="134"/>
    </font>
    <font>
      <sz val="10"/>
      <color indexed="48"/>
      <name val="Arial"/>
      <charset val="134"/>
    </font>
    <font>
      <sz val="12"/>
      <name val="Calibri"/>
      <charset val="134"/>
      <scheme val="minor"/>
    </font>
    <font>
      <sz val="11"/>
      <color theme="1"/>
      <name val="Calibri"/>
      <charset val="134"/>
      <scheme val="minor"/>
    </font>
    <font>
      <sz val="11"/>
      <color theme="0" tint="-0.249977111117893"/>
      <name val="Calibri"/>
      <charset val="134"/>
      <scheme val="minor"/>
    </font>
    <font>
      <sz val="11"/>
      <color rgb="FFFF0000"/>
      <name val="Calibri"/>
      <charset val="134"/>
      <scheme val="minor"/>
    </font>
    <font>
      <sz val="11"/>
      <name val="Calibri"/>
      <charset val="134"/>
      <scheme val="minor"/>
    </font>
    <font>
      <sz val="12"/>
      <name val="Times New Roman"/>
      <charset val="134"/>
    </font>
    <font>
      <sz val="10"/>
      <name val="Arial"/>
      <family val="2"/>
    </font>
    <font>
      <b/>
      <sz val="10"/>
      <color indexed="81"/>
      <name val="Tahoma"/>
    </font>
    <font>
      <sz val="10"/>
      <color indexed="81"/>
      <name val="Tahoma"/>
    </font>
    <font>
      <b/>
      <sz val="8"/>
      <color indexed="81"/>
      <name val="Tahoma"/>
    </font>
    <font>
      <sz val="8"/>
      <color indexed="81"/>
      <name val="Tahoma"/>
    </font>
    <font>
      <b/>
      <sz val="10"/>
      <color indexed="81"/>
      <name val="Tahoma"/>
      <family val="2"/>
    </font>
    <font>
      <b/>
      <sz val="8"/>
      <color indexed="81"/>
      <name val="Tahoma"/>
      <charset val="1"/>
    </font>
    <font>
      <sz val="8"/>
      <color indexed="81"/>
      <name val="Tahoma"/>
      <charset val="1"/>
    </font>
  </fonts>
  <fills count="3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theme="0" tint="-0.249977111117893"/>
        <bgColor indexed="64"/>
      </patternFill>
    </fill>
    <fill>
      <patternFill patternType="solid">
        <fgColor rgb="FF92D050"/>
        <bgColor indexed="64"/>
      </patternFill>
    </fill>
    <fill>
      <patternFill patternType="solid">
        <fgColor indexed="45"/>
        <bgColor indexed="64"/>
      </patternFill>
    </fill>
    <fill>
      <patternFill patternType="solid">
        <fgColor indexed="47"/>
        <bgColor indexed="64"/>
      </patternFill>
    </fill>
    <fill>
      <patternFill patternType="solid">
        <fgColor rgb="FFFFFF00"/>
        <bgColor indexed="64"/>
      </patternFill>
    </fill>
    <fill>
      <patternFill patternType="solid">
        <fgColor rgb="FF00B050"/>
        <bgColor indexed="64"/>
      </patternFill>
    </fill>
    <fill>
      <patternFill patternType="solid">
        <fgColor rgb="FF7030A0"/>
        <bgColor indexed="64"/>
      </patternFill>
    </fill>
    <fill>
      <patternFill patternType="solid">
        <fgColor rgb="FFFFC000"/>
        <bgColor indexed="64"/>
      </patternFill>
    </fill>
    <fill>
      <patternFill patternType="solid">
        <fgColor indexed="52"/>
        <bgColor indexed="64"/>
      </patternFill>
    </fill>
    <fill>
      <patternFill patternType="solid">
        <fgColor indexed="11"/>
        <bgColor indexed="64"/>
      </patternFill>
    </fill>
    <fill>
      <patternFill patternType="solid">
        <fgColor theme="9"/>
        <bgColor indexed="64"/>
      </patternFill>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6"/>
        <bgColor indexed="64"/>
      </patternFill>
    </fill>
    <fill>
      <patternFill patternType="solid">
        <fgColor indexed="50"/>
        <bgColor indexed="64"/>
      </patternFill>
    </fill>
    <fill>
      <patternFill patternType="solid">
        <fgColor indexed="61"/>
        <bgColor indexed="64"/>
      </patternFill>
    </fill>
    <fill>
      <patternFill patternType="solid">
        <fgColor indexed="10"/>
        <bgColor indexed="64"/>
      </patternFill>
    </fill>
    <fill>
      <patternFill patternType="solid">
        <fgColor indexed="12"/>
        <bgColor indexed="64"/>
      </patternFill>
    </fill>
    <fill>
      <patternFill patternType="solid">
        <fgColor indexed="19"/>
        <bgColor indexed="64"/>
      </patternFill>
    </fill>
    <fill>
      <patternFill patternType="solid">
        <fgColor indexed="41"/>
        <bgColor indexed="64"/>
      </patternFill>
    </fill>
    <fill>
      <patternFill patternType="solid">
        <fgColor indexed="51"/>
        <bgColor indexed="64"/>
      </patternFill>
    </fill>
    <fill>
      <patternFill patternType="solid">
        <fgColor theme="9" tint="0.59999389629810485"/>
        <bgColor indexed="64"/>
      </patternFill>
    </fill>
    <fill>
      <patternFill patternType="solid">
        <fgColor theme="4" tint="0.79989013336588644"/>
        <bgColor indexed="64"/>
      </patternFill>
    </fill>
    <fill>
      <patternFill patternType="solid">
        <fgColor rgb="FFFFFF99"/>
        <bgColor indexed="64"/>
      </patternFill>
    </fill>
    <fill>
      <patternFill patternType="solid">
        <fgColor indexed="42"/>
        <bgColor indexed="64"/>
      </patternFill>
    </fill>
    <fill>
      <patternFill patternType="darkUp">
        <fgColor indexed="47"/>
        <bgColor indexed="42"/>
      </patternFill>
    </fill>
    <fill>
      <patternFill patternType="darkUp">
        <fgColor indexed="47"/>
        <bgColor indexed="43"/>
      </patternFill>
    </fill>
  </fills>
  <borders count="42">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bottom/>
      <diagonal/>
    </border>
    <border>
      <left style="medium">
        <color auto="1"/>
      </left>
      <right/>
      <top/>
      <bottom style="double">
        <color auto="1"/>
      </bottom>
      <diagonal/>
    </border>
    <border>
      <left/>
      <right/>
      <top/>
      <bottom style="double">
        <color auto="1"/>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right style="thin">
        <color auto="1"/>
      </right>
      <top/>
      <bottom style="double">
        <color auto="1"/>
      </bottom>
      <diagonal/>
    </border>
    <border>
      <left/>
      <right style="thin">
        <color auto="1"/>
      </right>
      <top/>
      <bottom style="medium">
        <color auto="1"/>
      </bottom>
      <diagonal/>
    </border>
    <border>
      <left/>
      <right style="medium">
        <color auto="1"/>
      </right>
      <top/>
      <bottom/>
      <diagonal/>
    </border>
    <border>
      <left/>
      <right style="medium">
        <color auto="1"/>
      </right>
      <top/>
      <bottom style="double">
        <color auto="1"/>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style="medium">
        <color auto="1"/>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7">
    <xf numFmtId="0" fontId="0" fillId="0" borderId="0"/>
    <xf numFmtId="9" fontId="26" fillId="0" borderId="0" applyFont="0" applyFill="0" applyBorder="0" applyAlignment="0" applyProtection="0"/>
    <xf numFmtId="0" fontId="7" fillId="0" borderId="0"/>
    <xf numFmtId="0" fontId="22" fillId="0" borderId="0"/>
    <xf numFmtId="9" fontId="7" fillId="0" borderId="0" applyFont="0" applyFill="0" applyBorder="0" applyAlignment="0" applyProtection="0"/>
    <xf numFmtId="0" fontId="1" fillId="0" borderId="0"/>
    <xf numFmtId="43" fontId="1" fillId="0" borderId="0" applyFont="0" applyFill="0" applyBorder="0" applyAlignment="0" applyProtection="0"/>
  </cellStyleXfs>
  <cellXfs count="645">
    <xf numFmtId="0" fontId="0" fillId="0" borderId="0" xfId="0"/>
    <xf numFmtId="0" fontId="1" fillId="0" borderId="0" xfId="0" applyFont="1" applyFill="1" applyBorder="1" applyAlignment="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1" fillId="2" borderId="1" xfId="0" applyFont="1" applyFill="1" applyBorder="1" applyAlignment="1">
      <alignment horizontal="left"/>
    </xf>
    <xf numFmtId="0" fontId="1" fillId="0" borderId="6" xfId="0" applyFont="1" applyFill="1" applyBorder="1" applyAlignment="1"/>
    <xf numFmtId="0" fontId="1" fillId="0" borderId="7" xfId="0" applyFont="1" applyFill="1" applyBorder="1" applyAlignment="1"/>
    <xf numFmtId="0" fontId="1" fillId="0" borderId="8" xfId="0" applyFont="1" applyFill="1" applyBorder="1" applyAlignment="1"/>
    <xf numFmtId="0" fontId="1" fillId="2" borderId="9" xfId="0" applyFont="1" applyFill="1" applyBorder="1" applyAlignment="1">
      <alignment horizontal="left"/>
    </xf>
    <xf numFmtId="168" fontId="1" fillId="3" borderId="10" xfId="0" applyNumberFormat="1" applyFont="1" applyFill="1" applyBorder="1" applyAlignment="1"/>
    <xf numFmtId="168" fontId="1" fillId="3" borderId="0" xfId="0" applyNumberFormat="1" applyFont="1" applyFill="1" applyBorder="1" applyAlignment="1"/>
    <xf numFmtId="168" fontId="1" fillId="3" borderId="11" xfId="0" applyNumberFormat="1" applyFont="1" applyFill="1" applyBorder="1" applyAlignment="1"/>
    <xf numFmtId="168" fontId="1" fillId="0" borderId="10" xfId="0" applyNumberFormat="1" applyFont="1" applyFill="1" applyBorder="1" applyAlignment="1"/>
    <xf numFmtId="168" fontId="1" fillId="0" borderId="0" xfId="0" applyNumberFormat="1" applyFont="1" applyFill="1" applyBorder="1" applyAlignment="1"/>
    <xf numFmtId="168" fontId="1" fillId="0" borderId="11" xfId="0" applyNumberFormat="1" applyFont="1" applyFill="1" applyBorder="1" applyAlignment="1"/>
    <xf numFmtId="0" fontId="1" fillId="0" borderId="10" xfId="0" applyFont="1" applyFill="1" applyBorder="1" applyAlignment="1"/>
    <xf numFmtId="0" fontId="1" fillId="0" borderId="11" xfId="0" applyFont="1" applyFill="1" applyBorder="1" applyAlignment="1"/>
    <xf numFmtId="2" fontId="1" fillId="3" borderId="10" xfId="0" applyNumberFormat="1" applyFont="1" applyFill="1" applyBorder="1" applyAlignment="1"/>
    <xf numFmtId="2" fontId="1" fillId="3" borderId="0" xfId="0" applyNumberFormat="1" applyFont="1" applyFill="1" applyBorder="1" applyAlignment="1"/>
    <xf numFmtId="2" fontId="1" fillId="3" borderId="11" xfId="0" applyNumberFormat="1" applyFont="1" applyFill="1" applyBorder="1" applyAlignment="1"/>
    <xf numFmtId="1" fontId="1" fillId="3" borderId="10" xfId="0" applyNumberFormat="1" applyFont="1" applyFill="1" applyBorder="1" applyAlignment="1"/>
    <xf numFmtId="1" fontId="1" fillId="3" borderId="0" xfId="0" applyNumberFormat="1" applyFont="1" applyFill="1" applyBorder="1" applyAlignment="1"/>
    <xf numFmtId="1" fontId="1" fillId="3" borderId="11" xfId="0" applyNumberFormat="1" applyFont="1" applyFill="1" applyBorder="1" applyAlignment="1"/>
    <xf numFmtId="0" fontId="1" fillId="3" borderId="10" xfId="0" applyFont="1" applyFill="1" applyBorder="1" applyAlignment="1"/>
    <xf numFmtId="0" fontId="1" fillId="3" borderId="0" xfId="0" applyFont="1" applyFill="1" applyBorder="1" applyAlignment="1"/>
    <xf numFmtId="0" fontId="1" fillId="3" borderId="11" xfId="0" applyFont="1" applyFill="1" applyBorder="1" applyAlignment="1"/>
    <xf numFmtId="167" fontId="1" fillId="0" borderId="0" xfId="0" applyNumberFormat="1" applyFont="1" applyFill="1" applyBorder="1" applyAlignment="1"/>
    <xf numFmtId="167" fontId="1" fillId="4" borderId="0" xfId="0" applyNumberFormat="1" applyFont="1" applyFill="1" applyBorder="1" applyAlignment="1"/>
    <xf numFmtId="174" fontId="1" fillId="0" borderId="0" xfId="0" applyNumberFormat="1" applyFont="1" applyFill="1" applyBorder="1" applyAlignment="1"/>
    <xf numFmtId="170" fontId="1" fillId="0" borderId="0" xfId="0" applyNumberFormat="1" applyFont="1" applyFill="1" applyBorder="1" applyAlignment="1"/>
    <xf numFmtId="0" fontId="1" fillId="2" borderId="5" xfId="0" applyFont="1" applyFill="1" applyBorder="1" applyAlignment="1">
      <alignment horizontal="left"/>
    </xf>
    <xf numFmtId="2" fontId="1" fillId="3" borderId="12" xfId="0" applyNumberFormat="1" applyFont="1" applyFill="1" applyBorder="1" applyAlignment="1"/>
    <xf numFmtId="2" fontId="1" fillId="3" borderId="13" xfId="0" applyNumberFormat="1" applyFont="1" applyFill="1" applyBorder="1" applyAlignment="1"/>
    <xf numFmtId="2" fontId="1" fillId="3" borderId="14" xfId="0" applyNumberFormat="1" applyFont="1" applyFill="1" applyBorder="1" applyAlignment="1"/>
    <xf numFmtId="0" fontId="1" fillId="0" borderId="9" xfId="0" applyFont="1" applyFill="1" applyBorder="1" applyAlignment="1">
      <alignment horizontal="left"/>
    </xf>
    <xf numFmtId="0" fontId="3" fillId="0" borderId="0" xfId="0" applyFont="1" applyBorder="1" applyAlignment="1">
      <alignment horizontal="center"/>
    </xf>
    <xf numFmtId="0" fontId="3" fillId="0" borderId="0" xfId="0" applyFont="1" applyFill="1" applyBorder="1" applyAlignment="1"/>
    <xf numFmtId="0" fontId="3" fillId="0" borderId="0" xfId="0" applyFont="1" applyFill="1" applyBorder="1" applyAlignment="1">
      <alignment horizontal="center"/>
    </xf>
    <xf numFmtId="0" fontId="3" fillId="2" borderId="0" xfId="0" applyFont="1" applyFill="1" applyBorder="1"/>
    <xf numFmtId="0" fontId="0" fillId="0" borderId="0" xfId="0" applyBorder="1"/>
    <xf numFmtId="0" fontId="3" fillId="0" borderId="0" xfId="0" applyFont="1" applyFill="1" applyAlignment="1"/>
    <xf numFmtId="0" fontId="3" fillId="0" borderId="0" xfId="0" applyFont="1" applyFill="1" applyBorder="1"/>
    <xf numFmtId="0" fontId="3" fillId="0" borderId="0" xfId="0" applyFont="1" applyBorder="1"/>
    <xf numFmtId="168" fontId="3" fillId="0" borderId="0" xfId="0" applyNumberFormat="1" applyFont="1" applyBorder="1"/>
    <xf numFmtId="2" fontId="3" fillId="0" borderId="0" xfId="0" applyNumberFormat="1" applyFont="1" applyBorder="1"/>
    <xf numFmtId="1" fontId="3" fillId="0" borderId="0" xfId="0" applyNumberFormat="1" applyFont="1" applyBorder="1"/>
    <xf numFmtId="0" fontId="3" fillId="0" borderId="13" xfId="0" applyFont="1" applyFill="1" applyBorder="1" applyAlignment="1">
      <alignment horizontal="center"/>
    </xf>
    <xf numFmtId="0" fontId="3" fillId="0" borderId="13" xfId="0" applyFont="1" applyBorder="1" applyAlignment="1">
      <alignment horizontal="center"/>
    </xf>
    <xf numFmtId="168" fontId="3" fillId="0" borderId="13" xfId="0" applyNumberFormat="1" applyFont="1" applyBorder="1" applyAlignment="1">
      <alignment horizontal="center"/>
    </xf>
    <xf numFmtId="0" fontId="3" fillId="5" borderId="0" xfId="0" applyFont="1" applyFill="1" applyBorder="1"/>
    <xf numFmtId="0" fontId="0" fillId="0" borderId="0" xfId="0" applyFill="1" applyBorder="1"/>
    <xf numFmtId="0" fontId="3" fillId="0" borderId="0" xfId="0" applyFont="1"/>
    <xf numFmtId="2" fontId="3" fillId="0" borderId="0" xfId="0" applyNumberFormat="1" applyFont="1" applyFill="1" applyBorder="1" applyAlignment="1"/>
    <xf numFmtId="0" fontId="3" fillId="0" borderId="0" xfId="0" applyFont="1" applyFill="1" applyBorder="1" applyAlignment="1">
      <alignment horizontal="left"/>
    </xf>
    <xf numFmtId="168" fontId="3" fillId="0" borderId="0" xfId="0" applyNumberFormat="1" applyFont="1" applyFill="1" applyBorder="1" applyAlignment="1"/>
    <xf numFmtId="0" fontId="4" fillId="0" borderId="0" xfId="0" applyFont="1" applyFill="1" applyBorder="1"/>
    <xf numFmtId="0" fontId="3" fillId="0" borderId="0" xfId="0" applyFont="1" applyFill="1"/>
    <xf numFmtId="2" fontId="4" fillId="0" borderId="0" xfId="0" applyNumberFormat="1" applyFont="1" applyFill="1" applyBorder="1" applyAlignment="1"/>
    <xf numFmtId="2" fontId="3" fillId="6" borderId="0" xfId="0" applyNumberFormat="1" applyFont="1" applyFill="1" applyBorder="1" applyAlignment="1"/>
    <xf numFmtId="2" fontId="3" fillId="0" borderId="0" xfId="0" applyNumberFormat="1" applyFont="1" applyFill="1" applyAlignment="1"/>
    <xf numFmtId="0" fontId="3" fillId="5" borderId="0" xfId="0" applyFont="1" applyFill="1" applyBorder="1" applyAlignment="1"/>
    <xf numFmtId="2" fontId="3" fillId="0" borderId="13" xfId="0" applyNumberFormat="1" applyFont="1" applyBorder="1" applyAlignment="1">
      <alignment horizontal="center"/>
    </xf>
    <xf numFmtId="2" fontId="3" fillId="5" borderId="0" xfId="0" applyNumberFormat="1" applyFont="1" applyFill="1" applyBorder="1"/>
    <xf numFmtId="2" fontId="4" fillId="0" borderId="0" xfId="0" applyNumberFormat="1" applyFont="1" applyBorder="1"/>
    <xf numFmtId="2" fontId="3" fillId="2" borderId="0" xfId="0" applyNumberFormat="1" applyFont="1" applyFill="1" applyBorder="1" applyAlignment="1"/>
    <xf numFmtId="168" fontId="3" fillId="0" borderId="0" xfId="0" applyNumberFormat="1" applyFont="1" applyFill="1" applyBorder="1"/>
    <xf numFmtId="168" fontId="3" fillId="0" borderId="0" xfId="0" applyNumberFormat="1" applyFont="1"/>
    <xf numFmtId="2" fontId="4" fillId="7" borderId="0" xfId="0" applyNumberFormat="1" applyFont="1" applyFill="1" applyBorder="1" applyAlignment="1"/>
    <xf numFmtId="2" fontId="3" fillId="5" borderId="0" xfId="0" applyNumberFormat="1" applyFont="1" applyFill="1" applyBorder="1" applyAlignment="1"/>
    <xf numFmtId="1" fontId="3" fillId="0" borderId="13" xfId="0" applyNumberFormat="1" applyFont="1" applyBorder="1" applyAlignment="1">
      <alignment horizontal="center"/>
    </xf>
    <xf numFmtId="164" fontId="3" fillId="0" borderId="0" xfId="0" applyNumberFormat="1" applyFont="1" applyBorder="1"/>
    <xf numFmtId="1" fontId="3" fillId="0" borderId="0" xfId="0" applyNumberFormat="1" applyFont="1" applyFill="1" applyBorder="1" applyAlignment="1">
      <alignment horizontal="right"/>
    </xf>
    <xf numFmtId="164" fontId="3" fillId="0" borderId="0" xfId="0" applyNumberFormat="1" applyFont="1" applyFill="1" applyBorder="1" applyAlignment="1"/>
    <xf numFmtId="1" fontId="3" fillId="0" borderId="0" xfId="0" applyNumberFormat="1" applyFont="1" applyFill="1" applyBorder="1" applyAlignment="1"/>
    <xf numFmtId="164" fontId="3" fillId="0" borderId="0" xfId="0" applyNumberFormat="1" applyFont="1" applyFill="1" applyAlignment="1"/>
    <xf numFmtId="1" fontId="3" fillId="0" borderId="0" xfId="0" applyNumberFormat="1" applyFont="1" applyFill="1" applyBorder="1"/>
    <xf numFmtId="164" fontId="3" fillId="0" borderId="0" xfId="0" applyNumberFormat="1" applyFont="1" applyFill="1" applyBorder="1"/>
    <xf numFmtId="164" fontId="3" fillId="0" borderId="0" xfId="0" applyNumberFormat="1" applyFont="1" applyFill="1"/>
    <xf numFmtId="164" fontId="3" fillId="0" borderId="0" xfId="0" applyNumberFormat="1" applyFont="1"/>
    <xf numFmtId="168" fontId="3" fillId="6" borderId="0" xfId="0" applyNumberFormat="1" applyFont="1" applyFill="1" applyBorder="1" applyAlignment="1"/>
    <xf numFmtId="168" fontId="3" fillId="6" borderId="0" xfId="0" applyNumberFormat="1" applyFont="1" applyFill="1" applyAlignment="1"/>
    <xf numFmtId="0" fontId="3" fillId="0" borderId="13" xfId="0" applyFont="1" applyBorder="1"/>
    <xf numFmtId="2" fontId="3" fillId="0" borderId="0" xfId="0" applyNumberFormat="1" applyFont="1" applyFill="1" applyBorder="1"/>
    <xf numFmtId="1" fontId="3" fillId="6" borderId="0" xfId="0" applyNumberFormat="1" applyFont="1" applyFill="1" applyBorder="1" applyAlignment="1"/>
    <xf numFmtId="1" fontId="3" fillId="6" borderId="0" xfId="0" applyNumberFormat="1" applyFont="1" applyFill="1" applyAlignment="1"/>
    <xf numFmtId="1" fontId="3" fillId="0" borderId="0" xfId="0" applyNumberFormat="1" applyFont="1" applyFill="1" applyAlignment="1"/>
    <xf numFmtId="1" fontId="3" fillId="8" borderId="0" xfId="0" applyNumberFormat="1" applyFont="1" applyFill="1" applyBorder="1"/>
    <xf numFmtId="170" fontId="3" fillId="0" borderId="0" xfId="0" applyNumberFormat="1" applyFont="1" applyBorder="1"/>
    <xf numFmtId="1" fontId="3" fillId="5" borderId="0" xfId="0" applyNumberFormat="1" applyFont="1" applyFill="1" applyBorder="1"/>
    <xf numFmtId="1" fontId="3" fillId="9" borderId="0" xfId="0" applyNumberFormat="1" applyFont="1" applyFill="1" applyBorder="1" applyAlignment="1"/>
    <xf numFmtId="1" fontId="3" fillId="10" borderId="0" xfId="0" applyNumberFormat="1" applyFont="1" applyFill="1" applyBorder="1"/>
    <xf numFmtId="1" fontId="3" fillId="5" borderId="0" xfId="0" applyNumberFormat="1" applyFont="1" applyFill="1" applyBorder="1" applyAlignment="1"/>
    <xf numFmtId="1" fontId="3" fillId="11" borderId="0" xfId="0" applyNumberFormat="1" applyFont="1" applyFill="1" applyBorder="1" applyAlignment="1"/>
    <xf numFmtId="1" fontId="3" fillId="7" borderId="0" xfId="0" applyNumberFormat="1" applyFont="1" applyFill="1" applyBorder="1" applyAlignment="1"/>
    <xf numFmtId="0" fontId="3" fillId="6" borderId="0" xfId="0" applyFont="1" applyFill="1" applyBorder="1" applyAlignment="1"/>
    <xf numFmtId="174" fontId="3" fillId="0" borderId="0" xfId="0" applyNumberFormat="1" applyFont="1" applyFill="1" applyBorder="1"/>
    <xf numFmtId="1" fontId="3" fillId="8" borderId="0" xfId="0" applyNumberFormat="1" applyFont="1" applyFill="1" applyBorder="1" applyAlignment="1"/>
    <xf numFmtId="0" fontId="3" fillId="6" borderId="0" xfId="0" applyFont="1" applyFill="1" applyAlignment="1"/>
    <xf numFmtId="2" fontId="3" fillId="0" borderId="0" xfId="0" applyNumberFormat="1" applyFont="1"/>
    <xf numFmtId="168" fontId="3" fillId="0" borderId="0" xfId="0" applyNumberFormat="1" applyFont="1" applyFill="1" applyAlignment="1"/>
    <xf numFmtId="1" fontId="3" fillId="0" borderId="0" xfId="0" applyNumberFormat="1" applyFont="1" applyFill="1" applyBorder="1" applyAlignment="1">
      <alignment horizontal="center"/>
    </xf>
    <xf numFmtId="0" fontId="3" fillId="2" borderId="0" xfId="0" applyFont="1" applyFill="1"/>
    <xf numFmtId="0" fontId="5" fillId="0" borderId="15" xfId="2" applyFont="1" applyBorder="1" applyAlignment="1">
      <alignment horizontal="center"/>
    </xf>
    <xf numFmtId="0" fontId="6" fillId="0" borderId="0" xfId="2" applyFont="1" applyAlignment="1">
      <alignment horizontal="center"/>
    </xf>
    <xf numFmtId="0" fontId="5" fillId="0" borderId="0" xfId="2" applyFont="1" applyAlignment="1">
      <alignment horizontal="center"/>
    </xf>
    <xf numFmtId="2" fontId="5" fillId="7" borderId="0" xfId="2" applyNumberFormat="1" applyFont="1" applyFill="1" applyAlignment="1">
      <alignment horizontal="center"/>
    </xf>
    <xf numFmtId="166" fontId="5" fillId="0" borderId="0" xfId="2" applyNumberFormat="1" applyFont="1" applyAlignment="1">
      <alignment horizontal="center"/>
    </xf>
    <xf numFmtId="2" fontId="5" fillId="0" borderId="0" xfId="2" applyNumberFormat="1" applyFont="1" applyAlignment="1">
      <alignment horizontal="center"/>
    </xf>
    <xf numFmtId="2" fontId="5" fillId="2" borderId="0" xfId="2" applyNumberFormat="1" applyFont="1" applyFill="1" applyAlignment="1">
      <alignment horizontal="center"/>
    </xf>
    <xf numFmtId="173" fontId="5" fillId="0" borderId="0" xfId="2" applyNumberFormat="1" applyFont="1" applyAlignment="1">
      <alignment horizontal="center"/>
    </xf>
    <xf numFmtId="0" fontId="5" fillId="7" borderId="0" xfId="2" applyFont="1" applyFill="1" applyAlignment="1">
      <alignment horizontal="center"/>
    </xf>
    <xf numFmtId="2" fontId="5" fillId="0" borderId="0" xfId="2" applyNumberFormat="1" applyFont="1" applyFill="1" applyAlignment="1">
      <alignment horizontal="center"/>
    </xf>
    <xf numFmtId="1" fontId="5" fillId="0" borderId="0" xfId="2" applyNumberFormat="1" applyFont="1" applyFill="1" applyAlignment="1">
      <alignment horizontal="center"/>
    </xf>
    <xf numFmtId="1" fontId="5" fillId="0" borderId="0" xfId="2" applyNumberFormat="1" applyFont="1" applyAlignment="1">
      <alignment horizontal="center"/>
    </xf>
    <xf numFmtId="0" fontId="5" fillId="0" borderId="15" xfId="2" applyFont="1" applyBorder="1"/>
    <xf numFmtId="0" fontId="5" fillId="0" borderId="15" xfId="2" applyFont="1" applyBorder="1" applyAlignment="1">
      <alignment horizontal="left"/>
    </xf>
    <xf numFmtId="173" fontId="7" fillId="0" borderId="0" xfId="2" applyNumberFormat="1"/>
    <xf numFmtId="2" fontId="7" fillId="0" borderId="0" xfId="2" applyNumberFormat="1"/>
    <xf numFmtId="0" fontId="7" fillId="0" borderId="0" xfId="2"/>
    <xf numFmtId="0" fontId="5" fillId="0" borderId="16" xfId="2" applyFont="1" applyBorder="1" applyAlignment="1">
      <alignment horizontal="left"/>
    </xf>
    <xf numFmtId="173" fontId="7" fillId="0" borderId="17" xfId="2" applyNumberFormat="1" applyBorder="1"/>
    <xf numFmtId="173" fontId="5" fillId="0" borderId="0" xfId="2" applyNumberFormat="1" applyFont="1"/>
    <xf numFmtId="0" fontId="7" fillId="0" borderId="18" xfId="2" applyBorder="1"/>
    <xf numFmtId="0" fontId="7" fillId="0" borderId="19" xfId="2" applyBorder="1"/>
    <xf numFmtId="0" fontId="7" fillId="0" borderId="20" xfId="2" applyBorder="1"/>
    <xf numFmtId="0" fontId="7" fillId="0" borderId="21" xfId="2" applyBorder="1"/>
    <xf numFmtId="0" fontId="6" fillId="0" borderId="22" xfId="2" applyFont="1" applyBorder="1" applyAlignment="1">
      <alignment horizontal="center"/>
    </xf>
    <xf numFmtId="166" fontId="5" fillId="0" borderId="11" xfId="2" applyNumberFormat="1" applyFont="1" applyBorder="1" applyAlignment="1">
      <alignment horizontal="center"/>
    </xf>
    <xf numFmtId="173" fontId="5" fillId="2" borderId="0" xfId="2" applyNumberFormat="1" applyFont="1" applyFill="1" applyAlignment="1">
      <alignment horizontal="center"/>
    </xf>
    <xf numFmtId="173" fontId="5" fillId="0" borderId="11" xfId="2" applyNumberFormat="1" applyFont="1" applyBorder="1" applyAlignment="1">
      <alignment horizontal="center"/>
    </xf>
    <xf numFmtId="2" fontId="5" fillId="0" borderId="11" xfId="2" applyNumberFormat="1" applyFont="1" applyBorder="1" applyAlignment="1">
      <alignment horizontal="center"/>
    </xf>
    <xf numFmtId="0" fontId="5" fillId="0" borderId="11" xfId="2" applyFont="1" applyBorder="1" applyAlignment="1">
      <alignment horizontal="center"/>
    </xf>
    <xf numFmtId="173" fontId="7" fillId="0" borderId="11" xfId="2" applyNumberFormat="1" applyBorder="1"/>
    <xf numFmtId="173" fontId="7" fillId="12" borderId="11" xfId="2" applyNumberFormat="1" applyFill="1" applyBorder="1"/>
    <xf numFmtId="0" fontId="7" fillId="0" borderId="17" xfId="2" applyBorder="1"/>
    <xf numFmtId="0" fontId="7" fillId="0" borderId="23" xfId="2" applyBorder="1"/>
    <xf numFmtId="173" fontId="5" fillId="0" borderId="11" xfId="2" applyNumberFormat="1" applyFont="1" applyBorder="1"/>
    <xf numFmtId="173" fontId="5" fillId="0" borderId="19" xfId="2" applyNumberFormat="1" applyFont="1" applyBorder="1"/>
    <xf numFmtId="173" fontId="5" fillId="0" borderId="24" xfId="2" applyNumberFormat="1" applyFont="1" applyBorder="1"/>
    <xf numFmtId="173" fontId="7" fillId="0" borderId="21" xfId="2" applyNumberFormat="1" applyBorder="1"/>
    <xf numFmtId="0" fontId="5" fillId="0" borderId="25" xfId="2" applyFont="1" applyBorder="1" applyAlignment="1">
      <alignment horizontal="center"/>
    </xf>
    <xf numFmtId="2" fontId="5" fillId="0" borderId="25" xfId="2" applyNumberFormat="1" applyFont="1" applyBorder="1" applyAlignment="1">
      <alignment horizontal="center"/>
    </xf>
    <xf numFmtId="166" fontId="5" fillId="0" borderId="0" xfId="2" applyNumberFormat="1" applyFont="1" applyFill="1" applyBorder="1" applyAlignment="1">
      <alignment horizontal="center"/>
    </xf>
    <xf numFmtId="173" fontId="5" fillId="0" borderId="25" xfId="2" applyNumberFormat="1" applyFont="1" applyBorder="1" applyAlignment="1">
      <alignment horizontal="center"/>
    </xf>
    <xf numFmtId="165" fontId="5" fillId="0" borderId="0" xfId="2" applyNumberFormat="1" applyFont="1" applyFill="1" applyBorder="1" applyAlignment="1">
      <alignment horizontal="center"/>
    </xf>
    <xf numFmtId="166" fontId="5" fillId="0" borderId="25" xfId="2" applyNumberFormat="1" applyFont="1" applyBorder="1" applyAlignment="1">
      <alignment horizontal="center"/>
    </xf>
    <xf numFmtId="166" fontId="5" fillId="0" borderId="0" xfId="2" applyNumberFormat="1" applyFont="1" applyBorder="1" applyAlignment="1">
      <alignment horizontal="center"/>
    </xf>
    <xf numFmtId="1" fontId="5" fillId="0" borderId="25" xfId="2" applyNumberFormat="1" applyFont="1" applyBorder="1" applyAlignment="1">
      <alignment horizontal="center"/>
    </xf>
    <xf numFmtId="173" fontId="7" fillId="0" borderId="25" xfId="2" applyNumberFormat="1" applyFont="1" applyBorder="1" applyAlignment="1">
      <alignment horizontal="right"/>
    </xf>
    <xf numFmtId="0" fontId="7" fillId="0" borderId="26" xfId="2" applyBorder="1"/>
    <xf numFmtId="173" fontId="5" fillId="0" borderId="25" xfId="2" applyNumberFormat="1" applyFont="1" applyBorder="1"/>
    <xf numFmtId="0" fontId="7" fillId="0" borderId="27" xfId="2" applyBorder="1"/>
    <xf numFmtId="173" fontId="7" fillId="13" borderId="0" xfId="2" applyNumberFormat="1" applyFill="1"/>
    <xf numFmtId="0" fontId="7" fillId="0" borderId="0" xfId="2" applyAlignment="1">
      <alignment horizontal="left"/>
    </xf>
    <xf numFmtId="173" fontId="7" fillId="7" borderId="0" xfId="2" applyNumberFormat="1" applyFill="1"/>
    <xf numFmtId="1" fontId="7" fillId="0" borderId="0" xfId="2" applyNumberFormat="1" applyAlignment="1">
      <alignment horizontal="right"/>
    </xf>
    <xf numFmtId="0" fontId="7" fillId="0" borderId="0" xfId="2" applyAlignment="1">
      <alignment horizontal="center"/>
    </xf>
    <xf numFmtId="1" fontId="7" fillId="0" borderId="0" xfId="2" applyNumberFormat="1"/>
    <xf numFmtId="164" fontId="5" fillId="0" borderId="0" xfId="2" applyNumberFormat="1" applyFont="1" applyAlignment="1">
      <alignment horizontal="center"/>
    </xf>
    <xf numFmtId="3" fontId="5" fillId="7" borderId="0" xfId="2" applyNumberFormat="1" applyFont="1" applyFill="1" applyAlignment="1">
      <alignment horizontal="center"/>
    </xf>
    <xf numFmtId="3" fontId="5" fillId="0" borderId="0" xfId="2" applyNumberFormat="1" applyFont="1" applyAlignment="1">
      <alignment horizontal="center"/>
    </xf>
    <xf numFmtId="0" fontId="5" fillId="13" borderId="0" xfId="2" applyFont="1" applyFill="1" applyAlignment="1">
      <alignment horizontal="center"/>
    </xf>
    <xf numFmtId="166" fontId="5" fillId="13" borderId="0" xfId="2" applyNumberFormat="1" applyFont="1" applyFill="1" applyAlignment="1">
      <alignment horizontal="center"/>
    </xf>
    <xf numFmtId="0" fontId="5" fillId="0" borderId="18" xfId="2" applyFont="1" applyBorder="1" applyAlignment="1">
      <alignment horizontal="center"/>
    </xf>
    <xf numFmtId="0" fontId="5" fillId="7" borderId="19" xfId="2" applyFont="1" applyFill="1" applyBorder="1" applyAlignment="1">
      <alignment horizontal="center"/>
    </xf>
    <xf numFmtId="166" fontId="5" fillId="0" borderId="19" xfId="2" applyNumberFormat="1" applyFont="1" applyBorder="1" applyAlignment="1">
      <alignment horizontal="center"/>
    </xf>
    <xf numFmtId="0" fontId="5" fillId="13" borderId="19" xfId="2" applyFont="1" applyFill="1" applyBorder="1" applyAlignment="1">
      <alignment horizontal="center"/>
    </xf>
    <xf numFmtId="166" fontId="5" fillId="13" borderId="19" xfId="2" applyNumberFormat="1" applyFont="1" applyFill="1" applyBorder="1" applyAlignment="1">
      <alignment horizontal="center"/>
    </xf>
    <xf numFmtId="1" fontId="5" fillId="0" borderId="19" xfId="2" applyNumberFormat="1" applyFont="1" applyBorder="1" applyAlignment="1">
      <alignment horizontal="center"/>
    </xf>
    <xf numFmtId="1" fontId="7" fillId="2" borderId="0" xfId="2" applyNumberFormat="1" applyFill="1" applyAlignment="1">
      <alignment horizontal="right"/>
    </xf>
    <xf numFmtId="0" fontId="7" fillId="0" borderId="0" xfId="2" applyAlignment="1">
      <alignment horizontal="right"/>
    </xf>
    <xf numFmtId="0" fontId="7" fillId="0" borderId="11" xfId="2" applyBorder="1"/>
    <xf numFmtId="2" fontId="5" fillId="0" borderId="0" xfId="2" applyNumberFormat="1" applyFont="1"/>
    <xf numFmtId="2" fontId="5" fillId="0" borderId="11" xfId="2" applyNumberFormat="1" applyFont="1" applyBorder="1"/>
    <xf numFmtId="2" fontId="5" fillId="0" borderId="10" xfId="2" applyNumberFormat="1" applyFont="1" applyBorder="1"/>
    <xf numFmtId="1" fontId="5" fillId="0" borderId="10" xfId="2" applyNumberFormat="1" applyFont="1" applyBorder="1" applyAlignment="1">
      <alignment horizontal="center"/>
    </xf>
    <xf numFmtId="0" fontId="7" fillId="13" borderId="0" xfId="2" applyFill="1"/>
    <xf numFmtId="0" fontId="7" fillId="13" borderId="11" xfId="2" applyFill="1" applyBorder="1"/>
    <xf numFmtId="1" fontId="5" fillId="0" borderId="28" xfId="2" applyNumberFormat="1" applyFont="1" applyBorder="1" applyAlignment="1">
      <alignment horizontal="center"/>
    </xf>
    <xf numFmtId="1" fontId="5" fillId="7" borderId="19" xfId="2" applyNumberFormat="1" applyFont="1" applyFill="1" applyBorder="1" applyAlignment="1">
      <alignment horizontal="center"/>
    </xf>
    <xf numFmtId="1" fontId="8" fillId="7" borderId="19" xfId="2" applyNumberFormat="1" applyFont="1" applyFill="1" applyBorder="1" applyAlignment="1">
      <alignment horizontal="center"/>
    </xf>
    <xf numFmtId="1" fontId="8" fillId="7" borderId="24" xfId="2" applyNumberFormat="1" applyFont="1" applyFill="1" applyBorder="1" applyAlignment="1">
      <alignment horizontal="center"/>
    </xf>
    <xf numFmtId="0" fontId="0" fillId="0" borderId="0" xfId="0" applyFill="1" applyAlignment="1">
      <alignment horizontal="center"/>
    </xf>
    <xf numFmtId="0" fontId="7" fillId="0" borderId="25" xfId="2" applyBorder="1"/>
    <xf numFmtId="2" fontId="5" fillId="0" borderId="25" xfId="2" applyNumberFormat="1" applyFont="1" applyBorder="1"/>
    <xf numFmtId="1" fontId="5" fillId="7" borderId="27" xfId="2" applyNumberFormat="1" applyFont="1" applyFill="1" applyBorder="1" applyAlignment="1">
      <alignment horizontal="center"/>
    </xf>
    <xf numFmtId="0" fontId="9" fillId="0" borderId="0" xfId="2" applyFont="1"/>
    <xf numFmtId="0" fontId="9" fillId="5" borderId="0" xfId="2" applyFont="1" applyFill="1"/>
    <xf numFmtId="0" fontId="9" fillId="0" borderId="0" xfId="2" applyFont="1" applyFill="1"/>
    <xf numFmtId="0" fontId="9" fillId="0" borderId="29" xfId="2" applyFont="1" applyBorder="1" applyAlignment="1">
      <alignment horizontal="left" wrapText="1"/>
    </xf>
    <xf numFmtId="0" fontId="9" fillId="0" borderId="29" xfId="2" applyFont="1" applyBorder="1" applyAlignment="1">
      <alignment horizontal="right" wrapText="1"/>
    </xf>
    <xf numFmtId="169" fontId="9" fillId="0" borderId="29" xfId="2" applyNumberFormat="1" applyFont="1" applyBorder="1" applyAlignment="1">
      <alignment horizontal="right"/>
    </xf>
    <xf numFmtId="168" fontId="9" fillId="0" borderId="29" xfId="2" applyNumberFormat="1" applyFont="1" applyBorder="1" applyAlignment="1">
      <alignment horizontal="right"/>
    </xf>
    <xf numFmtId="0" fontId="9" fillId="0" borderId="29" xfId="2" applyFont="1" applyBorder="1" applyAlignment="1">
      <alignment horizontal="left" vertical="center" wrapText="1"/>
    </xf>
    <xf numFmtId="168" fontId="9" fillId="0" borderId="29" xfId="2" applyNumberFormat="1" applyFont="1" applyBorder="1" applyAlignment="1">
      <alignment horizontal="right" vertical="center"/>
    </xf>
    <xf numFmtId="172" fontId="9" fillId="0" borderId="29" xfId="2" applyNumberFormat="1" applyFont="1" applyBorder="1" applyAlignment="1">
      <alignment horizontal="right" vertical="center"/>
    </xf>
    <xf numFmtId="164" fontId="9" fillId="0" borderId="29" xfId="2" applyNumberFormat="1" applyFont="1" applyBorder="1" applyAlignment="1">
      <alignment horizontal="right" vertical="center"/>
    </xf>
    <xf numFmtId="1" fontId="9" fillId="0" borderId="29" xfId="2" applyNumberFormat="1" applyFont="1" applyBorder="1" applyAlignment="1">
      <alignment horizontal="right" vertical="center"/>
    </xf>
    <xf numFmtId="0" fontId="9" fillId="0" borderId="29" xfId="2" applyFont="1" applyBorder="1" applyAlignment="1">
      <alignment horizontal="left" vertical="center"/>
    </xf>
    <xf numFmtId="0" fontId="9" fillId="0" borderId="29" xfId="2" applyFont="1" applyBorder="1" applyAlignment="1">
      <alignment horizontal="right" vertical="center"/>
    </xf>
    <xf numFmtId="3" fontId="9" fillId="0" borderId="29" xfId="2" applyNumberFormat="1" applyFont="1" applyBorder="1" applyAlignment="1">
      <alignment horizontal="right" vertical="center"/>
    </xf>
    <xf numFmtId="0" fontId="9" fillId="0" borderId="29" xfId="2" applyFont="1" applyBorder="1" applyAlignment="1">
      <alignment horizontal="right" vertical="center" wrapText="1"/>
    </xf>
    <xf numFmtId="0" fontId="9" fillId="0" borderId="2" xfId="2" applyFont="1" applyBorder="1" applyAlignment="1">
      <alignment horizontal="left" vertical="center" wrapText="1"/>
    </xf>
    <xf numFmtId="0" fontId="9" fillId="0" borderId="4" xfId="2" applyFont="1" applyBorder="1" applyAlignment="1">
      <alignment horizontal="left" vertical="center" wrapText="1"/>
    </xf>
    <xf numFmtId="3" fontId="9" fillId="0" borderId="29" xfId="2" applyNumberFormat="1" applyFont="1" applyFill="1" applyBorder="1" applyAlignment="1">
      <alignment horizontal="right" vertical="center"/>
    </xf>
    <xf numFmtId="1" fontId="9" fillId="0" borderId="29" xfId="2" applyNumberFormat="1" applyFont="1" applyBorder="1" applyAlignment="1">
      <alignment horizontal="left" vertical="center"/>
    </xf>
    <xf numFmtId="1" fontId="9" fillId="0" borderId="29" xfId="2" applyNumberFormat="1" applyFont="1" applyBorder="1" applyAlignment="1">
      <alignment horizontal="left"/>
    </xf>
    <xf numFmtId="1" fontId="9" fillId="0" borderId="29" xfId="2" applyNumberFormat="1" applyFont="1" applyBorder="1" applyAlignment="1">
      <alignment horizontal="right"/>
    </xf>
    <xf numFmtId="175" fontId="9" fillId="0" borderId="29" xfId="2" applyNumberFormat="1" applyFont="1" applyBorder="1" applyAlignment="1">
      <alignment horizontal="right" vertical="center"/>
    </xf>
    <xf numFmtId="0" fontId="9" fillId="0" borderId="29" xfId="2" applyFont="1" applyBorder="1" applyAlignment="1">
      <alignment horizontal="right"/>
    </xf>
    <xf numFmtId="3" fontId="9" fillId="0" borderId="29" xfId="2" applyNumberFormat="1" applyFont="1" applyBorder="1" applyAlignment="1">
      <alignment horizontal="right" vertical="center" wrapText="1"/>
    </xf>
    <xf numFmtId="3" fontId="9" fillId="0" borderId="29" xfId="2" applyNumberFormat="1" applyFont="1" applyFill="1" applyBorder="1" applyAlignment="1">
      <alignment horizontal="right" vertical="center" wrapText="1"/>
    </xf>
    <xf numFmtId="3" fontId="9" fillId="0" borderId="29" xfId="2" applyNumberFormat="1" applyFont="1" applyBorder="1" applyAlignment="1">
      <alignment horizontal="right" vertical="top"/>
    </xf>
    <xf numFmtId="0" fontId="9" fillId="0" borderId="29" xfId="2" applyFont="1" applyBorder="1" applyAlignment="1">
      <alignment horizontal="right" vertical="center" wrapText="1" indent="2"/>
    </xf>
    <xf numFmtId="168" fontId="9" fillId="0" borderId="0" xfId="2" applyNumberFormat="1" applyFont="1"/>
    <xf numFmtId="168" fontId="9" fillId="5" borderId="0" xfId="2" applyNumberFormat="1" applyFont="1" applyFill="1"/>
    <xf numFmtId="168" fontId="9" fillId="0" borderId="0" xfId="2" applyNumberFormat="1" applyFont="1" applyFill="1"/>
    <xf numFmtId="0" fontId="9" fillId="8" borderId="0" xfId="2" applyFont="1" applyFill="1"/>
    <xf numFmtId="168" fontId="9" fillId="8" borderId="0" xfId="2" applyNumberFormat="1" applyFont="1" applyFill="1"/>
    <xf numFmtId="3" fontId="9" fillId="0" borderId="29" xfId="2" applyNumberFormat="1" applyFont="1" applyBorder="1" applyAlignment="1">
      <alignment horizontal="right"/>
    </xf>
    <xf numFmtId="1" fontId="9" fillId="0" borderId="2" xfId="2" applyNumberFormat="1" applyFont="1" applyBorder="1" applyAlignment="1">
      <alignment horizontal="left" vertical="center"/>
    </xf>
    <xf numFmtId="175" fontId="9" fillId="0" borderId="29" xfId="2" applyNumberFormat="1" applyFont="1" applyBorder="1" applyAlignment="1">
      <alignment horizontal="right"/>
    </xf>
    <xf numFmtId="175" fontId="9" fillId="0" borderId="1" xfId="2" applyNumberFormat="1" applyFont="1" applyBorder="1" applyAlignment="1">
      <alignment horizontal="right"/>
    </xf>
    <xf numFmtId="1" fontId="9" fillId="0" borderId="5" xfId="2" applyNumberFormat="1" applyFont="1" applyBorder="1" applyAlignment="1">
      <alignment horizontal="right" vertical="center"/>
    </xf>
    <xf numFmtId="175" fontId="9" fillId="0" borderId="1" xfId="2" applyNumberFormat="1" applyFont="1" applyBorder="1" applyAlignment="1">
      <alignment horizontal="right" vertical="center"/>
    </xf>
    <xf numFmtId="0" fontId="9" fillId="0" borderId="1" xfId="2" applyFont="1" applyBorder="1" applyAlignment="1">
      <alignment horizontal="right" vertical="center"/>
    </xf>
    <xf numFmtId="0" fontId="9" fillId="0" borderId="5" xfId="2" applyFont="1" applyBorder="1" applyAlignment="1">
      <alignment horizontal="right" vertical="center"/>
    </xf>
    <xf numFmtId="0" fontId="9" fillId="0" borderId="1" xfId="2" applyFont="1" applyBorder="1" applyAlignment="1">
      <alignment horizontal="left" vertical="center" wrapText="1"/>
    </xf>
    <xf numFmtId="1" fontId="9" fillId="0" borderId="1" xfId="2" applyNumberFormat="1" applyFont="1" applyBorder="1" applyAlignment="1">
      <alignment horizontal="right" vertical="center"/>
    </xf>
    <xf numFmtId="0" fontId="9" fillId="0" borderId="5" xfId="2" applyFont="1" applyBorder="1" applyAlignment="1">
      <alignment horizontal="left" vertical="center" wrapText="1"/>
    </xf>
    <xf numFmtId="1" fontId="9" fillId="8" borderId="29" xfId="2" applyNumberFormat="1" applyFont="1" applyFill="1" applyBorder="1" applyAlignment="1">
      <alignment horizontal="right" vertical="center"/>
    </xf>
    <xf numFmtId="0" fontId="10" fillId="0" borderId="29" xfId="2" applyFont="1" applyBorder="1" applyAlignment="1">
      <alignment horizontal="left" vertical="center" wrapText="1"/>
    </xf>
    <xf numFmtId="1" fontId="10" fillId="0" borderId="29" xfId="2" applyNumberFormat="1" applyFont="1" applyBorder="1" applyAlignment="1">
      <alignment horizontal="right" vertical="center"/>
    </xf>
    <xf numFmtId="0" fontId="11" fillId="0" borderId="29" xfId="2" applyFont="1" applyBorder="1" applyAlignment="1">
      <alignment horizontal="right" vertical="top" wrapText="1" indent="2"/>
    </xf>
    <xf numFmtId="0" fontId="9" fillId="0" borderId="0" xfId="2" applyFont="1" applyAlignment="1">
      <alignment horizontal="left" vertical="center" wrapText="1"/>
    </xf>
    <xf numFmtId="175" fontId="9" fillId="0" borderId="0" xfId="2" applyNumberFormat="1" applyFont="1"/>
    <xf numFmtId="1" fontId="9" fillId="0" borderId="0" xfId="2" applyNumberFormat="1" applyFont="1"/>
    <xf numFmtId="10" fontId="9" fillId="0" borderId="0" xfId="4" applyNumberFormat="1" applyFont="1"/>
    <xf numFmtId="164" fontId="9" fillId="0" borderId="0" xfId="2" applyNumberFormat="1" applyFont="1"/>
    <xf numFmtId="175" fontId="9" fillId="2" borderId="29" xfId="2" applyNumberFormat="1" applyFont="1" applyFill="1" applyBorder="1" applyAlignment="1">
      <alignment horizontal="right" vertical="center"/>
    </xf>
    <xf numFmtId="168" fontId="3" fillId="0" borderId="0" xfId="0" applyNumberFormat="1" applyFont="1" applyFill="1" applyBorder="1" applyAlignment="1">
      <alignment horizontal="center"/>
    </xf>
    <xf numFmtId="2" fontId="3" fillId="0" borderId="0" xfId="0" applyNumberFormat="1" applyFont="1" applyFill="1" applyBorder="1" applyAlignment="1">
      <alignment horizontal="center"/>
    </xf>
    <xf numFmtId="170" fontId="3" fillId="8" borderId="0" xfId="0" applyNumberFormat="1" applyFont="1" applyFill="1" applyBorder="1" applyAlignment="1"/>
    <xf numFmtId="0" fontId="3" fillId="14" borderId="0" xfId="0" applyFont="1" applyFill="1" applyBorder="1" applyAlignment="1"/>
    <xf numFmtId="170" fontId="3" fillId="0" borderId="0" xfId="0" applyNumberFormat="1" applyFont="1" applyFill="1" applyBorder="1"/>
    <xf numFmtId="0" fontId="5" fillId="0" borderId="30" xfId="2" applyFont="1" applyBorder="1" applyAlignment="1">
      <alignment horizontal="center"/>
    </xf>
    <xf numFmtId="0" fontId="5" fillId="0" borderId="22" xfId="2" applyFont="1" applyBorder="1" applyAlignment="1">
      <alignment horizontal="center"/>
    </xf>
    <xf numFmtId="0" fontId="13" fillId="0" borderId="32" xfId="2" applyFont="1" applyBorder="1" applyAlignment="1">
      <alignment horizontal="center"/>
    </xf>
    <xf numFmtId="0" fontId="14" fillId="6" borderId="33" xfId="2" applyFont="1" applyFill="1" applyBorder="1" applyAlignment="1">
      <alignment horizontal="center"/>
    </xf>
    <xf numFmtId="0" fontId="15" fillId="7" borderId="33" xfId="2" applyFont="1" applyFill="1" applyBorder="1" applyAlignment="1">
      <alignment horizontal="center"/>
    </xf>
    <xf numFmtId="0" fontId="7" fillId="0" borderId="34" xfId="2" applyBorder="1"/>
    <xf numFmtId="173" fontId="5" fillId="0" borderId="34" xfId="2" applyNumberFormat="1" applyFont="1" applyBorder="1" applyAlignment="1">
      <alignment horizontal="center"/>
    </xf>
    <xf numFmtId="166" fontId="5" fillId="0" borderId="34" xfId="2" applyNumberFormat="1" applyFont="1" applyBorder="1" applyAlignment="1">
      <alignment horizontal="center"/>
    </xf>
    <xf numFmtId="1" fontId="5" fillId="0" borderId="34" xfId="2" applyNumberFormat="1" applyFont="1" applyBorder="1" applyAlignment="1">
      <alignment horizontal="center"/>
    </xf>
    <xf numFmtId="164" fontId="5" fillId="0" borderId="34" xfId="2" applyNumberFormat="1" applyFont="1" applyBorder="1" applyAlignment="1">
      <alignment horizontal="center"/>
    </xf>
    <xf numFmtId="1" fontId="5" fillId="0" borderId="27" xfId="2" applyNumberFormat="1" applyFont="1" applyBorder="1" applyAlignment="1">
      <alignment horizontal="center"/>
    </xf>
    <xf numFmtId="166" fontId="5" fillId="0" borderId="35" xfId="2" applyNumberFormat="1" applyFont="1" applyBorder="1" applyAlignment="1">
      <alignment horizontal="center"/>
    </xf>
    <xf numFmtId="0" fontId="7" fillId="0" borderId="36" xfId="2" applyBorder="1"/>
    <xf numFmtId="173" fontId="7" fillId="0" borderId="25" xfId="2" applyNumberFormat="1" applyBorder="1"/>
    <xf numFmtId="168" fontId="7" fillId="0" borderId="34" xfId="2" applyNumberFormat="1" applyBorder="1"/>
    <xf numFmtId="0" fontId="16" fillId="16" borderId="33" xfId="2" applyFont="1" applyFill="1" applyBorder="1" applyAlignment="1">
      <alignment horizontal="center"/>
    </xf>
    <xf numFmtId="0" fontId="17" fillId="17" borderId="33" xfId="2" applyFont="1" applyFill="1" applyBorder="1" applyAlignment="1">
      <alignment horizontal="center"/>
    </xf>
    <xf numFmtId="0" fontId="17" fillId="18" borderId="33" xfId="2" applyFont="1" applyFill="1" applyBorder="1" applyAlignment="1">
      <alignment horizontal="center"/>
    </xf>
    <xf numFmtId="0" fontId="16" fillId="19" borderId="33" xfId="2" applyFont="1" applyFill="1" applyBorder="1" applyAlignment="1">
      <alignment horizontal="center"/>
    </xf>
    <xf numFmtId="0" fontId="18" fillId="20" borderId="33" xfId="2" applyFont="1" applyFill="1" applyBorder="1" applyAlignment="1">
      <alignment horizontal="center"/>
    </xf>
    <xf numFmtId="0" fontId="18" fillId="18" borderId="33" xfId="2" applyFont="1" applyFill="1" applyBorder="1" applyAlignment="1">
      <alignment horizontal="center"/>
    </xf>
    <xf numFmtId="166" fontId="5" fillId="2" borderId="35" xfId="2" applyNumberFormat="1" applyFont="1" applyFill="1" applyBorder="1" applyAlignment="1">
      <alignment horizontal="center"/>
    </xf>
    <xf numFmtId="168" fontId="7" fillId="0" borderId="15" xfId="2" applyNumberFormat="1" applyBorder="1"/>
    <xf numFmtId="168" fontId="7" fillId="2" borderId="34" xfId="2" applyNumberFormat="1" applyFill="1" applyBorder="1"/>
    <xf numFmtId="0" fontId="18" fillId="21" borderId="33" xfId="2" applyFont="1" applyFill="1" applyBorder="1" applyAlignment="1">
      <alignment horizontal="center"/>
    </xf>
    <xf numFmtId="0" fontId="18" fillId="22" borderId="33" xfId="2" applyFont="1" applyFill="1" applyBorder="1" applyAlignment="1">
      <alignment horizontal="center"/>
    </xf>
    <xf numFmtId="0" fontId="18" fillId="15" borderId="33" xfId="2" applyFont="1" applyFill="1" applyBorder="1" applyAlignment="1">
      <alignment horizontal="center"/>
    </xf>
    <xf numFmtId="0" fontId="18" fillId="23" borderId="33" xfId="2" applyFont="1" applyFill="1" applyBorder="1" applyAlignment="1">
      <alignment horizontal="center"/>
    </xf>
    <xf numFmtId="166" fontId="5" fillId="16" borderId="35" xfId="2" applyNumberFormat="1" applyFont="1" applyFill="1" applyBorder="1" applyAlignment="1">
      <alignment horizontal="center"/>
    </xf>
    <xf numFmtId="176" fontId="7" fillId="0" borderId="34" xfId="2" applyNumberFormat="1" applyBorder="1"/>
    <xf numFmtId="176" fontId="7" fillId="0" borderId="34" xfId="2" applyNumberFormat="1" applyFont="1" applyBorder="1"/>
    <xf numFmtId="0" fontId="7" fillId="0" borderId="15" xfId="2" applyBorder="1"/>
    <xf numFmtId="0" fontId="7" fillId="0" borderId="16" xfId="2" applyBorder="1"/>
    <xf numFmtId="173" fontId="7" fillId="0" borderId="22" xfId="2" applyNumberFormat="1" applyBorder="1"/>
    <xf numFmtId="0" fontId="7" fillId="0" borderId="11" xfId="2" applyBorder="1" applyAlignment="1">
      <alignment horizontal="center"/>
    </xf>
    <xf numFmtId="0" fontId="7" fillId="0" borderId="37" xfId="2" applyBorder="1"/>
    <xf numFmtId="168" fontId="7" fillId="0" borderId="37" xfId="2" applyNumberFormat="1" applyBorder="1"/>
    <xf numFmtId="0" fontId="7" fillId="0" borderId="35" xfId="2" applyBorder="1"/>
    <xf numFmtId="168" fontId="7" fillId="0" borderId="35" xfId="2" applyNumberFormat="1" applyBorder="1"/>
    <xf numFmtId="0" fontId="7" fillId="0" borderId="38" xfId="2" applyBorder="1"/>
    <xf numFmtId="168" fontId="7" fillId="0" borderId="0" xfId="2" applyNumberFormat="1"/>
    <xf numFmtId="0" fontId="7" fillId="0" borderId="24" xfId="2" applyBorder="1"/>
    <xf numFmtId="168" fontId="7" fillId="24" borderId="0" xfId="2" applyNumberFormat="1" applyFill="1"/>
    <xf numFmtId="0" fontId="7" fillId="2" borderId="0" xfId="2" applyFill="1"/>
    <xf numFmtId="176" fontId="19" fillId="0" borderId="0" xfId="2" applyNumberFormat="1" applyFont="1"/>
    <xf numFmtId="176" fontId="20" fillId="0" borderId="0" xfId="2" applyNumberFormat="1" applyFont="1"/>
    <xf numFmtId="168" fontId="7" fillId="25" borderId="0" xfId="2" applyNumberFormat="1" applyFill="1"/>
    <xf numFmtId="1" fontId="7" fillId="2" borderId="0" xfId="2" applyNumberFormat="1" applyFill="1"/>
    <xf numFmtId="0" fontId="7" fillId="7" borderId="0" xfId="2" applyFill="1"/>
    <xf numFmtId="0" fontId="21" fillId="0" borderId="0" xfId="0" applyFont="1"/>
    <xf numFmtId="0" fontId="21" fillId="0" borderId="0" xfId="0" applyFont="1" applyAlignment="1">
      <alignment horizontal="right"/>
    </xf>
    <xf numFmtId="0" fontId="21" fillId="26" borderId="0" xfId="0" applyFont="1" applyFill="1" applyAlignment="1">
      <alignment horizontal="center"/>
    </xf>
    <xf numFmtId="0" fontId="21" fillId="27" borderId="0" xfId="0" applyFont="1" applyFill="1" applyAlignment="1">
      <alignment horizontal="center"/>
    </xf>
    <xf numFmtId="0" fontId="21" fillId="28" borderId="0" xfId="0" applyFont="1" applyFill="1" applyAlignment="1">
      <alignment horizontal="center"/>
    </xf>
    <xf numFmtId="0" fontId="21" fillId="26" borderId="0" xfId="0" applyFont="1" applyFill="1"/>
    <xf numFmtId="174" fontId="21" fillId="26" borderId="0" xfId="0" applyNumberFormat="1" applyFont="1" applyFill="1"/>
    <xf numFmtId="170" fontId="21" fillId="26" borderId="0" xfId="0" applyNumberFormat="1" applyFont="1" applyFill="1"/>
    <xf numFmtId="0" fontId="21" fillId="0" borderId="0" xfId="0" applyFont="1" applyFill="1"/>
    <xf numFmtId="168" fontId="21" fillId="28" borderId="0" xfId="0" applyNumberFormat="1" applyFont="1" applyFill="1"/>
    <xf numFmtId="174" fontId="21" fillId="28" borderId="0" xfId="0" applyNumberFormat="1" applyFont="1" applyFill="1"/>
    <xf numFmtId="0" fontId="21" fillId="28" borderId="0" xfId="0" applyFont="1" applyFill="1"/>
    <xf numFmtId="171" fontId="21" fillId="28" borderId="0" xfId="0" applyNumberFormat="1" applyFont="1" applyFill="1"/>
    <xf numFmtId="168" fontId="21" fillId="0" borderId="0" xfId="0" applyNumberFormat="1" applyFont="1"/>
    <xf numFmtId="0" fontId="21" fillId="0" borderId="0" xfId="0" applyFont="1" applyAlignment="1">
      <alignment horizontal="left"/>
    </xf>
    <xf numFmtId="0" fontId="21" fillId="0" borderId="0" xfId="0" applyFont="1" applyAlignment="1">
      <alignment horizontal="left" indent="1"/>
    </xf>
    <xf numFmtId="168" fontId="21" fillId="26" borderId="0" xfId="0" applyNumberFormat="1" applyFont="1" applyFill="1"/>
    <xf numFmtId="174" fontId="21" fillId="27" borderId="0" xfId="0" applyNumberFormat="1" applyFont="1" applyFill="1"/>
    <xf numFmtId="168" fontId="21" fillId="0" borderId="0" xfId="0" applyNumberFormat="1" applyFont="1" applyFill="1"/>
    <xf numFmtId="174" fontId="21" fillId="0" borderId="0" xfId="0" applyNumberFormat="1" applyFont="1"/>
    <xf numFmtId="0" fontId="21" fillId="0" borderId="0" xfId="0" applyFont="1" applyAlignment="1">
      <alignment horizontal="center"/>
    </xf>
    <xf numFmtId="10" fontId="21" fillId="0" borderId="0" xfId="1" applyNumberFormat="1" applyFont="1"/>
    <xf numFmtId="0" fontId="0" fillId="0" borderId="0" xfId="0" applyFont="1"/>
    <xf numFmtId="0" fontId="0" fillId="0" borderId="0" xfId="0" applyFont="1" applyAlignment="1">
      <alignment horizontal="left" wrapText="1" indent="1"/>
    </xf>
    <xf numFmtId="0" fontId="0" fillId="0" borderId="0" xfId="0" applyFont="1" applyAlignment="1">
      <alignment horizontal="left" indent="2"/>
    </xf>
    <xf numFmtId="0" fontId="0" fillId="0" borderId="0" xfId="0" applyAlignment="1">
      <alignment horizontal="left" indent="2"/>
    </xf>
    <xf numFmtId="0" fontId="0" fillId="0" borderId="0" xfId="0" applyAlignment="1">
      <alignment horizontal="left" indent="1"/>
    </xf>
    <xf numFmtId="0" fontId="22" fillId="0" borderId="0" xfId="3"/>
    <xf numFmtId="0" fontId="22" fillId="0" borderId="0" xfId="3" applyAlignment="1">
      <alignment horizontal="center"/>
    </xf>
    <xf numFmtId="0" fontId="23" fillId="0" borderId="0" xfId="3" applyFont="1"/>
    <xf numFmtId="0" fontId="22" fillId="0" borderId="0" xfId="3" applyAlignment="1">
      <alignment horizontal="right"/>
    </xf>
    <xf numFmtId="0" fontId="22" fillId="0" borderId="0" xfId="3" applyAlignment="1">
      <alignment horizontal="left" indent="1"/>
    </xf>
    <xf numFmtId="0" fontId="22" fillId="0" borderId="0" xfId="3" applyAlignment="1">
      <alignment horizontal="left"/>
    </xf>
    <xf numFmtId="0" fontId="24" fillId="0" borderId="0" xfId="3" applyFont="1"/>
    <xf numFmtId="0" fontId="24" fillId="0" borderId="0" xfId="3" applyFont="1" applyAlignment="1">
      <alignment horizontal="right"/>
    </xf>
    <xf numFmtId="0" fontId="24" fillId="0" borderId="0" xfId="3" applyFont="1" applyAlignment="1">
      <alignment horizontal="center"/>
    </xf>
    <xf numFmtId="0" fontId="22" fillId="8" borderId="0" xfId="3" applyFill="1"/>
    <xf numFmtId="0" fontId="22" fillId="8" borderId="0" xfId="3" applyFill="1" applyAlignment="1">
      <alignment horizontal="center"/>
    </xf>
    <xf numFmtId="0" fontId="22" fillId="8" borderId="0" xfId="3" applyFill="1" applyAlignment="1">
      <alignment horizontal="right"/>
    </xf>
    <xf numFmtId="0" fontId="25" fillId="0" borderId="0" xfId="3" applyFont="1"/>
    <xf numFmtId="0" fontId="25" fillId="0" borderId="0" xfId="3" applyFont="1" applyAlignment="1">
      <alignment horizontal="center"/>
    </xf>
    <xf numFmtId="0" fontId="22" fillId="0" borderId="0" xfId="3" quotePrefix="1" applyAlignment="1">
      <alignment horizontal="center"/>
    </xf>
    <xf numFmtId="0" fontId="24" fillId="0" borderId="0" xfId="3" quotePrefix="1" applyFont="1" applyAlignment="1">
      <alignment horizontal="center"/>
    </xf>
    <xf numFmtId="0" fontId="25" fillId="0" borderId="0" xfId="3" quotePrefix="1" applyFont="1" applyAlignment="1">
      <alignment horizontal="center"/>
    </xf>
    <xf numFmtId="0" fontId="5" fillId="0" borderId="15" xfId="2" quotePrefix="1" applyFont="1" applyBorder="1" applyAlignment="1">
      <alignment horizontal="center"/>
    </xf>
    <xf numFmtId="0" fontId="5" fillId="0" borderId="0" xfId="2" quotePrefix="1" applyFont="1" applyAlignment="1">
      <alignment horizontal="center"/>
    </xf>
    <xf numFmtId="0" fontId="5" fillId="0" borderId="25" xfId="2" quotePrefix="1" applyFont="1" applyBorder="1" applyAlignment="1">
      <alignment horizontal="center"/>
    </xf>
    <xf numFmtId="0" fontId="5" fillId="0" borderId="15" xfId="2" quotePrefix="1" applyFont="1" applyBorder="1" applyAlignment="1">
      <alignment horizontal="left"/>
    </xf>
    <xf numFmtId="0" fontId="5" fillId="0" borderId="11" xfId="2" quotePrefix="1" applyFont="1" applyBorder="1" applyAlignment="1">
      <alignment horizontal="center"/>
    </xf>
    <xf numFmtId="0" fontId="6" fillId="0" borderId="0" xfId="2" quotePrefix="1" applyFont="1" applyAlignment="1">
      <alignment horizontal="center"/>
    </xf>
    <xf numFmtId="0" fontId="1" fillId="0" borderId="0" xfId="5" applyAlignment="1">
      <alignment horizontal="left"/>
    </xf>
    <xf numFmtId="0" fontId="1" fillId="0" borderId="0" xfId="5" applyAlignment="1">
      <alignment horizontal="center"/>
    </xf>
    <xf numFmtId="0" fontId="1" fillId="0" borderId="0" xfId="5" applyAlignment="1">
      <alignment horizontal="right"/>
    </xf>
    <xf numFmtId="2" fontId="1" fillId="0" borderId="0" xfId="5" applyNumberFormat="1" applyAlignment="1">
      <alignment horizontal="right"/>
    </xf>
    <xf numFmtId="0" fontId="1" fillId="0" borderId="0" xfId="5"/>
    <xf numFmtId="168" fontId="1" fillId="0" borderId="0" xfId="5" applyNumberFormat="1"/>
    <xf numFmtId="164" fontId="1" fillId="0" borderId="0" xfId="5" applyNumberFormat="1"/>
    <xf numFmtId="0" fontId="1" fillId="0" borderId="0" xfId="5" applyFill="1"/>
    <xf numFmtId="0" fontId="1" fillId="0" borderId="20" xfId="5" applyBorder="1" applyAlignment="1">
      <alignment horizontal="center"/>
    </xf>
    <xf numFmtId="0" fontId="1" fillId="0" borderId="21" xfId="5" applyBorder="1" applyAlignment="1">
      <alignment horizontal="center"/>
    </xf>
    <xf numFmtId="0" fontId="1" fillId="0" borderId="22" xfId="5" applyBorder="1" applyAlignment="1">
      <alignment horizontal="center"/>
    </xf>
    <xf numFmtId="0" fontId="1" fillId="0" borderId="39" xfId="5" applyBorder="1" applyAlignment="1">
      <alignment horizontal="center"/>
    </xf>
    <xf numFmtId="0" fontId="1" fillId="0" borderId="40" xfId="5" applyBorder="1" applyAlignment="1">
      <alignment horizontal="center"/>
    </xf>
    <xf numFmtId="0" fontId="1" fillId="0" borderId="39" xfId="5" applyBorder="1" applyAlignment="1">
      <alignment horizontal="right"/>
    </xf>
    <xf numFmtId="0" fontId="1" fillId="0" borderId="21" xfId="5" applyBorder="1" applyAlignment="1">
      <alignment horizontal="right"/>
    </xf>
    <xf numFmtId="0" fontId="1" fillId="0" borderId="22" xfId="5" applyBorder="1" applyAlignment="1">
      <alignment horizontal="right"/>
    </xf>
    <xf numFmtId="2" fontId="1" fillId="0" borderId="21" xfId="5" applyNumberFormat="1" applyBorder="1" applyAlignment="1">
      <alignment horizontal="right"/>
    </xf>
    <xf numFmtId="2" fontId="1" fillId="0" borderId="22" xfId="5" applyNumberFormat="1" applyBorder="1" applyAlignment="1">
      <alignment horizontal="right"/>
    </xf>
    <xf numFmtId="0" fontId="1" fillId="0" borderId="21" xfId="5" quotePrefix="1" applyBorder="1" applyAlignment="1">
      <alignment horizontal="center"/>
    </xf>
    <xf numFmtId="168" fontId="1" fillId="0" borderId="39" xfId="5" applyNumberFormat="1" applyBorder="1" applyAlignment="1">
      <alignment horizontal="center"/>
    </xf>
    <xf numFmtId="164" fontId="1" fillId="0" borderId="22" xfId="5" applyNumberFormat="1" applyBorder="1" applyAlignment="1">
      <alignment horizontal="center"/>
    </xf>
    <xf numFmtId="0" fontId="1" fillId="0" borderId="38" xfId="5" applyBorder="1" applyAlignment="1">
      <alignment horizontal="center"/>
    </xf>
    <xf numFmtId="0" fontId="1" fillId="0" borderId="0" xfId="5" applyFill="1" applyAlignment="1">
      <alignment horizontal="center"/>
    </xf>
    <xf numFmtId="0" fontId="1" fillId="0" borderId="15" xfId="5" applyBorder="1" applyAlignment="1">
      <alignment horizontal="left"/>
    </xf>
    <xf numFmtId="0" fontId="1" fillId="0" borderId="0" xfId="5" applyBorder="1" applyAlignment="1">
      <alignment horizontal="left"/>
    </xf>
    <xf numFmtId="0" fontId="1" fillId="0" borderId="11" xfId="5" applyBorder="1" applyAlignment="1">
      <alignment horizontal="center"/>
    </xf>
    <xf numFmtId="0" fontId="1" fillId="0" borderId="10" xfId="5" applyBorder="1" applyAlignment="1">
      <alignment horizontal="center"/>
    </xf>
    <xf numFmtId="0" fontId="1" fillId="0" borderId="0" xfId="5" applyBorder="1" applyAlignment="1">
      <alignment horizontal="center"/>
    </xf>
    <xf numFmtId="0" fontId="1" fillId="0" borderId="9" xfId="5" applyBorder="1" applyAlignment="1">
      <alignment horizontal="center"/>
    </xf>
    <xf numFmtId="0" fontId="1" fillId="0" borderId="10" xfId="5" applyBorder="1" applyAlignment="1">
      <alignment horizontal="right"/>
    </xf>
    <xf numFmtId="0" fontId="1" fillId="0" borderId="0" xfId="5" applyBorder="1" applyAlignment="1">
      <alignment horizontal="right"/>
    </xf>
    <xf numFmtId="0" fontId="1" fillId="0" borderId="11" xfId="5" applyBorder="1" applyAlignment="1">
      <alignment horizontal="right"/>
    </xf>
    <xf numFmtId="2" fontId="1" fillId="0" borderId="0" xfId="5" applyNumberFormat="1" applyBorder="1" applyAlignment="1">
      <alignment horizontal="right"/>
    </xf>
    <xf numFmtId="2" fontId="1" fillId="0" borderId="11" xfId="5" applyNumberFormat="1" applyBorder="1" applyAlignment="1">
      <alignment horizontal="right"/>
    </xf>
    <xf numFmtId="168" fontId="1" fillId="0" borderId="10" xfId="5" applyNumberFormat="1" applyBorder="1" applyAlignment="1">
      <alignment horizontal="center"/>
    </xf>
    <xf numFmtId="164" fontId="1" fillId="0" borderId="11" xfId="5" applyNumberFormat="1" applyBorder="1" applyAlignment="1">
      <alignment horizontal="center"/>
    </xf>
    <xf numFmtId="0" fontId="1" fillId="0" borderId="25" xfId="5" applyBorder="1" applyAlignment="1">
      <alignment horizontal="center"/>
    </xf>
    <xf numFmtId="0" fontId="1" fillId="0" borderId="15" xfId="5" applyFill="1" applyBorder="1" applyAlignment="1">
      <alignment horizontal="left"/>
    </xf>
    <xf numFmtId="0" fontId="1" fillId="0" borderId="0" xfId="5" applyFill="1" applyBorder="1" applyAlignment="1">
      <alignment horizontal="left"/>
    </xf>
    <xf numFmtId="0" fontId="1" fillId="0" borderId="11" xfId="5" applyFill="1" applyBorder="1" applyAlignment="1">
      <alignment horizontal="center"/>
    </xf>
    <xf numFmtId="0" fontId="1" fillId="0" borderId="10" xfId="5" applyFill="1" applyBorder="1" applyAlignment="1">
      <alignment horizontal="center"/>
    </xf>
    <xf numFmtId="0" fontId="1" fillId="0" borderId="0" xfId="5" applyFill="1" applyBorder="1" applyAlignment="1">
      <alignment horizontal="center"/>
    </xf>
    <xf numFmtId="0" fontId="1" fillId="0" borderId="9" xfId="5" applyFill="1" applyBorder="1" applyAlignment="1">
      <alignment horizontal="center"/>
    </xf>
    <xf numFmtId="1" fontId="1" fillId="0" borderId="10" xfId="5" applyNumberFormat="1" applyFill="1" applyBorder="1" applyAlignment="1">
      <alignment horizontal="right"/>
    </xf>
    <xf numFmtId="0" fontId="1" fillId="0" borderId="0" xfId="5" applyFill="1" applyBorder="1" applyAlignment="1">
      <alignment horizontal="right"/>
    </xf>
    <xf numFmtId="0" fontId="1" fillId="0" borderId="11" xfId="5" applyFill="1" applyBorder="1" applyAlignment="1">
      <alignment horizontal="right"/>
    </xf>
    <xf numFmtId="2" fontId="1" fillId="0" borderId="0" xfId="5" applyNumberFormat="1" applyFill="1" applyBorder="1" applyAlignment="1">
      <alignment horizontal="right"/>
    </xf>
    <xf numFmtId="2" fontId="1" fillId="0" borderId="11" xfId="5" applyNumberFormat="1" applyFill="1" applyBorder="1" applyAlignment="1">
      <alignment horizontal="right"/>
    </xf>
    <xf numFmtId="0" fontId="1" fillId="0" borderId="0" xfId="5" applyFill="1" applyBorder="1"/>
    <xf numFmtId="0" fontId="1" fillId="0" borderId="11" xfId="5" applyFill="1" applyBorder="1"/>
    <xf numFmtId="0" fontId="1" fillId="0" borderId="10" xfId="5" applyFill="1" applyBorder="1" applyAlignment="1">
      <alignment horizontal="right"/>
    </xf>
    <xf numFmtId="0" fontId="1" fillId="0" borderId="10" xfId="5" applyFill="1" applyBorder="1"/>
    <xf numFmtId="168" fontId="1" fillId="0" borderId="10" xfId="5" applyNumberFormat="1" applyFill="1" applyBorder="1"/>
    <xf numFmtId="164" fontId="1" fillId="0" borderId="11" xfId="5" applyNumberFormat="1" applyFill="1" applyBorder="1" applyAlignment="1">
      <alignment horizontal="center"/>
    </xf>
    <xf numFmtId="0" fontId="1" fillId="0" borderId="25" xfId="5" applyFill="1" applyBorder="1" applyAlignment="1">
      <alignment horizontal="left"/>
    </xf>
    <xf numFmtId="0" fontId="1" fillId="29" borderId="15" xfId="5" applyFill="1" applyBorder="1" applyAlignment="1">
      <alignment horizontal="left"/>
    </xf>
    <xf numFmtId="0" fontId="1" fillId="29" borderId="0" xfId="5" applyFill="1" applyBorder="1" applyAlignment="1">
      <alignment horizontal="left"/>
    </xf>
    <xf numFmtId="0" fontId="1" fillId="29" borderId="11" xfId="5" applyFill="1" applyBorder="1" applyAlignment="1">
      <alignment horizontal="center"/>
    </xf>
    <xf numFmtId="0" fontId="1" fillId="29" borderId="10" xfId="5" applyFill="1" applyBorder="1" applyAlignment="1">
      <alignment horizontal="center"/>
    </xf>
    <xf numFmtId="0" fontId="1" fillId="29" borderId="0" xfId="5" applyFill="1" applyBorder="1" applyAlignment="1">
      <alignment horizontal="center"/>
    </xf>
    <xf numFmtId="0" fontId="1" fillId="29" borderId="9" xfId="5" applyFill="1" applyBorder="1" applyAlignment="1">
      <alignment horizontal="center"/>
    </xf>
    <xf numFmtId="1" fontId="1" fillId="29" borderId="10" xfId="5" applyNumberFormat="1" applyFill="1" applyBorder="1" applyAlignment="1"/>
    <xf numFmtId="1" fontId="1" fillId="29" borderId="0" xfId="5" applyNumberFormat="1" applyFill="1" applyBorder="1" applyAlignment="1"/>
    <xf numFmtId="168" fontId="1" fillId="29" borderId="0" xfId="5" applyNumberFormat="1" applyFill="1" applyBorder="1" applyAlignment="1">
      <alignment horizontal="right"/>
    </xf>
    <xf numFmtId="168" fontId="1" fillId="29" borderId="11" xfId="5" applyNumberFormat="1" applyFill="1" applyBorder="1" applyAlignment="1">
      <alignment horizontal="right"/>
    </xf>
    <xf numFmtId="2" fontId="1" fillId="29" borderId="0" xfId="5" applyNumberFormat="1" applyFill="1" applyBorder="1" applyAlignment="1">
      <alignment horizontal="right"/>
    </xf>
    <xf numFmtId="2" fontId="1" fillId="29" borderId="11" xfId="5" applyNumberFormat="1" applyFill="1" applyBorder="1" applyAlignment="1">
      <alignment horizontal="right"/>
    </xf>
    <xf numFmtId="177" fontId="0" fillId="29" borderId="0" xfId="6" applyNumberFormat="1" applyFont="1" applyFill="1" applyBorder="1" applyAlignment="1">
      <alignment horizontal="right"/>
    </xf>
    <xf numFmtId="177" fontId="0" fillId="29" borderId="11" xfId="6" applyNumberFormat="1" applyFont="1" applyFill="1" applyBorder="1" applyAlignment="1">
      <alignment horizontal="right"/>
    </xf>
    <xf numFmtId="168" fontId="1" fillId="29" borderId="10" xfId="5" applyNumberFormat="1" applyFill="1" applyBorder="1" applyAlignment="1">
      <alignment horizontal="right"/>
    </xf>
    <xf numFmtId="0" fontId="1" fillId="29" borderId="0" xfId="5" applyFill="1" applyBorder="1"/>
    <xf numFmtId="164" fontId="1" fillId="29" borderId="10" xfId="5" applyNumberFormat="1" applyFill="1" applyBorder="1" applyAlignment="1">
      <alignment horizontal="right"/>
    </xf>
    <xf numFmtId="164" fontId="1" fillId="29" borderId="0" xfId="5" applyNumberFormat="1" applyFill="1" applyBorder="1" applyAlignment="1">
      <alignment horizontal="right"/>
    </xf>
    <xf numFmtId="164" fontId="1" fillId="29" borderId="11" xfId="5" applyNumberFormat="1" applyFill="1" applyBorder="1" applyAlignment="1">
      <alignment horizontal="right"/>
    </xf>
    <xf numFmtId="0" fontId="1" fillId="29" borderId="11" xfId="5" applyFill="1" applyBorder="1" applyAlignment="1">
      <alignment horizontal="left"/>
    </xf>
    <xf numFmtId="0" fontId="1" fillId="29" borderId="25" xfId="5" applyFill="1" applyBorder="1" applyAlignment="1">
      <alignment horizontal="left"/>
    </xf>
    <xf numFmtId="0" fontId="1" fillId="30" borderId="15" xfId="5" applyFill="1" applyBorder="1" applyAlignment="1">
      <alignment horizontal="left"/>
    </xf>
    <xf numFmtId="0" fontId="1" fillId="30" borderId="0" xfId="5" applyFill="1" applyBorder="1" applyAlignment="1">
      <alignment horizontal="left"/>
    </xf>
    <xf numFmtId="0" fontId="1" fillId="30" borderId="11" xfId="5" applyFill="1" applyBorder="1" applyAlignment="1">
      <alignment horizontal="center"/>
    </xf>
    <xf numFmtId="0" fontId="1" fillId="30" borderId="10" xfId="5" applyFill="1" applyBorder="1" applyAlignment="1">
      <alignment horizontal="center"/>
    </xf>
    <xf numFmtId="0" fontId="1" fillId="30" borderId="0" xfId="5" applyFill="1" applyBorder="1" applyAlignment="1">
      <alignment horizontal="center"/>
    </xf>
    <xf numFmtId="0" fontId="1" fillId="30" borderId="9" xfId="5" applyFill="1" applyBorder="1" applyAlignment="1">
      <alignment horizontal="center"/>
    </xf>
    <xf numFmtId="1" fontId="1" fillId="30" borderId="10" xfId="5" applyNumberFormat="1" applyFill="1" applyBorder="1" applyAlignment="1"/>
    <xf numFmtId="1" fontId="1" fillId="30" borderId="0" xfId="5" applyNumberFormat="1" applyFill="1" applyBorder="1" applyAlignment="1"/>
    <xf numFmtId="168" fontId="1" fillId="30" borderId="0" xfId="5" applyNumberFormat="1" applyFill="1" applyBorder="1" applyAlignment="1">
      <alignment horizontal="right"/>
    </xf>
    <xf numFmtId="168" fontId="1" fillId="30" borderId="11" xfId="5" applyNumberFormat="1" applyFill="1" applyBorder="1" applyAlignment="1">
      <alignment horizontal="right"/>
    </xf>
    <xf numFmtId="2" fontId="1" fillId="30" borderId="0" xfId="5" applyNumberFormat="1" applyFill="1" applyBorder="1" applyAlignment="1">
      <alignment horizontal="right"/>
    </xf>
    <xf numFmtId="2" fontId="1" fillId="30" borderId="11" xfId="5" applyNumberFormat="1" applyFill="1" applyBorder="1" applyAlignment="1">
      <alignment horizontal="right"/>
    </xf>
    <xf numFmtId="177" fontId="0" fillId="30" borderId="0" xfId="6" applyNumberFormat="1" applyFont="1" applyFill="1" applyBorder="1" applyAlignment="1">
      <alignment horizontal="right"/>
    </xf>
    <xf numFmtId="177" fontId="0" fillId="30" borderId="11" xfId="6" applyNumberFormat="1" applyFont="1" applyFill="1" applyBorder="1" applyAlignment="1">
      <alignment horizontal="right"/>
    </xf>
    <xf numFmtId="168" fontId="1" fillId="30" borderId="10" xfId="5" applyNumberFormat="1" applyFill="1" applyBorder="1" applyAlignment="1">
      <alignment horizontal="right"/>
    </xf>
    <xf numFmtId="0" fontId="1" fillId="30" borderId="0" xfId="5" applyFill="1" applyBorder="1"/>
    <xf numFmtId="164" fontId="1" fillId="30" borderId="10" xfId="5" applyNumberFormat="1" applyFill="1" applyBorder="1" applyAlignment="1">
      <alignment horizontal="right"/>
    </xf>
    <xf numFmtId="164" fontId="1" fillId="30" borderId="0" xfId="5" applyNumberFormat="1" applyFill="1" applyBorder="1" applyAlignment="1">
      <alignment horizontal="right"/>
    </xf>
    <xf numFmtId="164" fontId="1" fillId="30" borderId="11" xfId="5" applyNumberFormat="1" applyFill="1" applyBorder="1" applyAlignment="1">
      <alignment horizontal="right"/>
    </xf>
    <xf numFmtId="0" fontId="1" fillId="30" borderId="11" xfId="5" applyFill="1" applyBorder="1" applyAlignment="1">
      <alignment horizontal="left"/>
    </xf>
    <xf numFmtId="0" fontId="1" fillId="30" borderId="25" xfId="5" applyFill="1" applyBorder="1" applyAlignment="1">
      <alignment horizontal="left"/>
    </xf>
    <xf numFmtId="0" fontId="1" fillId="7" borderId="15" xfId="5" applyFill="1" applyBorder="1" applyAlignment="1">
      <alignment horizontal="left"/>
    </xf>
    <xf numFmtId="0" fontId="1" fillId="7" borderId="0" xfId="5" applyFill="1" applyBorder="1" applyAlignment="1">
      <alignment horizontal="left"/>
    </xf>
    <xf numFmtId="0" fontId="1" fillId="7" borderId="11" xfId="5" applyFill="1" applyBorder="1" applyAlignment="1">
      <alignment horizontal="center"/>
    </xf>
    <xf numFmtId="0" fontId="1" fillId="7" borderId="10" xfId="5" applyFill="1" applyBorder="1" applyAlignment="1">
      <alignment horizontal="center"/>
    </xf>
    <xf numFmtId="0" fontId="1" fillId="7" borderId="0" xfId="5" applyFill="1" applyBorder="1" applyAlignment="1">
      <alignment horizontal="center"/>
    </xf>
    <xf numFmtId="0" fontId="1" fillId="7" borderId="9" xfId="5" applyFill="1" applyBorder="1" applyAlignment="1">
      <alignment horizontal="center"/>
    </xf>
    <xf numFmtId="1" fontId="1" fillId="7" borderId="10" xfId="5" applyNumberFormat="1" applyFill="1" applyBorder="1" applyAlignment="1"/>
    <xf numFmtId="1" fontId="1" fillId="7" borderId="0" xfId="5" applyNumberFormat="1" applyFill="1" applyBorder="1" applyAlignment="1"/>
    <xf numFmtId="168" fontId="1" fillId="7" borderId="0" xfId="5" applyNumberFormat="1" applyFill="1" applyBorder="1" applyAlignment="1">
      <alignment horizontal="right"/>
    </xf>
    <xf numFmtId="168" fontId="1" fillId="7" borderId="11" xfId="5" applyNumberFormat="1" applyFill="1" applyBorder="1" applyAlignment="1">
      <alignment horizontal="right"/>
    </xf>
    <xf numFmtId="2" fontId="1" fillId="7" borderId="0" xfId="5" applyNumberFormat="1" applyFill="1" applyBorder="1" applyAlignment="1">
      <alignment horizontal="right"/>
    </xf>
    <xf numFmtId="2" fontId="1" fillId="7" borderId="11" xfId="5" applyNumberFormat="1" applyFill="1" applyBorder="1" applyAlignment="1">
      <alignment horizontal="right"/>
    </xf>
    <xf numFmtId="177" fontId="0" fillId="7" borderId="0" xfId="6" applyNumberFormat="1" applyFont="1" applyFill="1" applyBorder="1" applyAlignment="1">
      <alignment horizontal="right"/>
    </xf>
    <xf numFmtId="177" fontId="0" fillId="7" borderId="11" xfId="6" applyNumberFormat="1" applyFont="1" applyFill="1" applyBorder="1" applyAlignment="1">
      <alignment horizontal="right"/>
    </xf>
    <xf numFmtId="168" fontId="1" fillId="7" borderId="10" xfId="5" applyNumberFormat="1" applyFill="1" applyBorder="1" applyAlignment="1">
      <alignment horizontal="right"/>
    </xf>
    <xf numFmtId="0" fontId="1" fillId="7" borderId="0" xfId="5" applyFill="1" applyBorder="1"/>
    <xf numFmtId="164" fontId="1" fillId="7" borderId="10" xfId="5" applyNumberFormat="1" applyFill="1" applyBorder="1" applyAlignment="1">
      <alignment horizontal="right"/>
    </xf>
    <xf numFmtId="164" fontId="1" fillId="7" borderId="0" xfId="5" applyNumberFormat="1" applyFill="1" applyBorder="1" applyAlignment="1">
      <alignment horizontal="right"/>
    </xf>
    <xf numFmtId="164" fontId="1" fillId="7" borderId="11" xfId="5" applyNumberFormat="1" applyFill="1" applyBorder="1" applyAlignment="1">
      <alignment horizontal="right"/>
    </xf>
    <xf numFmtId="0" fontId="1" fillId="7" borderId="11" xfId="5" applyFill="1" applyBorder="1" applyAlignment="1">
      <alignment horizontal="left"/>
    </xf>
    <xf numFmtId="0" fontId="1" fillId="7" borderId="25" xfId="5" applyFill="1" applyBorder="1" applyAlignment="1">
      <alignment horizontal="left"/>
    </xf>
    <xf numFmtId="0" fontId="1" fillId="7" borderId="0" xfId="5" applyFill="1" applyBorder="1" applyAlignment="1"/>
    <xf numFmtId="0" fontId="1" fillId="31" borderId="15" xfId="5" applyFill="1" applyBorder="1" applyAlignment="1">
      <alignment horizontal="left"/>
    </xf>
    <xf numFmtId="0" fontId="1" fillId="31" borderId="0" xfId="5" applyFill="1" applyBorder="1" applyAlignment="1">
      <alignment horizontal="left"/>
    </xf>
    <xf numFmtId="0" fontId="1" fillId="31" borderId="11" xfId="5" applyFill="1" applyBorder="1" applyAlignment="1">
      <alignment horizontal="center"/>
    </xf>
    <xf numFmtId="0" fontId="1" fillId="31" borderId="10" xfId="5" applyFill="1" applyBorder="1" applyAlignment="1">
      <alignment horizontal="center"/>
    </xf>
    <xf numFmtId="0" fontId="1" fillId="31" borderId="0" xfId="5" applyFill="1" applyBorder="1" applyAlignment="1">
      <alignment horizontal="center"/>
    </xf>
    <xf numFmtId="0" fontId="1" fillId="31" borderId="9" xfId="5" applyFill="1" applyBorder="1" applyAlignment="1">
      <alignment horizontal="center"/>
    </xf>
    <xf numFmtId="1" fontId="1" fillId="31" borderId="10" xfId="5" applyNumberFormat="1" applyFill="1" applyBorder="1" applyAlignment="1"/>
    <xf numFmtId="1" fontId="1" fillId="31" borderId="0" xfId="5" applyNumberFormat="1" applyFill="1" applyBorder="1" applyAlignment="1"/>
    <xf numFmtId="168" fontId="1" fillId="31" borderId="0" xfId="5" applyNumberFormat="1" applyFill="1" applyBorder="1" applyAlignment="1">
      <alignment horizontal="right"/>
    </xf>
    <xf numFmtId="168" fontId="1" fillId="31" borderId="11" xfId="5" applyNumberFormat="1" applyFill="1" applyBorder="1" applyAlignment="1">
      <alignment horizontal="right"/>
    </xf>
    <xf numFmtId="2" fontId="1" fillId="31" borderId="0" xfId="5" applyNumberFormat="1" applyFill="1" applyBorder="1" applyAlignment="1">
      <alignment horizontal="right"/>
    </xf>
    <xf numFmtId="2" fontId="1" fillId="31" borderId="11" xfId="5" applyNumberFormat="1" applyFill="1" applyBorder="1" applyAlignment="1">
      <alignment horizontal="right"/>
    </xf>
    <xf numFmtId="177" fontId="0" fillId="31" borderId="0" xfId="6" applyNumberFormat="1" applyFont="1" applyFill="1" applyBorder="1" applyAlignment="1">
      <alignment horizontal="right"/>
    </xf>
    <xf numFmtId="177" fontId="0" fillId="31" borderId="11" xfId="6" applyNumberFormat="1" applyFont="1" applyFill="1" applyBorder="1" applyAlignment="1">
      <alignment horizontal="right"/>
    </xf>
    <xf numFmtId="168" fontId="1" fillId="31" borderId="10" xfId="5" applyNumberFormat="1" applyFill="1" applyBorder="1" applyAlignment="1">
      <alignment horizontal="right"/>
    </xf>
    <xf numFmtId="0" fontId="1" fillId="31" borderId="0" xfId="5" applyFill="1" applyBorder="1"/>
    <xf numFmtId="164" fontId="1" fillId="31" borderId="10" xfId="5" applyNumberFormat="1" applyFill="1" applyBorder="1" applyAlignment="1">
      <alignment horizontal="right"/>
    </xf>
    <xf numFmtId="164" fontId="1" fillId="31" borderId="0" xfId="5" applyNumberFormat="1" applyFill="1" applyBorder="1" applyAlignment="1">
      <alignment horizontal="right"/>
    </xf>
    <xf numFmtId="164" fontId="1" fillId="31" borderId="11" xfId="5" applyNumberFormat="1" applyFill="1" applyBorder="1" applyAlignment="1">
      <alignment horizontal="right"/>
    </xf>
    <xf numFmtId="0" fontId="1" fillId="31" borderId="11" xfId="5" applyFill="1" applyBorder="1" applyAlignment="1">
      <alignment horizontal="left"/>
    </xf>
    <xf numFmtId="0" fontId="1" fillId="31" borderId="25" xfId="5" applyFill="1" applyBorder="1" applyAlignment="1">
      <alignment horizontal="left"/>
    </xf>
    <xf numFmtId="0" fontId="1" fillId="16" borderId="15" xfId="5" applyFill="1" applyBorder="1" applyAlignment="1">
      <alignment horizontal="left"/>
    </xf>
    <xf numFmtId="0" fontId="27" fillId="16" borderId="0" xfId="5" applyFont="1" applyFill="1" applyBorder="1" applyAlignment="1">
      <alignment horizontal="left"/>
    </xf>
    <xf numFmtId="0" fontId="1" fillId="16" borderId="11" xfId="5" applyFill="1" applyBorder="1" applyAlignment="1">
      <alignment horizontal="center"/>
    </xf>
    <xf numFmtId="0" fontId="1" fillId="16" borderId="10" xfId="5" applyFill="1" applyBorder="1" applyAlignment="1">
      <alignment horizontal="center"/>
    </xf>
    <xf numFmtId="0" fontId="1" fillId="16" borderId="0" xfId="5" applyFill="1" applyBorder="1" applyAlignment="1">
      <alignment horizontal="center"/>
    </xf>
    <xf numFmtId="0" fontId="1" fillId="16" borderId="9" xfId="5" applyFill="1" applyBorder="1" applyAlignment="1">
      <alignment horizontal="center"/>
    </xf>
    <xf numFmtId="1" fontId="1" fillId="16" borderId="10" xfId="5" applyNumberFormat="1" applyFill="1" applyBorder="1" applyAlignment="1"/>
    <xf numFmtId="1" fontId="1" fillId="16" borderId="0" xfId="5" applyNumberFormat="1" applyFill="1" applyBorder="1" applyAlignment="1"/>
    <xf numFmtId="168" fontId="1" fillId="16" borderId="0" xfId="5" applyNumberFormat="1" applyFill="1" applyBorder="1" applyAlignment="1">
      <alignment horizontal="right"/>
    </xf>
    <xf numFmtId="168" fontId="1" fillId="16" borderId="11" xfId="5" applyNumberFormat="1" applyFill="1" applyBorder="1" applyAlignment="1">
      <alignment horizontal="right"/>
    </xf>
    <xf numFmtId="2" fontId="1" fillId="16" borderId="0" xfId="5" applyNumberFormat="1" applyFill="1" applyBorder="1" applyAlignment="1">
      <alignment horizontal="right"/>
    </xf>
    <xf numFmtId="2" fontId="1" fillId="16" borderId="11" xfId="5" applyNumberFormat="1" applyFill="1" applyBorder="1" applyAlignment="1">
      <alignment horizontal="right"/>
    </xf>
    <xf numFmtId="177" fontId="0" fillId="16" borderId="0" xfId="6" applyNumberFormat="1" applyFont="1" applyFill="1" applyBorder="1" applyAlignment="1">
      <alignment horizontal="right"/>
    </xf>
    <xf numFmtId="177" fontId="0" fillId="16" borderId="11" xfId="6" applyNumberFormat="1" applyFont="1" applyFill="1" applyBorder="1" applyAlignment="1">
      <alignment horizontal="right"/>
    </xf>
    <xf numFmtId="168" fontId="1" fillId="16" borderId="10" xfId="5" applyNumberFormat="1" applyFill="1" applyBorder="1" applyAlignment="1">
      <alignment horizontal="right"/>
    </xf>
    <xf numFmtId="168" fontId="1" fillId="16" borderId="0" xfId="5" applyNumberFormat="1" applyFill="1" applyBorder="1" applyAlignment="1">
      <alignment horizontal="center"/>
    </xf>
    <xf numFmtId="164" fontId="1" fillId="16" borderId="10" xfId="5" applyNumberFormat="1" applyFill="1" applyBorder="1" applyAlignment="1">
      <alignment horizontal="right"/>
    </xf>
    <xf numFmtId="164" fontId="1" fillId="16" borderId="0" xfId="5" applyNumberFormat="1" applyFill="1" applyBorder="1" applyAlignment="1">
      <alignment horizontal="right"/>
    </xf>
    <xf numFmtId="164" fontId="1" fillId="16" borderId="11" xfId="5" applyNumberFormat="1" applyFill="1" applyBorder="1" applyAlignment="1">
      <alignment horizontal="right"/>
    </xf>
    <xf numFmtId="0" fontId="1" fillId="16" borderId="0" xfId="5" applyFill="1" applyBorder="1"/>
    <xf numFmtId="0" fontId="1" fillId="16" borderId="0" xfId="5" applyFill="1" applyBorder="1" applyAlignment="1">
      <alignment horizontal="left"/>
    </xf>
    <xf numFmtId="0" fontId="1" fillId="16" borderId="11" xfId="5" applyFill="1" applyBorder="1" applyAlignment="1">
      <alignment horizontal="left"/>
    </xf>
    <xf numFmtId="0" fontId="1" fillId="16" borderId="25" xfId="5" applyFill="1" applyBorder="1" applyAlignment="1">
      <alignment horizontal="left"/>
    </xf>
    <xf numFmtId="177" fontId="0" fillId="7" borderId="10" xfId="6" applyNumberFormat="1" applyFont="1" applyFill="1" applyBorder="1" applyAlignment="1">
      <alignment horizontal="right"/>
    </xf>
    <xf numFmtId="0" fontId="1" fillId="16" borderId="15" xfId="5" applyFill="1" applyBorder="1" applyAlignment="1">
      <alignment horizontal="left" vertical="top"/>
    </xf>
    <xf numFmtId="0" fontId="1" fillId="16" borderId="0" xfId="5" applyFill="1" applyBorder="1" applyAlignment="1">
      <alignment horizontal="left" vertical="top"/>
    </xf>
    <xf numFmtId="0" fontId="1" fillId="16" borderId="10" xfId="5" applyFill="1" applyBorder="1" applyAlignment="1">
      <alignment horizontal="center" vertical="top"/>
    </xf>
    <xf numFmtId="0" fontId="1" fillId="16" borderId="0" xfId="5" applyFill="1" applyBorder="1" applyAlignment="1">
      <alignment horizontal="center" vertical="top"/>
    </xf>
    <xf numFmtId="0" fontId="1" fillId="16" borderId="11" xfId="5" applyFill="1" applyBorder="1" applyAlignment="1">
      <alignment horizontal="center" vertical="top"/>
    </xf>
    <xf numFmtId="0" fontId="1" fillId="16" borderId="9" xfId="5" applyFill="1" applyBorder="1" applyAlignment="1">
      <alignment horizontal="center" vertical="top"/>
    </xf>
    <xf numFmtId="1" fontId="1" fillId="16" borderId="0" xfId="5" applyNumberFormat="1" applyFill="1" applyBorder="1" applyAlignment="1">
      <alignment vertical="top"/>
    </xf>
    <xf numFmtId="177" fontId="0" fillId="16" borderId="0" xfId="6" applyNumberFormat="1" applyFont="1" applyFill="1" applyBorder="1" applyAlignment="1">
      <alignment horizontal="right" vertical="top"/>
    </xf>
    <xf numFmtId="177" fontId="0" fillId="16" borderId="11" xfId="6" applyNumberFormat="1" applyFont="1" applyFill="1" applyBorder="1" applyAlignment="1">
      <alignment horizontal="right" vertical="top"/>
    </xf>
    <xf numFmtId="168" fontId="1" fillId="16" borderId="10" xfId="5" applyNumberFormat="1" applyFill="1" applyBorder="1" applyAlignment="1">
      <alignment horizontal="right" vertical="top"/>
    </xf>
    <xf numFmtId="168" fontId="1" fillId="16" borderId="0" xfId="5" applyNumberFormat="1" applyFill="1" applyBorder="1" applyAlignment="1">
      <alignment horizontal="center" vertical="top"/>
    </xf>
    <xf numFmtId="164" fontId="1" fillId="16" borderId="10" xfId="5" applyNumberFormat="1" applyFill="1" applyBorder="1" applyAlignment="1">
      <alignment horizontal="right" vertical="top"/>
    </xf>
    <xf numFmtId="0" fontId="1" fillId="3" borderId="15" xfId="5" applyFill="1" applyBorder="1" applyAlignment="1">
      <alignment horizontal="left"/>
    </xf>
    <xf numFmtId="0" fontId="1" fillId="3" borderId="0" xfId="5" applyFill="1" applyBorder="1" applyAlignment="1">
      <alignment horizontal="left"/>
    </xf>
    <xf numFmtId="0" fontId="1" fillId="3" borderId="11" xfId="5" applyFill="1" applyBorder="1" applyAlignment="1">
      <alignment horizontal="center"/>
    </xf>
    <xf numFmtId="0" fontId="1" fillId="3" borderId="10" xfId="5" applyFill="1" applyBorder="1" applyAlignment="1">
      <alignment horizontal="center"/>
    </xf>
    <xf numFmtId="0" fontId="1" fillId="3" borderId="0" xfId="5" applyFill="1" applyBorder="1" applyAlignment="1">
      <alignment horizontal="center"/>
    </xf>
    <xf numFmtId="0" fontId="1" fillId="3" borderId="9" xfId="5" applyFill="1" applyBorder="1" applyAlignment="1">
      <alignment horizontal="center"/>
    </xf>
    <xf numFmtId="1" fontId="1" fillId="3" borderId="10" xfId="5" applyNumberFormat="1" applyFill="1" applyBorder="1" applyAlignment="1"/>
    <xf numFmtId="1" fontId="1" fillId="3" borderId="0" xfId="5" applyNumberFormat="1" applyFill="1" applyBorder="1" applyAlignment="1"/>
    <xf numFmtId="168" fontId="1" fillId="3" borderId="0" xfId="5" applyNumberFormat="1" applyFill="1" applyBorder="1" applyAlignment="1">
      <alignment horizontal="right"/>
    </xf>
    <xf numFmtId="168" fontId="1" fillId="3" borderId="11" xfId="5" applyNumberFormat="1" applyFill="1" applyBorder="1" applyAlignment="1">
      <alignment horizontal="right"/>
    </xf>
    <xf numFmtId="2" fontId="1" fillId="3" borderId="0" xfId="5" applyNumberFormat="1" applyFill="1" applyBorder="1" applyAlignment="1">
      <alignment horizontal="right"/>
    </xf>
    <xf numFmtId="2" fontId="1" fillId="3" borderId="11" xfId="5" applyNumberFormat="1" applyFill="1" applyBorder="1" applyAlignment="1">
      <alignment horizontal="right"/>
    </xf>
    <xf numFmtId="177" fontId="0" fillId="3" borderId="0" xfId="6" applyNumberFormat="1" applyFont="1" applyFill="1" applyBorder="1" applyAlignment="1">
      <alignment horizontal="right"/>
    </xf>
    <xf numFmtId="177" fontId="0" fillId="3" borderId="11" xfId="6" applyNumberFormat="1" applyFont="1" applyFill="1" applyBorder="1" applyAlignment="1">
      <alignment horizontal="right"/>
    </xf>
    <xf numFmtId="168" fontId="1" fillId="3" borderId="10" xfId="5" applyNumberFormat="1" applyFill="1" applyBorder="1" applyAlignment="1">
      <alignment horizontal="right"/>
    </xf>
    <xf numFmtId="0" fontId="1" fillId="3" borderId="0" xfId="5" applyFill="1" applyBorder="1"/>
    <xf numFmtId="164" fontId="1" fillId="3" borderId="10" xfId="5" applyNumberFormat="1" applyFill="1" applyBorder="1" applyAlignment="1">
      <alignment horizontal="right"/>
    </xf>
    <xf numFmtId="164" fontId="1" fillId="3" borderId="0" xfId="5" applyNumberFormat="1" applyFill="1" applyBorder="1" applyAlignment="1">
      <alignment horizontal="right"/>
    </xf>
    <xf numFmtId="164" fontId="1" fillId="3" borderId="11" xfId="5" applyNumberFormat="1" applyFill="1" applyBorder="1" applyAlignment="1">
      <alignment horizontal="right"/>
    </xf>
    <xf numFmtId="0" fontId="1" fillId="3" borderId="11" xfId="5" applyFill="1" applyBorder="1" applyAlignment="1">
      <alignment horizontal="left"/>
    </xf>
    <xf numFmtId="0" fontId="1" fillId="3" borderId="25" xfId="5" applyFill="1" applyBorder="1" applyAlignment="1">
      <alignment horizontal="left"/>
    </xf>
    <xf numFmtId="0" fontId="1" fillId="24" borderId="15" xfId="5" applyFill="1" applyBorder="1" applyAlignment="1">
      <alignment horizontal="left"/>
    </xf>
    <xf numFmtId="0" fontId="1" fillId="24" borderId="0" xfId="5" applyFill="1" applyBorder="1" applyAlignment="1">
      <alignment horizontal="left"/>
    </xf>
    <xf numFmtId="0" fontId="1" fillId="24" borderId="11" xfId="5" applyFill="1" applyBorder="1" applyAlignment="1">
      <alignment horizontal="center"/>
    </xf>
    <xf numFmtId="0" fontId="1" fillId="24" borderId="10" xfId="5" applyFill="1" applyBorder="1" applyAlignment="1">
      <alignment horizontal="center"/>
    </xf>
    <xf numFmtId="0" fontId="1" fillId="24" borderId="0" xfId="5" applyFill="1" applyBorder="1" applyAlignment="1">
      <alignment horizontal="center"/>
    </xf>
    <xf numFmtId="0" fontId="1" fillId="24" borderId="9" xfId="5" applyFill="1" applyBorder="1" applyAlignment="1">
      <alignment horizontal="center"/>
    </xf>
    <xf numFmtId="1" fontId="1" fillId="24" borderId="10" xfId="5" applyNumberFormat="1" applyFill="1" applyBorder="1" applyAlignment="1"/>
    <xf numFmtId="1" fontId="1" fillId="24" borderId="0" xfId="5" applyNumberFormat="1" applyFill="1" applyBorder="1" applyAlignment="1"/>
    <xf numFmtId="168" fontId="1" fillId="24" borderId="0" xfId="5" applyNumberFormat="1" applyFill="1" applyBorder="1" applyAlignment="1">
      <alignment horizontal="right"/>
    </xf>
    <xf numFmtId="168" fontId="1" fillId="24" borderId="11" xfId="5" applyNumberFormat="1" applyFill="1" applyBorder="1" applyAlignment="1">
      <alignment horizontal="right"/>
    </xf>
    <xf numFmtId="2" fontId="1" fillId="24" borderId="0" xfId="5" applyNumberFormat="1" applyFill="1" applyBorder="1" applyAlignment="1">
      <alignment horizontal="right"/>
    </xf>
    <xf numFmtId="2" fontId="1" fillId="24" borderId="11" xfId="5" applyNumberFormat="1" applyFill="1" applyBorder="1" applyAlignment="1">
      <alignment horizontal="right"/>
    </xf>
    <xf numFmtId="177" fontId="0" fillId="24" borderId="0" xfId="6" applyNumberFormat="1" applyFont="1" applyFill="1" applyBorder="1" applyAlignment="1">
      <alignment horizontal="right"/>
    </xf>
    <xf numFmtId="177" fontId="0" fillId="24" borderId="11" xfId="6" applyNumberFormat="1" applyFont="1" applyFill="1" applyBorder="1" applyAlignment="1">
      <alignment horizontal="right"/>
    </xf>
    <xf numFmtId="168" fontId="1" fillId="24" borderId="10" xfId="5" applyNumberFormat="1" applyFill="1" applyBorder="1" applyAlignment="1">
      <alignment horizontal="right"/>
    </xf>
    <xf numFmtId="0" fontId="1" fillId="24" borderId="0" xfId="5" applyFill="1" applyBorder="1"/>
    <xf numFmtId="164" fontId="1" fillId="24" borderId="10" xfId="5" applyNumberFormat="1" applyFill="1" applyBorder="1" applyAlignment="1">
      <alignment horizontal="right"/>
    </xf>
    <xf numFmtId="164" fontId="1" fillId="24" borderId="0" xfId="5" applyNumberFormat="1" applyFill="1" applyBorder="1" applyAlignment="1">
      <alignment horizontal="right"/>
    </xf>
    <xf numFmtId="164" fontId="1" fillId="24" borderId="11" xfId="5" applyNumberFormat="1" applyFill="1" applyBorder="1" applyAlignment="1">
      <alignment horizontal="right"/>
    </xf>
    <xf numFmtId="0" fontId="1" fillId="24" borderId="11" xfId="5" applyFill="1" applyBorder="1" applyAlignment="1">
      <alignment horizontal="left"/>
    </xf>
    <xf numFmtId="0" fontId="1" fillId="24" borderId="25" xfId="5" applyFill="1" applyBorder="1" applyAlignment="1">
      <alignment horizontal="left"/>
    </xf>
    <xf numFmtId="177" fontId="0" fillId="16" borderId="10" xfId="6" applyNumberFormat="1" applyFont="1" applyFill="1" applyBorder="1" applyAlignment="1">
      <alignment horizontal="right"/>
    </xf>
    <xf numFmtId="0" fontId="1" fillId="7" borderId="0" xfId="5" applyFill="1" applyBorder="1" applyAlignment="1">
      <alignment horizontal="right"/>
    </xf>
    <xf numFmtId="0" fontId="1" fillId="0" borderId="18" xfId="5" applyFill="1" applyBorder="1" applyAlignment="1">
      <alignment horizontal="left"/>
    </xf>
    <xf numFmtId="0" fontId="1" fillId="0" borderId="19" xfId="5" applyFill="1" applyBorder="1" applyAlignment="1">
      <alignment horizontal="left"/>
    </xf>
    <xf numFmtId="0" fontId="1" fillId="0" borderId="24" xfId="5" applyFill="1" applyBorder="1" applyAlignment="1">
      <alignment horizontal="center"/>
    </xf>
    <xf numFmtId="0" fontId="1" fillId="0" borderId="28" xfId="5" applyFill="1" applyBorder="1" applyAlignment="1">
      <alignment horizontal="center"/>
    </xf>
    <xf numFmtId="0" fontId="1" fillId="0" borderId="19" xfId="5" applyFill="1" applyBorder="1" applyAlignment="1">
      <alignment horizontal="center"/>
    </xf>
    <xf numFmtId="0" fontId="1" fillId="0" borderId="41" xfId="5" applyFill="1" applyBorder="1" applyAlignment="1">
      <alignment horizontal="center"/>
    </xf>
    <xf numFmtId="0" fontId="1" fillId="0" borderId="28" xfId="5" applyFill="1" applyBorder="1" applyAlignment="1">
      <alignment horizontal="right"/>
    </xf>
    <xf numFmtId="0" fontId="1" fillId="0" borderId="19" xfId="5" applyFill="1" applyBorder="1" applyAlignment="1">
      <alignment horizontal="right"/>
    </xf>
    <xf numFmtId="0" fontId="1" fillId="0" borderId="24" xfId="5" applyFill="1" applyBorder="1" applyAlignment="1">
      <alignment horizontal="right"/>
    </xf>
    <xf numFmtId="2" fontId="1" fillId="0" borderId="19" xfId="5" applyNumberFormat="1" applyFill="1" applyBorder="1" applyAlignment="1">
      <alignment horizontal="right"/>
    </xf>
    <xf numFmtId="2" fontId="1" fillId="0" borderId="24" xfId="5" applyNumberFormat="1" applyFill="1" applyBorder="1" applyAlignment="1">
      <alignment horizontal="right"/>
    </xf>
    <xf numFmtId="177" fontId="0" fillId="0" borderId="19" xfId="6" applyNumberFormat="1" applyFont="1" applyFill="1" applyBorder="1"/>
    <xf numFmtId="177" fontId="0" fillId="0" borderId="24" xfId="6" applyNumberFormat="1" applyFont="1" applyFill="1" applyBorder="1" applyAlignment="1">
      <alignment horizontal="center"/>
    </xf>
    <xf numFmtId="0" fontId="1" fillId="0" borderId="19" xfId="5" applyFill="1" applyBorder="1"/>
    <xf numFmtId="0" fontId="1" fillId="0" borderId="28" xfId="5" applyFill="1" applyBorder="1"/>
    <xf numFmtId="0" fontId="1" fillId="0" borderId="24" xfId="5" applyFill="1" applyBorder="1"/>
    <xf numFmtId="168" fontId="1" fillId="0" borderId="28" xfId="5" applyNumberFormat="1" applyFill="1" applyBorder="1" applyAlignment="1">
      <alignment horizontal="right"/>
    </xf>
    <xf numFmtId="164" fontId="1" fillId="0" borderId="24" xfId="5" applyNumberFormat="1" applyFill="1" applyBorder="1" applyAlignment="1">
      <alignment horizontal="right"/>
    </xf>
    <xf numFmtId="0" fontId="1" fillId="0" borderId="27" xfId="5" applyFill="1" applyBorder="1"/>
    <xf numFmtId="177" fontId="0" fillId="0" borderId="0" xfId="6" applyNumberFormat="1" applyFont="1" applyFill="1" applyBorder="1"/>
    <xf numFmtId="177" fontId="0" fillId="0" borderId="0" xfId="6" applyNumberFormat="1" applyFont="1" applyFill="1" applyBorder="1" applyAlignment="1">
      <alignment horizontal="center"/>
    </xf>
    <xf numFmtId="168" fontId="1" fillId="0" borderId="0" xfId="5" applyNumberFormat="1" applyFill="1" applyBorder="1" applyAlignment="1">
      <alignment horizontal="right"/>
    </xf>
    <xf numFmtId="164" fontId="1" fillId="0" borderId="0" xfId="5" applyNumberFormat="1" applyFill="1" applyBorder="1" applyAlignment="1">
      <alignment horizontal="right"/>
    </xf>
    <xf numFmtId="177" fontId="0" fillId="0" borderId="0" xfId="6" applyNumberFormat="1" applyFont="1"/>
    <xf numFmtId="168" fontId="1" fillId="0" borderId="0" xfId="5" applyNumberFormat="1" applyAlignment="1">
      <alignment horizontal="right"/>
    </xf>
    <xf numFmtId="164" fontId="1" fillId="0" borderId="0" xfId="5" applyNumberFormat="1" applyAlignment="1">
      <alignment horizontal="right"/>
    </xf>
    <xf numFmtId="177" fontId="0" fillId="0" borderId="21" xfId="6" applyNumberFormat="1" applyFont="1" applyBorder="1" applyAlignment="1">
      <alignment horizontal="center"/>
    </xf>
    <xf numFmtId="177" fontId="0" fillId="0" borderId="22" xfId="6" applyNumberFormat="1" applyFont="1" applyBorder="1" applyAlignment="1">
      <alignment horizontal="center"/>
    </xf>
    <xf numFmtId="168" fontId="1" fillId="0" borderId="21" xfId="5" applyNumberFormat="1" applyBorder="1" applyAlignment="1">
      <alignment horizontal="center"/>
    </xf>
    <xf numFmtId="177" fontId="0" fillId="0" borderId="0" xfId="6" applyNumberFormat="1" applyFont="1" applyBorder="1" applyAlignment="1">
      <alignment horizontal="center"/>
    </xf>
    <xf numFmtId="177" fontId="0" fillId="0" borderId="11" xfId="6" applyNumberFormat="1" applyFont="1" applyBorder="1" applyAlignment="1">
      <alignment horizontal="center"/>
    </xf>
    <xf numFmtId="168" fontId="1" fillId="0" borderId="0" xfId="5" applyNumberFormat="1" applyBorder="1" applyAlignment="1">
      <alignment horizontal="center"/>
    </xf>
    <xf numFmtId="177" fontId="0" fillId="0" borderId="0" xfId="6" applyNumberFormat="1" applyFont="1" applyBorder="1"/>
    <xf numFmtId="177" fontId="0" fillId="0" borderId="11" xfId="6" applyNumberFormat="1" applyFont="1" applyBorder="1"/>
    <xf numFmtId="0" fontId="1" fillId="0" borderId="9" xfId="5" applyBorder="1" applyAlignment="1">
      <alignment horizontal="right"/>
    </xf>
    <xf numFmtId="0" fontId="1" fillId="0" borderId="0" xfId="5" applyBorder="1"/>
    <xf numFmtId="0" fontId="1" fillId="0" borderId="11" xfId="5" applyBorder="1"/>
    <xf numFmtId="0" fontId="1" fillId="0" borderId="11" xfId="5" applyBorder="1" applyAlignment="1">
      <alignment horizontal="left"/>
    </xf>
    <xf numFmtId="168" fontId="1" fillId="0" borderId="0" xfId="5" applyNumberFormat="1" applyBorder="1" applyAlignment="1">
      <alignment horizontal="right"/>
    </xf>
    <xf numFmtId="164" fontId="1" fillId="0" borderId="11" xfId="5" applyNumberFormat="1" applyBorder="1" applyAlignment="1">
      <alignment horizontal="right"/>
    </xf>
    <xf numFmtId="0" fontId="1" fillId="0" borderId="25" xfId="5" applyFill="1" applyBorder="1"/>
    <xf numFmtId="168" fontId="1" fillId="16" borderId="9" xfId="5" applyNumberFormat="1" applyFill="1" applyBorder="1" applyAlignment="1">
      <alignment horizontal="right"/>
    </xf>
    <xf numFmtId="164" fontId="1" fillId="16" borderId="10" xfId="5" applyNumberFormat="1" applyFill="1" applyBorder="1" applyAlignment="1">
      <alignment horizontal="center"/>
    </xf>
    <xf numFmtId="1" fontId="1" fillId="0" borderId="19" xfId="5" applyNumberFormat="1" applyFill="1" applyBorder="1" applyAlignment="1"/>
    <xf numFmtId="168" fontId="1" fillId="0" borderId="19" xfId="5" applyNumberFormat="1" applyFill="1" applyBorder="1" applyAlignment="1">
      <alignment horizontal="right"/>
    </xf>
    <xf numFmtId="177" fontId="0" fillId="0" borderId="19" xfId="6" applyNumberFormat="1" applyFont="1" applyFill="1" applyBorder="1" applyAlignment="1">
      <alignment horizontal="right"/>
    </xf>
    <xf numFmtId="177" fontId="0" fillId="0" borderId="24" xfId="6" applyNumberFormat="1" applyFont="1" applyFill="1" applyBorder="1" applyAlignment="1">
      <alignment horizontal="right"/>
    </xf>
    <xf numFmtId="168" fontId="1" fillId="0" borderId="41" xfId="5" applyNumberFormat="1" applyFill="1" applyBorder="1" applyAlignment="1">
      <alignment horizontal="right"/>
    </xf>
    <xf numFmtId="168" fontId="1" fillId="0" borderId="19" xfId="5" applyNumberFormat="1" applyFill="1" applyBorder="1" applyAlignment="1">
      <alignment horizontal="center"/>
    </xf>
    <xf numFmtId="164" fontId="1" fillId="0" borderId="19" xfId="5" applyNumberFormat="1" applyFill="1" applyBorder="1" applyAlignment="1">
      <alignment horizontal="center"/>
    </xf>
    <xf numFmtId="0" fontId="1" fillId="0" borderId="24" xfId="5" applyFill="1" applyBorder="1" applyAlignment="1">
      <alignment horizontal="left"/>
    </xf>
    <xf numFmtId="0" fontId="1" fillId="0" borderId="27" xfId="5" applyFill="1" applyBorder="1" applyAlignment="1">
      <alignment horizontal="left"/>
    </xf>
    <xf numFmtId="0" fontId="1" fillId="0" borderId="18" xfId="5" applyBorder="1" applyAlignment="1">
      <alignment horizontal="left"/>
    </xf>
    <xf numFmtId="0" fontId="1" fillId="0" borderId="19" xfId="5" applyBorder="1" applyAlignment="1">
      <alignment horizontal="left"/>
    </xf>
    <xf numFmtId="0" fontId="1" fillId="0" borderId="19" xfId="5" applyBorder="1" applyAlignment="1">
      <alignment horizontal="center"/>
    </xf>
    <xf numFmtId="0" fontId="1" fillId="0" borderId="19" xfId="5" applyBorder="1" applyAlignment="1">
      <alignment horizontal="right"/>
    </xf>
    <xf numFmtId="2" fontId="1" fillId="0" borderId="19" xfId="5" applyNumberFormat="1" applyBorder="1" applyAlignment="1">
      <alignment horizontal="right"/>
    </xf>
    <xf numFmtId="0" fontId="1" fillId="0" borderId="19" xfId="5" applyBorder="1"/>
    <xf numFmtId="0" fontId="1" fillId="0" borderId="24" xfId="5" applyBorder="1"/>
    <xf numFmtId="168" fontId="1" fillId="0" borderId="19" xfId="5" applyNumberFormat="1" applyBorder="1"/>
    <xf numFmtId="164" fontId="1" fillId="0" borderId="19" xfId="5" applyNumberFormat="1" applyBorder="1"/>
    <xf numFmtId="0" fontId="1" fillId="0" borderId="27" xfId="5" applyBorder="1"/>
    <xf numFmtId="0" fontId="21" fillId="0" borderId="0" xfId="0" applyFont="1" applyAlignment="1">
      <alignment horizontal="right"/>
    </xf>
    <xf numFmtId="0" fontId="12" fillId="15" borderId="31" xfId="2" applyFont="1" applyFill="1" applyBorder="1" applyAlignment="1">
      <alignment horizontal="center"/>
    </xf>
    <xf numFmtId="0" fontId="12" fillId="15" borderId="32" xfId="2" applyFont="1" applyFill="1" applyBorder="1" applyAlignment="1">
      <alignment horizontal="center"/>
    </xf>
    <xf numFmtId="0" fontId="9" fillId="0" borderId="29" xfId="2" applyFont="1" applyBorder="1" applyAlignment="1">
      <alignment horizontal="left" vertical="center" wrapText="1"/>
    </xf>
    <xf numFmtId="0" fontId="9" fillId="0" borderId="2" xfId="2" applyFont="1" applyBorder="1" applyAlignment="1">
      <alignment horizontal="left" vertical="center" wrapText="1"/>
    </xf>
    <xf numFmtId="0" fontId="9" fillId="0" borderId="4" xfId="2" applyFont="1" applyBorder="1" applyAlignment="1">
      <alignment horizontal="left" vertical="center" wrapText="1"/>
    </xf>
    <xf numFmtId="0" fontId="9" fillId="0" borderId="3" xfId="2" applyFont="1" applyBorder="1" applyAlignment="1">
      <alignment horizontal="left" vertical="center" wrapText="1"/>
    </xf>
    <xf numFmtId="0" fontId="9" fillId="0" borderId="29" xfId="2" applyFont="1" applyBorder="1" applyAlignment="1">
      <alignment horizontal="left" vertical="center"/>
    </xf>
    <xf numFmtId="0" fontId="9" fillId="0" borderId="2" xfId="2" applyFont="1" applyBorder="1" applyAlignment="1">
      <alignment horizontal="left" wrapText="1"/>
    </xf>
    <xf numFmtId="0" fontId="9" fillId="0" borderId="4" xfId="2" applyFont="1" applyBorder="1" applyAlignment="1">
      <alignment horizontal="left"/>
    </xf>
    <xf numFmtId="0" fontId="9" fillId="0" borderId="29" xfId="2" applyFont="1" applyBorder="1" applyAlignment="1">
      <alignment horizontal="left"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1" xfId="0" applyFont="1" applyFill="1" applyBorder="1" applyAlignment="1">
      <alignment horizontal="center" vertical="center"/>
    </xf>
    <xf numFmtId="0" fontId="1" fillId="0" borderId="5" xfId="0" applyFont="1" applyFill="1" applyBorder="1" applyAlignment="1"/>
    <xf numFmtId="0" fontId="1" fillId="0" borderId="21" xfId="5" applyBorder="1" applyAlignment="1">
      <alignment horizontal="center"/>
    </xf>
    <xf numFmtId="0" fontId="1" fillId="0" borderId="22" xfId="5" applyBorder="1" applyAlignment="1">
      <alignment horizontal="center"/>
    </xf>
  </cellXfs>
  <cellStyles count="7">
    <cellStyle name="Comma 2" xfId="6"/>
    <cellStyle name="Normal" xfId="0" builtinId="0"/>
    <cellStyle name="Normal 2" xfId="2"/>
    <cellStyle name="Normal 3" xfId="3"/>
    <cellStyle name="Normal 4" xfId="5"/>
    <cellStyle name="Percent" xfId="1" builtinId="5"/>
    <cellStyle name="Percent 2" xfId="4"/>
  </cellStyles>
  <dxfs count="0"/>
  <tableStyles count="0" defaultTableStyle="TableStyleMedium2" defaultPivotStyle="PivotStyleLight16"/>
  <colors>
    <mruColors>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2.xml"/><Relationship Id="rId18" Type="http://schemas.openxmlformats.org/officeDocument/2006/relationships/chartsheet" Target="chartsheets/sheet7.xml"/><Relationship Id="rId26" Type="http://schemas.openxmlformats.org/officeDocument/2006/relationships/worksheet" Target="worksheets/sheet17.xml"/><Relationship Id="rId39" Type="http://schemas.openxmlformats.org/officeDocument/2006/relationships/chartsheet" Target="chartsheets/sheet19.xml"/><Relationship Id="rId3" Type="http://schemas.openxmlformats.org/officeDocument/2006/relationships/worksheet" Target="worksheets/sheet3.xml"/><Relationship Id="rId21" Type="http://schemas.openxmlformats.org/officeDocument/2006/relationships/worksheet" Target="worksheets/sheet12.xml"/><Relationship Id="rId34" Type="http://schemas.openxmlformats.org/officeDocument/2006/relationships/chartsheet" Target="chartsheets/sheet14.xml"/><Relationship Id="rId42" Type="http://schemas.openxmlformats.org/officeDocument/2006/relationships/chartsheet" Target="chartsheets/sheet22.xml"/><Relationship Id="rId47" Type="http://schemas.openxmlformats.org/officeDocument/2006/relationships/chartsheet" Target="chartsheets/sheet2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chartsheet" Target="chartsheets/sheet6.xml"/><Relationship Id="rId25" Type="http://schemas.openxmlformats.org/officeDocument/2006/relationships/worksheet" Target="worksheets/sheet16.xml"/><Relationship Id="rId33" Type="http://schemas.openxmlformats.org/officeDocument/2006/relationships/chartsheet" Target="chartsheets/sheet13.xml"/><Relationship Id="rId38" Type="http://schemas.openxmlformats.org/officeDocument/2006/relationships/chartsheet" Target="chartsheets/sheet18.xml"/><Relationship Id="rId46" Type="http://schemas.openxmlformats.org/officeDocument/2006/relationships/chartsheet" Target="chartsheets/sheet26.xml"/><Relationship Id="rId2" Type="http://schemas.openxmlformats.org/officeDocument/2006/relationships/worksheet" Target="worksheets/sheet2.xml"/><Relationship Id="rId16" Type="http://schemas.openxmlformats.org/officeDocument/2006/relationships/chartsheet" Target="chartsheets/sheet5.xml"/><Relationship Id="rId20" Type="http://schemas.openxmlformats.org/officeDocument/2006/relationships/chartsheet" Target="chartsheets/sheet9.xml"/><Relationship Id="rId29" Type="http://schemas.openxmlformats.org/officeDocument/2006/relationships/worksheet" Target="worksheets/sheet20.xml"/><Relationship Id="rId41" Type="http://schemas.openxmlformats.org/officeDocument/2006/relationships/chartsheet" Target="chartsheets/sheet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15.xml"/><Relationship Id="rId32" Type="http://schemas.openxmlformats.org/officeDocument/2006/relationships/chartsheet" Target="chartsheets/sheet12.xml"/><Relationship Id="rId37" Type="http://schemas.openxmlformats.org/officeDocument/2006/relationships/chartsheet" Target="chartsheets/sheet17.xml"/><Relationship Id="rId40" Type="http://schemas.openxmlformats.org/officeDocument/2006/relationships/chartsheet" Target="chartsheets/sheet20.xml"/><Relationship Id="rId45" Type="http://schemas.openxmlformats.org/officeDocument/2006/relationships/chartsheet" Target="chartsheets/sheet25.xml"/><Relationship Id="rId5" Type="http://schemas.openxmlformats.org/officeDocument/2006/relationships/worksheet" Target="worksheets/sheet5.xml"/><Relationship Id="rId15" Type="http://schemas.openxmlformats.org/officeDocument/2006/relationships/chartsheet" Target="chartsheets/sheet4.xml"/><Relationship Id="rId23" Type="http://schemas.openxmlformats.org/officeDocument/2006/relationships/worksheet" Target="worksheets/sheet14.xml"/><Relationship Id="rId28" Type="http://schemas.openxmlformats.org/officeDocument/2006/relationships/worksheet" Target="worksheets/sheet19.xml"/><Relationship Id="rId36" Type="http://schemas.openxmlformats.org/officeDocument/2006/relationships/chartsheet" Target="chartsheets/sheet1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hartsheet" Target="chartsheets/sheet8.xml"/><Relationship Id="rId31" Type="http://schemas.openxmlformats.org/officeDocument/2006/relationships/chartsheet" Target="chartsheets/sheet11.xml"/><Relationship Id="rId44" Type="http://schemas.openxmlformats.org/officeDocument/2006/relationships/chartsheet" Target="chartsheets/sheet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3.xml"/><Relationship Id="rId22" Type="http://schemas.openxmlformats.org/officeDocument/2006/relationships/worksheet" Target="worksheets/sheet13.xml"/><Relationship Id="rId27" Type="http://schemas.openxmlformats.org/officeDocument/2006/relationships/worksheet" Target="worksheets/sheet18.xml"/><Relationship Id="rId30" Type="http://schemas.openxmlformats.org/officeDocument/2006/relationships/chartsheet" Target="chartsheets/sheet10.xml"/><Relationship Id="rId35" Type="http://schemas.openxmlformats.org/officeDocument/2006/relationships/chartsheet" Target="chartsheets/sheet15.xml"/><Relationship Id="rId43" Type="http://schemas.openxmlformats.org/officeDocument/2006/relationships/chartsheet" Target="chartsheets/sheet2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Loa vs Lbp</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4"/>
          <c:order val="0"/>
          <c:spPr>
            <a:ln w="19050" cap="rnd">
              <a:noFill/>
              <a:round/>
            </a:ln>
            <a:effectLst/>
          </c:spPr>
          <c:marker>
            <c:symbol val="dot"/>
            <c:size val="2"/>
            <c:spPr>
              <a:solidFill>
                <a:schemeClr val="accent5"/>
              </a:solidFill>
              <a:ln w="9525">
                <a:solidFill>
                  <a:schemeClr val="accent5"/>
                </a:solidFill>
              </a:ln>
              <a:effectLst/>
            </c:spPr>
          </c:marker>
          <c:trendline>
            <c:spPr>
              <a:ln w="19050" cap="rnd">
                <a:solidFill>
                  <a:schemeClr val="tx1"/>
                </a:solidFill>
                <a:prstDash val="sysDot"/>
              </a:ln>
              <a:effectLst/>
            </c:spPr>
            <c:trendlineType val="linear"/>
            <c:intercept val="0"/>
            <c:dispRSqr val="1"/>
            <c:dispEq val="1"/>
            <c:trendlineLbl>
              <c:layout>
                <c:manualLayout>
                  <c:x val="0.25272509061765402"/>
                  <c:y val="-0.30102194403717297"/>
                </c:manualLayout>
              </c:layout>
              <c:numFmt formatCode="0.000E+00" sourceLinked="0"/>
              <c:spPr>
                <a:noFill/>
                <a:ln>
                  <a:noFill/>
                </a:ln>
                <a:effectLst/>
              </c:spPr>
              <c:txPr>
                <a:bodyPr rot="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trendlineLbl>
          </c:trendline>
          <c:xVal>
            <c:numRef>
              <c:f>'Comp Data'!$J$2:$J$51</c:f>
              <c:numCache>
                <c:formatCode>0.0</c:formatCode>
                <c:ptCount val="50"/>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pt idx="15">
                  <c:v>54</c:v>
                </c:pt>
                <c:pt idx="16">
                  <c:v>63</c:v>
                </c:pt>
                <c:pt idx="17">
                  <c:v>67</c:v>
                </c:pt>
                <c:pt idx="18">
                  <c:v>72</c:v>
                </c:pt>
                <c:pt idx="19">
                  <c:v>77.7</c:v>
                </c:pt>
                <c:pt idx="20">
                  <c:v>77.7</c:v>
                </c:pt>
                <c:pt idx="21">
                  <c:v>94</c:v>
                </c:pt>
                <c:pt idx="22">
                  <c:v>39.6244818336991</c:v>
                </c:pt>
                <c:pt idx="23">
                  <c:v>36.561204584247697</c:v>
                </c:pt>
                <c:pt idx="24">
                  <c:v>39.380638868568603</c:v>
                </c:pt>
                <c:pt idx="25">
                  <c:v>77.724945135332803</c:v>
                </c:pt>
                <c:pt idx="26">
                  <c:v>33.528407705437701</c:v>
                </c:pt>
                <c:pt idx="27">
                  <c:v>100.58522311631309</c:v>
                </c:pt>
                <c:pt idx="29">
                  <c:v>43.2</c:v>
                </c:pt>
                <c:pt idx="30">
                  <c:v>45.5</c:v>
                </c:pt>
                <c:pt idx="31">
                  <c:v>47.1</c:v>
                </c:pt>
                <c:pt idx="32">
                  <c:v>50</c:v>
                </c:pt>
                <c:pt idx="33">
                  <c:v>51</c:v>
                </c:pt>
                <c:pt idx="34">
                  <c:v>53.1</c:v>
                </c:pt>
                <c:pt idx="35">
                  <c:v>57</c:v>
                </c:pt>
                <c:pt idx="36">
                  <c:v>65.099999999999994</c:v>
                </c:pt>
                <c:pt idx="38">
                  <c:v>63.399170933918597</c:v>
                </c:pt>
                <c:pt idx="39">
                  <c:v>63.399170933918597</c:v>
                </c:pt>
                <c:pt idx="40">
                  <c:v>67.056815410875402</c:v>
                </c:pt>
                <c:pt idx="41">
                  <c:v>70.104852475006098</c:v>
                </c:pt>
                <c:pt idx="42">
                  <c:v>79.248963667398201</c:v>
                </c:pt>
                <c:pt idx="43">
                  <c:v>79.248963667398201</c:v>
                </c:pt>
                <c:pt idx="44">
                  <c:v>84.122774932943202</c:v>
                </c:pt>
                <c:pt idx="45">
                  <c:v>85.619361131431305</c:v>
                </c:pt>
                <c:pt idx="46">
                  <c:v>85.619361131431305</c:v>
                </c:pt>
                <c:pt idx="47">
                  <c:v>88</c:v>
                </c:pt>
                <c:pt idx="48">
                  <c:v>91.745915630334096</c:v>
                </c:pt>
                <c:pt idx="49">
                  <c:v>99.5</c:v>
                </c:pt>
              </c:numCache>
            </c:numRef>
          </c:xVal>
          <c:yVal>
            <c:numRef>
              <c:f>'Comp Data'!$G$2:$G$51</c:f>
              <c:numCache>
                <c:formatCode>0.00</c:formatCode>
                <c:ptCount val="50"/>
                <c:pt idx="0">
                  <c:v>30.480370641306997</c:v>
                </c:pt>
                <c:pt idx="1">
                  <c:v>50.15</c:v>
                </c:pt>
                <c:pt idx="3" formatCode="0.0">
                  <c:v>56.083881980004897</c:v>
                </c:pt>
                <c:pt idx="4">
                  <c:v>50.170690075591317</c:v>
                </c:pt>
                <c:pt idx="6">
                  <c:v>56.083881980004897</c:v>
                </c:pt>
                <c:pt idx="9">
                  <c:v>58.034625701048498</c:v>
                </c:pt>
                <c:pt idx="10">
                  <c:v>57.912704218483299</c:v>
                </c:pt>
                <c:pt idx="11">
                  <c:v>57.912704218483299</c:v>
                </c:pt>
                <c:pt idx="13" formatCode="0.0">
                  <c:v>61.692270178005401</c:v>
                </c:pt>
                <c:pt idx="19" formatCode="0.0">
                  <c:v>81</c:v>
                </c:pt>
                <c:pt idx="20" formatCode="0.0">
                  <c:v>81</c:v>
                </c:pt>
                <c:pt idx="22" formatCode="0.0">
                  <c:v>38.2528651548403</c:v>
                </c:pt>
                <c:pt idx="23" formatCode="0.0">
                  <c:v>40.0694952450622</c:v>
                </c:pt>
                <c:pt idx="24" formatCode="0.0">
                  <c:v>43.7088514996342</c:v>
                </c:pt>
                <c:pt idx="26">
                  <c:v>36.637405510851003</c:v>
                </c:pt>
                <c:pt idx="27">
                  <c:v>106.68129724457449</c:v>
                </c:pt>
                <c:pt idx="29" formatCode="General">
                  <c:v>47.5</c:v>
                </c:pt>
                <c:pt idx="30" formatCode="General">
                  <c:v>50</c:v>
                </c:pt>
                <c:pt idx="31" formatCode="General">
                  <c:v>51.5</c:v>
                </c:pt>
                <c:pt idx="32" formatCode="General">
                  <c:v>52.5</c:v>
                </c:pt>
                <c:pt idx="33" formatCode="General">
                  <c:v>54.4</c:v>
                </c:pt>
                <c:pt idx="34" formatCode="General">
                  <c:v>57.7</c:v>
                </c:pt>
                <c:pt idx="35" formatCode="General">
                  <c:v>60</c:v>
                </c:pt>
                <c:pt idx="36" formatCode="General">
                  <c:v>68.400000000000006</c:v>
                </c:pt>
                <c:pt idx="40">
                  <c:v>71.324067300658399</c:v>
                </c:pt>
                <c:pt idx="49" formatCode="0.0">
                  <c:v>106.29</c:v>
                </c:pt>
              </c:numCache>
            </c:numRef>
          </c:yVal>
          <c:smooth val="0"/>
          <c:extLst>
            <c:ext xmlns:c16="http://schemas.microsoft.com/office/drawing/2014/chart" uri="{C3380CC4-5D6E-409C-BE32-E72D297353CC}">
              <c16:uniqueId val="{00000000-0184-45D4-BCE0-713701CE0F77}"/>
            </c:ext>
          </c:extLst>
        </c:ser>
        <c:ser>
          <c:idx val="0"/>
          <c:order val="1"/>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Data'!$J$2:$J$15</c:f>
              <c:numCache>
                <c:formatCode>0.0</c:formatCode>
                <c:ptCount val="14"/>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numCache>
            </c:numRef>
          </c:xVal>
          <c:yVal>
            <c:numRef>
              <c:f>'Comp Data'!$G$2:$G$15</c:f>
              <c:numCache>
                <c:formatCode>0.00</c:formatCode>
                <c:ptCount val="14"/>
                <c:pt idx="0">
                  <c:v>30.480370641306997</c:v>
                </c:pt>
                <c:pt idx="1">
                  <c:v>50.15</c:v>
                </c:pt>
                <c:pt idx="3" formatCode="0.0">
                  <c:v>56.083881980004897</c:v>
                </c:pt>
                <c:pt idx="4">
                  <c:v>50.170690075591317</c:v>
                </c:pt>
                <c:pt idx="6">
                  <c:v>56.083881980004897</c:v>
                </c:pt>
                <c:pt idx="9">
                  <c:v>58.034625701048498</c:v>
                </c:pt>
                <c:pt idx="10">
                  <c:v>57.912704218483299</c:v>
                </c:pt>
                <c:pt idx="11">
                  <c:v>57.912704218483299</c:v>
                </c:pt>
                <c:pt idx="13" formatCode="0.0">
                  <c:v>61.692270178005401</c:v>
                </c:pt>
              </c:numCache>
            </c:numRef>
          </c:yVal>
          <c:smooth val="0"/>
          <c:extLst>
            <c:ext xmlns:c16="http://schemas.microsoft.com/office/drawing/2014/chart" uri="{C3380CC4-5D6E-409C-BE32-E72D297353CC}">
              <c16:uniqueId val="{00000001-0184-45D4-BCE0-713701CE0F77}"/>
            </c:ext>
          </c:extLst>
        </c:ser>
        <c:ser>
          <c:idx val="1"/>
          <c:order val="2"/>
          <c:tx>
            <c:v>OPV</c:v>
          </c:tx>
          <c:spPr>
            <a:ln w="19050" cap="rnd">
              <a:noFill/>
              <a:round/>
            </a:ln>
            <a:effectLst/>
          </c:spPr>
          <c:marker>
            <c:symbol val="circle"/>
            <c:size val="5"/>
            <c:spPr>
              <a:solidFill>
                <a:srgbClr val="FF0000"/>
              </a:solidFill>
              <a:ln w="9525">
                <a:solidFill>
                  <a:srgbClr val="FF0000"/>
                </a:solidFill>
              </a:ln>
              <a:effectLst/>
            </c:spPr>
          </c:marker>
          <c:xVal>
            <c:numRef>
              <c:f>'Comp Data'!$J$17:$J$29</c:f>
              <c:numCache>
                <c:formatCode>0.0</c:formatCode>
                <c:ptCount val="13"/>
                <c:pt idx="0">
                  <c:v>54</c:v>
                </c:pt>
                <c:pt idx="1">
                  <c:v>63</c:v>
                </c:pt>
                <c:pt idx="2">
                  <c:v>67</c:v>
                </c:pt>
                <c:pt idx="3">
                  <c:v>72</c:v>
                </c:pt>
                <c:pt idx="4">
                  <c:v>77.7</c:v>
                </c:pt>
                <c:pt idx="5">
                  <c:v>77.7</c:v>
                </c:pt>
                <c:pt idx="6">
                  <c:v>94</c:v>
                </c:pt>
                <c:pt idx="7">
                  <c:v>39.6244818336991</c:v>
                </c:pt>
                <c:pt idx="8">
                  <c:v>36.561204584247697</c:v>
                </c:pt>
                <c:pt idx="9">
                  <c:v>39.380638868568603</c:v>
                </c:pt>
                <c:pt idx="10">
                  <c:v>77.724945135332803</c:v>
                </c:pt>
                <c:pt idx="11">
                  <c:v>33.528407705437701</c:v>
                </c:pt>
                <c:pt idx="12">
                  <c:v>100.58522311631309</c:v>
                </c:pt>
              </c:numCache>
            </c:numRef>
          </c:xVal>
          <c:yVal>
            <c:numRef>
              <c:f>'Comp Data'!$G$17:$G$29</c:f>
              <c:numCache>
                <c:formatCode>General</c:formatCode>
                <c:ptCount val="13"/>
                <c:pt idx="4" formatCode="0.0">
                  <c:v>81</c:v>
                </c:pt>
                <c:pt idx="5" formatCode="0.0">
                  <c:v>81</c:v>
                </c:pt>
                <c:pt idx="7" formatCode="0.0">
                  <c:v>38.2528651548403</c:v>
                </c:pt>
                <c:pt idx="8" formatCode="0.0">
                  <c:v>40.0694952450622</c:v>
                </c:pt>
                <c:pt idx="9" formatCode="0.0">
                  <c:v>43.7088514996342</c:v>
                </c:pt>
                <c:pt idx="11" formatCode="0.00">
                  <c:v>36.637405510851003</c:v>
                </c:pt>
                <c:pt idx="12" formatCode="0.00">
                  <c:v>106.68129724457449</c:v>
                </c:pt>
              </c:numCache>
            </c:numRef>
          </c:yVal>
          <c:smooth val="0"/>
          <c:extLst>
            <c:ext xmlns:c16="http://schemas.microsoft.com/office/drawing/2014/chart" uri="{C3380CC4-5D6E-409C-BE32-E72D297353CC}">
              <c16:uniqueId val="{00000002-0184-45D4-BCE0-713701CE0F77}"/>
            </c:ext>
          </c:extLst>
        </c:ser>
        <c:ser>
          <c:idx val="2"/>
          <c:order val="3"/>
          <c:tx>
            <c:v>MCM</c:v>
          </c:tx>
          <c:spPr>
            <a:ln w="19050" cap="rnd">
              <a:noFill/>
              <a:round/>
            </a:ln>
            <a:effectLst/>
          </c:spPr>
          <c:marker>
            <c:symbol val="square"/>
            <c:size val="5"/>
            <c:spPr>
              <a:solidFill>
                <a:srgbClr val="FFC000"/>
              </a:solidFill>
              <a:ln w="9525">
                <a:solidFill>
                  <a:srgbClr val="FFC000"/>
                </a:solidFill>
              </a:ln>
              <a:effectLst/>
            </c:spPr>
          </c:marker>
          <c:xVal>
            <c:numRef>
              <c:f>'Comp Data'!$J$31:$J$38</c:f>
              <c:numCache>
                <c:formatCode>0.0</c:formatCode>
                <c:ptCount val="8"/>
                <c:pt idx="0">
                  <c:v>43.2</c:v>
                </c:pt>
                <c:pt idx="1">
                  <c:v>45.5</c:v>
                </c:pt>
                <c:pt idx="2">
                  <c:v>47.1</c:v>
                </c:pt>
                <c:pt idx="3">
                  <c:v>50</c:v>
                </c:pt>
                <c:pt idx="4">
                  <c:v>51</c:v>
                </c:pt>
                <c:pt idx="5">
                  <c:v>53.1</c:v>
                </c:pt>
                <c:pt idx="6">
                  <c:v>57</c:v>
                </c:pt>
                <c:pt idx="7">
                  <c:v>65.099999999999994</c:v>
                </c:pt>
              </c:numCache>
            </c:numRef>
          </c:xVal>
          <c:yVal>
            <c:numRef>
              <c:f>'Comp Data'!$G$31:$G$38</c:f>
              <c:numCache>
                <c:formatCode>General</c:formatCode>
                <c:ptCount val="8"/>
                <c:pt idx="0">
                  <c:v>47.5</c:v>
                </c:pt>
                <c:pt idx="1">
                  <c:v>50</c:v>
                </c:pt>
                <c:pt idx="2">
                  <c:v>51.5</c:v>
                </c:pt>
                <c:pt idx="3">
                  <c:v>52.5</c:v>
                </c:pt>
                <c:pt idx="4">
                  <c:v>54.4</c:v>
                </c:pt>
                <c:pt idx="5">
                  <c:v>57.7</c:v>
                </c:pt>
                <c:pt idx="6">
                  <c:v>60</c:v>
                </c:pt>
                <c:pt idx="7">
                  <c:v>68.400000000000006</c:v>
                </c:pt>
              </c:numCache>
            </c:numRef>
          </c:yVal>
          <c:smooth val="0"/>
          <c:extLst>
            <c:ext xmlns:c16="http://schemas.microsoft.com/office/drawing/2014/chart" uri="{C3380CC4-5D6E-409C-BE32-E72D297353CC}">
              <c16:uniqueId val="{00000003-0184-45D4-BCE0-713701CE0F77}"/>
            </c:ext>
          </c:extLst>
        </c:ser>
        <c:ser>
          <c:idx val="3"/>
          <c:order val="4"/>
          <c:tx>
            <c:v>FF</c:v>
          </c:tx>
          <c:spPr>
            <a:ln w="19050" cap="rnd">
              <a:noFill/>
              <a:round/>
            </a:ln>
            <a:effectLst/>
          </c:spPr>
          <c:marker>
            <c:symbol val="square"/>
            <c:size val="6"/>
            <c:spPr>
              <a:solidFill>
                <a:schemeClr val="bg1">
                  <a:lumMod val="65000"/>
                </a:schemeClr>
              </a:solidFill>
              <a:ln w="9525">
                <a:solidFill>
                  <a:schemeClr val="bg1">
                    <a:lumMod val="65000"/>
                  </a:schemeClr>
                </a:solidFill>
              </a:ln>
              <a:effectLst/>
            </c:spPr>
          </c:marker>
          <c:xVal>
            <c:numRef>
              <c:f>'Comp Data'!$J$40:$J$51</c:f>
              <c:numCache>
                <c:formatCode>0.0</c:formatCode>
                <c:ptCount val="12"/>
                <c:pt idx="0">
                  <c:v>63.399170933918597</c:v>
                </c:pt>
                <c:pt idx="1">
                  <c:v>63.399170933918597</c:v>
                </c:pt>
                <c:pt idx="2">
                  <c:v>67.056815410875402</c:v>
                </c:pt>
                <c:pt idx="3">
                  <c:v>70.104852475006098</c:v>
                </c:pt>
                <c:pt idx="4">
                  <c:v>79.248963667398201</c:v>
                </c:pt>
                <c:pt idx="5">
                  <c:v>79.248963667398201</c:v>
                </c:pt>
                <c:pt idx="6">
                  <c:v>84.122774932943202</c:v>
                </c:pt>
                <c:pt idx="7">
                  <c:v>85.619361131431305</c:v>
                </c:pt>
                <c:pt idx="8">
                  <c:v>85.619361131431305</c:v>
                </c:pt>
                <c:pt idx="9">
                  <c:v>88</c:v>
                </c:pt>
                <c:pt idx="10">
                  <c:v>91.745915630334096</c:v>
                </c:pt>
                <c:pt idx="11">
                  <c:v>99.5</c:v>
                </c:pt>
              </c:numCache>
            </c:numRef>
          </c:xVal>
          <c:yVal>
            <c:numRef>
              <c:f>'Comp Data'!$G$40:$G$51</c:f>
              <c:numCache>
                <c:formatCode>0.00</c:formatCode>
                <c:ptCount val="12"/>
                <c:pt idx="2">
                  <c:v>71.324067300658399</c:v>
                </c:pt>
                <c:pt idx="11" formatCode="0.0">
                  <c:v>106.29</c:v>
                </c:pt>
              </c:numCache>
            </c:numRef>
          </c:yVal>
          <c:smooth val="0"/>
          <c:extLst>
            <c:ext xmlns:c16="http://schemas.microsoft.com/office/drawing/2014/chart" uri="{C3380CC4-5D6E-409C-BE32-E72D297353CC}">
              <c16:uniqueId val="{00000004-0184-45D4-BCE0-713701CE0F77}"/>
            </c:ext>
          </c:extLst>
        </c:ser>
        <c:ser>
          <c:idx val="5"/>
          <c:order val="5"/>
          <c:tx>
            <c:v>Design</c:v>
          </c:tx>
          <c:spPr>
            <a:ln w="19050" cap="rnd">
              <a:noFill/>
              <a:round/>
            </a:ln>
            <a:effectLst/>
          </c:spPr>
          <c:marker>
            <c:symbol val="plus"/>
            <c:size val="13"/>
            <c:spPr>
              <a:noFill/>
              <a:ln w="31750" cmpd="sng">
                <a:solidFill>
                  <a:srgbClr val="00B050"/>
                </a:solidFill>
                <a:prstDash val="solid"/>
              </a:ln>
              <a:effectLst/>
            </c:spPr>
          </c:marker>
          <c:xVal>
            <c:numRef>
              <c:f>Inputs!$C$6</c:f>
              <c:numCache>
                <c:formatCode>General</c:formatCode>
                <c:ptCount val="1"/>
                <c:pt idx="0">
                  <c:v>131</c:v>
                </c:pt>
              </c:numCache>
            </c:numRef>
          </c:xVal>
          <c:yVal>
            <c:numRef>
              <c:f>Inputs!$C$5</c:f>
              <c:numCache>
                <c:formatCode>General</c:formatCode>
                <c:ptCount val="1"/>
                <c:pt idx="0">
                  <c:v>137.62</c:v>
                </c:pt>
              </c:numCache>
            </c:numRef>
          </c:yVal>
          <c:smooth val="0"/>
          <c:extLst>
            <c:ext xmlns:c16="http://schemas.microsoft.com/office/drawing/2014/chart" uri="{C3380CC4-5D6E-409C-BE32-E72D297353CC}">
              <c16:uniqueId val="{00000005-0184-45D4-BCE0-713701CE0F77}"/>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LBP (m)</a:t>
                </a:r>
              </a:p>
            </c:rich>
          </c:tx>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Loa (m)</a:t>
                </a:r>
              </a:p>
            </c:rich>
          </c:tx>
          <c:overlay val="0"/>
          <c:spPr>
            <a:noFill/>
            <a:ln>
              <a:noFill/>
            </a:ln>
            <a:effectLst/>
          </c:spPr>
          <c:txPr>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9050">
          <a:solidFill>
            <a:schemeClr val="tx1"/>
          </a:solidFill>
        </a:ln>
        <a:effectLst/>
      </c:spPr>
    </c:plotArea>
    <c:legend>
      <c:legendPos val="t"/>
      <c:legendEntry>
        <c:idx val="0"/>
        <c:delete val="1"/>
      </c:legendEntry>
      <c:overlay val="0"/>
      <c:spPr>
        <a:noFill/>
        <a:ln>
          <a:noFill/>
        </a:ln>
        <a:effectLst/>
      </c:spPr>
      <c:txPr>
        <a:bodyPr rot="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Length/Draft vs Displacement</a:t>
            </a:r>
          </a:p>
        </c:rich>
      </c:tx>
      <c:layout>
        <c:manualLayout>
          <c:xMode val="edge"/>
          <c:yMode val="edge"/>
          <c:x val="0.37180910099889014"/>
          <c:y val="1.9575856443719411E-2"/>
        </c:manualLayout>
      </c:layout>
      <c:overlay val="0"/>
      <c:spPr>
        <a:noFill/>
        <a:ln w="25400">
          <a:noFill/>
        </a:ln>
      </c:spPr>
    </c:title>
    <c:autoTitleDeleted val="0"/>
    <c:plotArea>
      <c:layout>
        <c:manualLayout>
          <c:layoutTarget val="inner"/>
          <c:xMode val="edge"/>
          <c:yMode val="edge"/>
          <c:x val="6.8812430632630414E-2"/>
          <c:y val="7.177814029363784E-2"/>
          <c:w val="0.68923418423973359"/>
          <c:h val="0.82218597063621535"/>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013362623983732"/>
                  <c:y val="2.012434281265929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Stats'!$S$5:$S$276</c:f>
              <c:numCache>
                <c:formatCode>0.00</c:formatCode>
                <c:ptCount val="272"/>
                <c:pt idx="0">
                  <c:v>22.636363636363633</c:v>
                </c:pt>
                <c:pt idx="1">
                  <c:v>23.80952380952381</c:v>
                </c:pt>
                <c:pt idx="2">
                  <c:v>23.304347826086957</c:v>
                </c:pt>
                <c:pt idx="3">
                  <c:v>28.5</c:v>
                </c:pt>
                <c:pt idx="4">
                  <c:v>15.867768595041323</c:v>
                </c:pt>
                <c:pt idx="5">
                  <c:v>22.44</c:v>
                </c:pt>
                <c:pt idx="6">
                  <c:v>22.461538461538463</c:v>
                </c:pt>
                <c:pt idx="7">
                  <c:v>20.129032258064516</c:v>
                </c:pt>
                <c:pt idx="8">
                  <c:v>20.833333333333336</c:v>
                </c:pt>
                <c:pt idx="9">
                  <c:v>27.777777777777779</c:v>
                </c:pt>
                <c:pt idx="10">
                  <c:v>20.76923076923077</c:v>
                </c:pt>
                <c:pt idx="11">
                  <c:v>20.76923076923077</c:v>
                </c:pt>
                <c:pt idx="12">
                  <c:v>19.615384615384617</c:v>
                </c:pt>
                <c:pt idx="13">
                  <c:v>15.238095238095239</c:v>
                </c:pt>
                <c:pt idx="14">
                  <c:v>20.333333333333332</c:v>
                </c:pt>
                <c:pt idx="15">
                  <c:v>22.823529411764703</c:v>
                </c:pt>
                <c:pt idx="16">
                  <c:v>22.823529411764703</c:v>
                </c:pt>
                <c:pt idx="17">
                  <c:v>22.823529411764703</c:v>
                </c:pt>
                <c:pt idx="18">
                  <c:v>24.249999999999996</c:v>
                </c:pt>
                <c:pt idx="19">
                  <c:v>13.913043478260869</c:v>
                </c:pt>
                <c:pt idx="20">
                  <c:v>13.708333333333334</c:v>
                </c:pt>
                <c:pt idx="21">
                  <c:v>21.764705882352938</c:v>
                </c:pt>
                <c:pt idx="22">
                  <c:v>25.624999999999996</c:v>
                </c:pt>
                <c:pt idx="23">
                  <c:v>20.277777777777775</c:v>
                </c:pt>
                <c:pt idx="24">
                  <c:v>22.105263157894736</c:v>
                </c:pt>
                <c:pt idx="25">
                  <c:v>20.5</c:v>
                </c:pt>
                <c:pt idx="26">
                  <c:v>23.133333333333333</c:v>
                </c:pt>
                <c:pt idx="27">
                  <c:v>24.87096774193548</c:v>
                </c:pt>
                <c:pt idx="28">
                  <c:v>21.666666666666664</c:v>
                </c:pt>
                <c:pt idx="29">
                  <c:v>17.708333333333332</c:v>
                </c:pt>
                <c:pt idx="30">
                  <c:v>17.645569620253166</c:v>
                </c:pt>
                <c:pt idx="31">
                  <c:v>17.708333333333332</c:v>
                </c:pt>
                <c:pt idx="32">
                  <c:v>14.296296296296296</c:v>
                </c:pt>
                <c:pt idx="33">
                  <c:v>14.296296296296296</c:v>
                </c:pt>
                <c:pt idx="34">
                  <c:v>14.296296296296296</c:v>
                </c:pt>
                <c:pt idx="35">
                  <c:v>14.296296296296296</c:v>
                </c:pt>
                <c:pt idx="36">
                  <c:v>20.5</c:v>
                </c:pt>
                <c:pt idx="37">
                  <c:v>14.296296296296296</c:v>
                </c:pt>
                <c:pt idx="38">
                  <c:v>14.296296296296296</c:v>
                </c:pt>
                <c:pt idx="39">
                  <c:v>26.764705882352938</c:v>
                </c:pt>
                <c:pt idx="40">
                  <c:v>20.444444444444443</c:v>
                </c:pt>
                <c:pt idx="41">
                  <c:v>17.315789473684209</c:v>
                </c:pt>
                <c:pt idx="42">
                  <c:v>18.166666666666671</c:v>
                </c:pt>
                <c:pt idx="43">
                  <c:v>17.96</c:v>
                </c:pt>
                <c:pt idx="44">
                  <c:v>17.27586206896552</c:v>
                </c:pt>
                <c:pt idx="45">
                  <c:v>15.76</c:v>
                </c:pt>
                <c:pt idx="46">
                  <c:v>17.96</c:v>
                </c:pt>
                <c:pt idx="47">
                  <c:v>18.8</c:v>
                </c:pt>
                <c:pt idx="48">
                  <c:v>18</c:v>
                </c:pt>
                <c:pt idx="49">
                  <c:v>19.521739130434781</c:v>
                </c:pt>
                <c:pt idx="50">
                  <c:v>17.96</c:v>
                </c:pt>
                <c:pt idx="51">
                  <c:v>17.96</c:v>
                </c:pt>
                <c:pt idx="52">
                  <c:v>17.307692307692307</c:v>
                </c:pt>
                <c:pt idx="53">
                  <c:v>20.458333333333336</c:v>
                </c:pt>
                <c:pt idx="54">
                  <c:v>20.409090909090907</c:v>
                </c:pt>
                <c:pt idx="55">
                  <c:v>12.051282051282049</c:v>
                </c:pt>
                <c:pt idx="56">
                  <c:v>17.407407407407405</c:v>
                </c:pt>
                <c:pt idx="57">
                  <c:v>17.325842696629213</c:v>
                </c:pt>
                <c:pt idx="58">
                  <c:v>17.407407407407405</c:v>
                </c:pt>
                <c:pt idx="59">
                  <c:v>17.407407407407405</c:v>
                </c:pt>
                <c:pt idx="60">
                  <c:v>18.708333333333332</c:v>
                </c:pt>
                <c:pt idx="61">
                  <c:v>18.517241379310349</c:v>
                </c:pt>
                <c:pt idx="62">
                  <c:v>19.739130434782609</c:v>
                </c:pt>
                <c:pt idx="63">
                  <c:v>16.629629629629626</c:v>
                </c:pt>
                <c:pt idx="64">
                  <c:v>21.826086956521742</c:v>
                </c:pt>
                <c:pt idx="65">
                  <c:v>17.31034482758621</c:v>
                </c:pt>
                <c:pt idx="66">
                  <c:v>21.652173913043477</c:v>
                </c:pt>
                <c:pt idx="67">
                  <c:v>24.736842105263154</c:v>
                </c:pt>
                <c:pt idx="68">
                  <c:v>24.500000000000004</c:v>
                </c:pt>
                <c:pt idx="69">
                  <c:v>28.3</c:v>
                </c:pt>
                <c:pt idx="70">
                  <c:v>13.857142857142858</c:v>
                </c:pt>
                <c:pt idx="71">
                  <c:v>20.750000000000004</c:v>
                </c:pt>
                <c:pt idx="72">
                  <c:v>22.153846153846157</c:v>
                </c:pt>
                <c:pt idx="73">
                  <c:v>26.727272727272727</c:v>
                </c:pt>
                <c:pt idx="74">
                  <c:v>22.346153846153847</c:v>
                </c:pt>
                <c:pt idx="75">
                  <c:v>23.625000000000004</c:v>
                </c:pt>
                <c:pt idx="76">
                  <c:v>25.454545454545453</c:v>
                </c:pt>
                <c:pt idx="77">
                  <c:v>25.454545454545453</c:v>
                </c:pt>
                <c:pt idx="78">
                  <c:v>26.761904761904763</c:v>
                </c:pt>
                <c:pt idx="79">
                  <c:v>21.518518518518515</c:v>
                </c:pt>
                <c:pt idx="80">
                  <c:v>26.761904761904763</c:v>
                </c:pt>
                <c:pt idx="81">
                  <c:v>23.625000000000004</c:v>
                </c:pt>
                <c:pt idx="82">
                  <c:v>25.916666666666668</c:v>
                </c:pt>
                <c:pt idx="83">
                  <c:v>21.407407407407401</c:v>
                </c:pt>
                <c:pt idx="84">
                  <c:v>21.518518518518515</c:v>
                </c:pt>
                <c:pt idx="85">
                  <c:v>24.166666666666668</c:v>
                </c:pt>
                <c:pt idx="86">
                  <c:v>13.422222222222222</c:v>
                </c:pt>
                <c:pt idx="87">
                  <c:v>26.166666666666668</c:v>
                </c:pt>
                <c:pt idx="88">
                  <c:v>26.166666666666668</c:v>
                </c:pt>
                <c:pt idx="89">
                  <c:v>26.166666666666668</c:v>
                </c:pt>
                <c:pt idx="90">
                  <c:v>24.680000000000003</c:v>
                </c:pt>
                <c:pt idx="91">
                  <c:v>24.680000000000003</c:v>
                </c:pt>
                <c:pt idx="92">
                  <c:v>24</c:v>
                </c:pt>
                <c:pt idx="93">
                  <c:v>23.846153846153847</c:v>
                </c:pt>
                <c:pt idx="94">
                  <c:v>21.529411764705884</c:v>
                </c:pt>
                <c:pt idx="95">
                  <c:v>17.499999999999996</c:v>
                </c:pt>
                <c:pt idx="96">
                  <c:v>14.296296296296296</c:v>
                </c:pt>
                <c:pt idx="97">
                  <c:v>18.166666666666671</c:v>
                </c:pt>
                <c:pt idx="98">
                  <c:v>14.296296296296296</c:v>
                </c:pt>
                <c:pt idx="99">
                  <c:v>32</c:v>
                </c:pt>
                <c:pt idx="100">
                  <c:v>25.4</c:v>
                </c:pt>
                <c:pt idx="101">
                  <c:v>14.999999999999998</c:v>
                </c:pt>
                <c:pt idx="102">
                  <c:v>22.608695652173914</c:v>
                </c:pt>
                <c:pt idx="103">
                  <c:v>26.727272727272727</c:v>
                </c:pt>
                <c:pt idx="104">
                  <c:v>22.153846153846157</c:v>
                </c:pt>
                <c:pt idx="105">
                  <c:v>24.166666666666668</c:v>
                </c:pt>
                <c:pt idx="106">
                  <c:v>27.250000000000004</c:v>
                </c:pt>
                <c:pt idx="107">
                  <c:v>24.615384615384617</c:v>
                </c:pt>
                <c:pt idx="108">
                  <c:v>16.137931034482758</c:v>
                </c:pt>
                <c:pt idx="109">
                  <c:v>14.727272727272727</c:v>
                </c:pt>
                <c:pt idx="110">
                  <c:v>16.984126984126984</c:v>
                </c:pt>
                <c:pt idx="111">
                  <c:v>20.833333333333336</c:v>
                </c:pt>
                <c:pt idx="112">
                  <c:v>20.000000000000004</c:v>
                </c:pt>
                <c:pt idx="113">
                  <c:v>16.666666666666668</c:v>
                </c:pt>
                <c:pt idx="114">
                  <c:v>13.7</c:v>
                </c:pt>
                <c:pt idx="115">
                  <c:v>11.77272727272727</c:v>
                </c:pt>
                <c:pt idx="116">
                  <c:v>22.500000000000004</c:v>
                </c:pt>
                <c:pt idx="117">
                  <c:v>19.285714285714288</c:v>
                </c:pt>
                <c:pt idx="118">
                  <c:v>22.727272727272727</c:v>
                </c:pt>
                <c:pt idx="119">
                  <c:v>17.266666666666662</c:v>
                </c:pt>
                <c:pt idx="120">
                  <c:v>16.666666666666668</c:v>
                </c:pt>
                <c:pt idx="121">
                  <c:v>14.055555555555555</c:v>
                </c:pt>
                <c:pt idx="122">
                  <c:v>14.055555555555555</c:v>
                </c:pt>
                <c:pt idx="123">
                  <c:v>14.055555555555555</c:v>
                </c:pt>
                <c:pt idx="124">
                  <c:v>21</c:v>
                </c:pt>
                <c:pt idx="125">
                  <c:v>20.642857142857142</c:v>
                </c:pt>
                <c:pt idx="126">
                  <c:v>15.625</c:v>
                </c:pt>
                <c:pt idx="127">
                  <c:v>13.636363636363635</c:v>
                </c:pt>
                <c:pt idx="128">
                  <c:v>15.41176470588235</c:v>
                </c:pt>
                <c:pt idx="129">
                  <c:v>17.058823529411764</c:v>
                </c:pt>
                <c:pt idx="130">
                  <c:v>18.75</c:v>
                </c:pt>
                <c:pt idx="131">
                  <c:v>16.842105263157894</c:v>
                </c:pt>
                <c:pt idx="132">
                  <c:v>16.5625</c:v>
                </c:pt>
                <c:pt idx="133">
                  <c:v>17.222222222222221</c:v>
                </c:pt>
                <c:pt idx="134">
                  <c:v>17.058823529411764</c:v>
                </c:pt>
                <c:pt idx="135">
                  <c:v>12.454545454545451</c:v>
                </c:pt>
                <c:pt idx="136">
                  <c:v>15.238095238095239</c:v>
                </c:pt>
                <c:pt idx="137">
                  <c:v>21</c:v>
                </c:pt>
                <c:pt idx="138">
                  <c:v>18.611111111111111</c:v>
                </c:pt>
                <c:pt idx="139">
                  <c:v>19.428571428571431</c:v>
                </c:pt>
                <c:pt idx="140">
                  <c:v>15.38095238095238</c:v>
                </c:pt>
                <c:pt idx="141">
                  <c:v>14.722222222222223</c:v>
                </c:pt>
                <c:pt idx="142">
                  <c:v>20.714285714285715</c:v>
                </c:pt>
                <c:pt idx="143">
                  <c:v>15.263157894736842</c:v>
                </c:pt>
                <c:pt idx="144">
                  <c:v>18.470588235294116</c:v>
                </c:pt>
                <c:pt idx="145">
                  <c:v>15.315789473684211</c:v>
                </c:pt>
                <c:pt idx="146">
                  <c:v>17.444444444444443</c:v>
                </c:pt>
                <c:pt idx="147">
                  <c:v>14.449999999999998</c:v>
                </c:pt>
                <c:pt idx="148">
                  <c:v>14.449999999999998</c:v>
                </c:pt>
                <c:pt idx="149">
                  <c:v>17.833333333333332</c:v>
                </c:pt>
                <c:pt idx="150">
                  <c:v>16.75</c:v>
                </c:pt>
                <c:pt idx="151">
                  <c:v>20.333333333333332</c:v>
                </c:pt>
                <c:pt idx="152">
                  <c:v>14.285714285714286</c:v>
                </c:pt>
                <c:pt idx="153">
                  <c:v>18.93333333333333</c:v>
                </c:pt>
                <c:pt idx="154">
                  <c:v>27.749999999999996</c:v>
                </c:pt>
                <c:pt idx="155">
                  <c:v>14.5</c:v>
                </c:pt>
                <c:pt idx="156">
                  <c:v>20.333333333333332</c:v>
                </c:pt>
                <c:pt idx="157">
                  <c:v>16.75</c:v>
                </c:pt>
                <c:pt idx="158">
                  <c:v>20.666666666666664</c:v>
                </c:pt>
                <c:pt idx="159">
                  <c:v>15.714285714285714</c:v>
                </c:pt>
                <c:pt idx="160">
                  <c:v>26.923076923076923</c:v>
                </c:pt>
                <c:pt idx="161">
                  <c:v>20</c:v>
                </c:pt>
                <c:pt idx="162">
                  <c:v>15.523809523809524</c:v>
                </c:pt>
                <c:pt idx="163">
                  <c:v>15</c:v>
                </c:pt>
                <c:pt idx="164">
                  <c:v>26.923076923076923</c:v>
                </c:pt>
                <c:pt idx="165">
                  <c:v>15.523809523809524</c:v>
                </c:pt>
                <c:pt idx="166">
                  <c:v>28.875</c:v>
                </c:pt>
                <c:pt idx="167">
                  <c:v>14.272727272727272</c:v>
                </c:pt>
                <c:pt idx="168">
                  <c:v>20.222222222222221</c:v>
                </c:pt>
                <c:pt idx="169">
                  <c:v>19.444444444444443</c:v>
                </c:pt>
                <c:pt idx="170">
                  <c:v>16.55</c:v>
                </c:pt>
                <c:pt idx="171">
                  <c:v>16.428571428571427</c:v>
                </c:pt>
                <c:pt idx="172">
                  <c:v>20.599999999999998</c:v>
                </c:pt>
                <c:pt idx="173">
                  <c:v>20.599999999999998</c:v>
                </c:pt>
                <c:pt idx="174">
                  <c:v>15.521739130434785</c:v>
                </c:pt>
                <c:pt idx="175">
                  <c:v>24.333333333333329</c:v>
                </c:pt>
                <c:pt idx="176">
                  <c:v>20.277777777777775</c:v>
                </c:pt>
                <c:pt idx="177">
                  <c:v>16.857142857142858</c:v>
                </c:pt>
                <c:pt idx="178">
                  <c:v>17.777777777777779</c:v>
                </c:pt>
                <c:pt idx="179">
                  <c:v>19.05263157894737</c:v>
                </c:pt>
                <c:pt idx="180">
                  <c:v>14.909090909090905</c:v>
                </c:pt>
                <c:pt idx="181">
                  <c:v>25.249999999999996</c:v>
                </c:pt>
                <c:pt idx="182">
                  <c:v>15.636363636363635</c:v>
                </c:pt>
                <c:pt idx="183">
                  <c:v>15.75</c:v>
                </c:pt>
                <c:pt idx="184">
                  <c:v>9.1428571428571441</c:v>
                </c:pt>
                <c:pt idx="185">
                  <c:v>22.058823529411764</c:v>
                </c:pt>
                <c:pt idx="186">
                  <c:v>15</c:v>
                </c:pt>
                <c:pt idx="187">
                  <c:v>15</c:v>
                </c:pt>
                <c:pt idx="188">
                  <c:v>15</c:v>
                </c:pt>
                <c:pt idx="189">
                  <c:v>15.227272727272725</c:v>
                </c:pt>
                <c:pt idx="190">
                  <c:v>20.375</c:v>
                </c:pt>
                <c:pt idx="191">
                  <c:v>23.333333333333332</c:v>
                </c:pt>
                <c:pt idx="192">
                  <c:v>23.647058823529413</c:v>
                </c:pt>
                <c:pt idx="193">
                  <c:v>16.400000000000002</c:v>
                </c:pt>
                <c:pt idx="194">
                  <c:v>23.647058823529413</c:v>
                </c:pt>
                <c:pt idx="195">
                  <c:v>22.941176470588232</c:v>
                </c:pt>
                <c:pt idx="196">
                  <c:v>15.714285714285714</c:v>
                </c:pt>
                <c:pt idx="197">
                  <c:v>11.533333333333331</c:v>
                </c:pt>
                <c:pt idx="198">
                  <c:v>19.240000000000002</c:v>
                </c:pt>
                <c:pt idx="199">
                  <c:v>16.238095238095237</c:v>
                </c:pt>
                <c:pt idx="200">
                  <c:v>18.75</c:v>
                </c:pt>
                <c:pt idx="201">
                  <c:v>17.416666666666668</c:v>
                </c:pt>
                <c:pt idx="202">
                  <c:v>23.944444444444446</c:v>
                </c:pt>
                <c:pt idx="203">
                  <c:v>18.5</c:v>
                </c:pt>
                <c:pt idx="204">
                  <c:v>25.196428571428573</c:v>
                </c:pt>
                <c:pt idx="205">
                  <c:v>23.64365971107544</c:v>
                </c:pt>
                <c:pt idx="206">
                  <c:v>22.882352941176467</c:v>
                </c:pt>
                <c:pt idx="207">
                  <c:v>22.058823529411764</c:v>
                </c:pt>
                <c:pt idx="208">
                  <c:v>20.833333333333332</c:v>
                </c:pt>
                <c:pt idx="209">
                  <c:v>20.315789473684212</c:v>
                </c:pt>
                <c:pt idx="210">
                  <c:v>25.374999999999996</c:v>
                </c:pt>
                <c:pt idx="211">
                  <c:v>19.263157894736842</c:v>
                </c:pt>
                <c:pt idx="212">
                  <c:v>19.894736842105264</c:v>
                </c:pt>
                <c:pt idx="213">
                  <c:v>15.76</c:v>
                </c:pt>
                <c:pt idx="214">
                  <c:v>25.419999999999995</c:v>
                </c:pt>
                <c:pt idx="215">
                  <c:v>19.739130434782609</c:v>
                </c:pt>
                <c:pt idx="216">
                  <c:v>27.76923076923077</c:v>
                </c:pt>
                <c:pt idx="217">
                  <c:v>18.166666666666671</c:v>
                </c:pt>
                <c:pt idx="218">
                  <c:v>23.222222222222221</c:v>
                </c:pt>
                <c:pt idx="219">
                  <c:v>23.333333333333332</c:v>
                </c:pt>
                <c:pt idx="220">
                  <c:v>20.869565217391308</c:v>
                </c:pt>
                <c:pt idx="221">
                  <c:v>20.869565217391308</c:v>
                </c:pt>
                <c:pt idx="222">
                  <c:v>19.64</c:v>
                </c:pt>
                <c:pt idx="223">
                  <c:v>23.909090909090914</c:v>
                </c:pt>
                <c:pt idx="224">
                  <c:v>18.414634146341466</c:v>
                </c:pt>
                <c:pt idx="225">
                  <c:v>20.217391304347824</c:v>
                </c:pt>
                <c:pt idx="226">
                  <c:v>20.217391304347824</c:v>
                </c:pt>
                <c:pt idx="227">
                  <c:v>19.296296296296294</c:v>
                </c:pt>
                <c:pt idx="228">
                  <c:v>27.833333333333336</c:v>
                </c:pt>
                <c:pt idx="229">
                  <c:v>29.333333333333329</c:v>
                </c:pt>
                <c:pt idx="230">
                  <c:v>19.999999999999996</c:v>
                </c:pt>
                <c:pt idx="231">
                  <c:v>24.338709677419356</c:v>
                </c:pt>
                <c:pt idx="232">
                  <c:v>17.759999999999998</c:v>
                </c:pt>
                <c:pt idx="233">
                  <c:v>18.952380952380953</c:v>
                </c:pt>
                <c:pt idx="234">
                  <c:v>21.625</c:v>
                </c:pt>
                <c:pt idx="235">
                  <c:v>19.285714285714288</c:v>
                </c:pt>
                <c:pt idx="236">
                  <c:v>23.30769230769231</c:v>
                </c:pt>
                <c:pt idx="237">
                  <c:v>26.727272727272727</c:v>
                </c:pt>
                <c:pt idx="238">
                  <c:v>29.400000000000002</c:v>
                </c:pt>
                <c:pt idx="239">
                  <c:v>27.380952380952383</c:v>
                </c:pt>
                <c:pt idx="240">
                  <c:v>22.52</c:v>
                </c:pt>
                <c:pt idx="241">
                  <c:v>22.52</c:v>
                </c:pt>
                <c:pt idx="242">
                  <c:v>17.467391304347828</c:v>
                </c:pt>
                <c:pt idx="243">
                  <c:v>17.857142857142861</c:v>
                </c:pt>
                <c:pt idx="244">
                  <c:v>29.900000000000002</c:v>
                </c:pt>
                <c:pt idx="245">
                  <c:v>24.909090909090903</c:v>
                </c:pt>
                <c:pt idx="246">
                  <c:v>23.625000000000004</c:v>
                </c:pt>
                <c:pt idx="247">
                  <c:v>13.611111111111112</c:v>
                </c:pt>
                <c:pt idx="248">
                  <c:v>21.8</c:v>
                </c:pt>
                <c:pt idx="249">
                  <c:v>18.955555555555556</c:v>
                </c:pt>
                <c:pt idx="250">
                  <c:v>20.750000000000004</c:v>
                </c:pt>
                <c:pt idx="251">
                  <c:v>21.518518518518515</c:v>
                </c:pt>
                <c:pt idx="252">
                  <c:v>23.625000000000004</c:v>
                </c:pt>
                <c:pt idx="253">
                  <c:v>18.741935483870968</c:v>
                </c:pt>
                <c:pt idx="254">
                  <c:v>21.840000000000003</c:v>
                </c:pt>
                <c:pt idx="255">
                  <c:v>20.750000000000004</c:v>
                </c:pt>
                <c:pt idx="256">
                  <c:v>20.750000000000004</c:v>
                </c:pt>
                <c:pt idx="257">
                  <c:v>20.192307692307693</c:v>
                </c:pt>
                <c:pt idx="258">
                  <c:v>17.121951219512198</c:v>
                </c:pt>
                <c:pt idx="259">
                  <c:v>20.185185185185183</c:v>
                </c:pt>
                <c:pt idx="260">
                  <c:v>21.6</c:v>
                </c:pt>
                <c:pt idx="261">
                  <c:v>20.714285714285715</c:v>
                </c:pt>
                <c:pt idx="262">
                  <c:v>24.680000000000003</c:v>
                </c:pt>
                <c:pt idx="263">
                  <c:v>29.090909090909086</c:v>
                </c:pt>
                <c:pt idx="264">
                  <c:v>29.05</c:v>
                </c:pt>
                <c:pt idx="265">
                  <c:v>20.37037037037037</c:v>
                </c:pt>
                <c:pt idx="266">
                  <c:v>11.232558139534882</c:v>
                </c:pt>
                <c:pt idx="267">
                  <c:v>12.763157894736842</c:v>
                </c:pt>
                <c:pt idx="268">
                  <c:v>12.435897435897436</c:v>
                </c:pt>
                <c:pt idx="269">
                  <c:v>20.925925925925924</c:v>
                </c:pt>
                <c:pt idx="270">
                  <c:v>21.076923076923077</c:v>
                </c:pt>
                <c:pt idx="271">
                  <c:v>21.333333333333332</c:v>
                </c:pt>
              </c:numCache>
            </c:numRef>
          </c:yVal>
          <c:smooth val="1"/>
          <c:extLst>
            <c:ext xmlns:c16="http://schemas.microsoft.com/office/drawing/2014/chart" uri="{C3380CC4-5D6E-409C-BE32-E72D297353CC}">
              <c16:uniqueId val="{00000000-8024-4F03-B5C9-F8440DCCDF8F}"/>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9459664836836721"/>
                  <c:y val="-0.33178614245636495"/>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Stats'!$S$5:$S$12</c:f>
              <c:numCache>
                <c:formatCode>0.00</c:formatCode>
                <c:ptCount val="8"/>
                <c:pt idx="0">
                  <c:v>22.636363636363633</c:v>
                </c:pt>
                <c:pt idx="1">
                  <c:v>23.80952380952381</c:v>
                </c:pt>
                <c:pt idx="2">
                  <c:v>23.304347826086957</c:v>
                </c:pt>
                <c:pt idx="3">
                  <c:v>28.5</c:v>
                </c:pt>
                <c:pt idx="4">
                  <c:v>15.867768595041323</c:v>
                </c:pt>
                <c:pt idx="5">
                  <c:v>22.44</c:v>
                </c:pt>
                <c:pt idx="6">
                  <c:v>22.461538461538463</c:v>
                </c:pt>
                <c:pt idx="7">
                  <c:v>20.129032258064516</c:v>
                </c:pt>
              </c:numCache>
            </c:numRef>
          </c:yVal>
          <c:smooth val="1"/>
          <c:extLst>
            <c:ext xmlns:c16="http://schemas.microsoft.com/office/drawing/2014/chart" uri="{C3380CC4-5D6E-409C-BE32-E72D297353CC}">
              <c16:uniqueId val="{00000001-8024-4F03-B5C9-F8440DCCDF8F}"/>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9989257610588862"/>
                  <c:y val="-0.22290174146172426"/>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Stats'!$S$13:$S$98</c:f>
              <c:numCache>
                <c:formatCode>0.00</c:formatCode>
                <c:ptCount val="86"/>
                <c:pt idx="0">
                  <c:v>20.833333333333336</c:v>
                </c:pt>
                <c:pt idx="1">
                  <c:v>27.777777777777779</c:v>
                </c:pt>
                <c:pt idx="2">
                  <c:v>20.76923076923077</c:v>
                </c:pt>
                <c:pt idx="3">
                  <c:v>20.76923076923077</c:v>
                </c:pt>
                <c:pt idx="4">
                  <c:v>19.615384615384617</c:v>
                </c:pt>
                <c:pt idx="5">
                  <c:v>15.238095238095239</c:v>
                </c:pt>
                <c:pt idx="6">
                  <c:v>20.333333333333332</c:v>
                </c:pt>
                <c:pt idx="7">
                  <c:v>22.823529411764703</c:v>
                </c:pt>
                <c:pt idx="8">
                  <c:v>22.823529411764703</c:v>
                </c:pt>
                <c:pt idx="9">
                  <c:v>22.823529411764703</c:v>
                </c:pt>
                <c:pt idx="10">
                  <c:v>24.249999999999996</c:v>
                </c:pt>
                <c:pt idx="11">
                  <c:v>13.913043478260869</c:v>
                </c:pt>
                <c:pt idx="12">
                  <c:v>13.708333333333334</c:v>
                </c:pt>
                <c:pt idx="13">
                  <c:v>21.764705882352938</c:v>
                </c:pt>
                <c:pt idx="14">
                  <c:v>25.624999999999996</c:v>
                </c:pt>
                <c:pt idx="15">
                  <c:v>20.277777777777775</c:v>
                </c:pt>
                <c:pt idx="16">
                  <c:v>22.105263157894736</c:v>
                </c:pt>
                <c:pt idx="17">
                  <c:v>20.5</c:v>
                </c:pt>
                <c:pt idx="18">
                  <c:v>23.133333333333333</c:v>
                </c:pt>
                <c:pt idx="19">
                  <c:v>24.87096774193548</c:v>
                </c:pt>
                <c:pt idx="20">
                  <c:v>21.666666666666664</c:v>
                </c:pt>
                <c:pt idx="21">
                  <c:v>17.708333333333332</c:v>
                </c:pt>
                <c:pt idx="22">
                  <c:v>17.645569620253166</c:v>
                </c:pt>
                <c:pt idx="23">
                  <c:v>17.708333333333332</c:v>
                </c:pt>
                <c:pt idx="24">
                  <c:v>14.296296296296296</c:v>
                </c:pt>
                <c:pt idx="25">
                  <c:v>14.296296296296296</c:v>
                </c:pt>
                <c:pt idx="26">
                  <c:v>14.296296296296296</c:v>
                </c:pt>
                <c:pt idx="27">
                  <c:v>14.296296296296296</c:v>
                </c:pt>
                <c:pt idx="28">
                  <c:v>20.5</c:v>
                </c:pt>
                <c:pt idx="29">
                  <c:v>14.296296296296296</c:v>
                </c:pt>
                <c:pt idx="30">
                  <c:v>14.296296296296296</c:v>
                </c:pt>
                <c:pt idx="31">
                  <c:v>26.764705882352938</c:v>
                </c:pt>
                <c:pt idx="32">
                  <c:v>20.444444444444443</c:v>
                </c:pt>
                <c:pt idx="33">
                  <c:v>17.315789473684209</c:v>
                </c:pt>
                <c:pt idx="34">
                  <c:v>18.166666666666671</c:v>
                </c:pt>
                <c:pt idx="35">
                  <c:v>17.96</c:v>
                </c:pt>
                <c:pt idx="36">
                  <c:v>17.27586206896552</c:v>
                </c:pt>
                <c:pt idx="37">
                  <c:v>15.76</c:v>
                </c:pt>
                <c:pt idx="38">
                  <c:v>17.96</c:v>
                </c:pt>
                <c:pt idx="39">
                  <c:v>18.8</c:v>
                </c:pt>
                <c:pt idx="40">
                  <c:v>18</c:v>
                </c:pt>
                <c:pt idx="41">
                  <c:v>19.521739130434781</c:v>
                </c:pt>
                <c:pt idx="42">
                  <c:v>17.96</c:v>
                </c:pt>
                <c:pt idx="43">
                  <c:v>17.96</c:v>
                </c:pt>
                <c:pt idx="44">
                  <c:v>17.307692307692307</c:v>
                </c:pt>
                <c:pt idx="45">
                  <c:v>20.458333333333336</c:v>
                </c:pt>
                <c:pt idx="46">
                  <c:v>20.409090909090907</c:v>
                </c:pt>
                <c:pt idx="47">
                  <c:v>12.051282051282049</c:v>
                </c:pt>
                <c:pt idx="48">
                  <c:v>17.407407407407405</c:v>
                </c:pt>
                <c:pt idx="49">
                  <c:v>17.325842696629213</c:v>
                </c:pt>
                <c:pt idx="50">
                  <c:v>17.407407407407405</c:v>
                </c:pt>
                <c:pt idx="51">
                  <c:v>17.407407407407405</c:v>
                </c:pt>
                <c:pt idx="52">
                  <c:v>18.708333333333332</c:v>
                </c:pt>
                <c:pt idx="53">
                  <c:v>18.517241379310349</c:v>
                </c:pt>
                <c:pt idx="54">
                  <c:v>19.739130434782609</c:v>
                </c:pt>
                <c:pt idx="55">
                  <c:v>16.629629629629626</c:v>
                </c:pt>
                <c:pt idx="56">
                  <c:v>21.826086956521742</c:v>
                </c:pt>
                <c:pt idx="57">
                  <c:v>17.31034482758621</c:v>
                </c:pt>
                <c:pt idx="58">
                  <c:v>21.652173913043477</c:v>
                </c:pt>
                <c:pt idx="59">
                  <c:v>24.736842105263154</c:v>
                </c:pt>
                <c:pt idx="60">
                  <c:v>24.500000000000004</c:v>
                </c:pt>
                <c:pt idx="61">
                  <c:v>28.3</c:v>
                </c:pt>
                <c:pt idx="62">
                  <c:v>13.857142857142858</c:v>
                </c:pt>
                <c:pt idx="63">
                  <c:v>20.750000000000004</c:v>
                </c:pt>
                <c:pt idx="64">
                  <c:v>22.153846153846157</c:v>
                </c:pt>
                <c:pt idx="65">
                  <c:v>26.727272727272727</c:v>
                </c:pt>
                <c:pt idx="66">
                  <c:v>22.346153846153847</c:v>
                </c:pt>
                <c:pt idx="67">
                  <c:v>23.625000000000004</c:v>
                </c:pt>
                <c:pt idx="68">
                  <c:v>25.454545454545453</c:v>
                </c:pt>
                <c:pt idx="69">
                  <c:v>25.454545454545453</c:v>
                </c:pt>
                <c:pt idx="70">
                  <c:v>26.761904761904763</c:v>
                </c:pt>
                <c:pt idx="71">
                  <c:v>21.518518518518515</c:v>
                </c:pt>
                <c:pt idx="72">
                  <c:v>26.761904761904763</c:v>
                </c:pt>
                <c:pt idx="73">
                  <c:v>23.625000000000004</c:v>
                </c:pt>
                <c:pt idx="74">
                  <c:v>25.916666666666668</c:v>
                </c:pt>
                <c:pt idx="75">
                  <c:v>21.407407407407401</c:v>
                </c:pt>
                <c:pt idx="76">
                  <c:v>21.518518518518515</c:v>
                </c:pt>
                <c:pt idx="77">
                  <c:v>24.166666666666668</c:v>
                </c:pt>
                <c:pt idx="78">
                  <c:v>13.422222222222222</c:v>
                </c:pt>
                <c:pt idx="79">
                  <c:v>26.166666666666668</c:v>
                </c:pt>
                <c:pt idx="80">
                  <c:v>26.166666666666668</c:v>
                </c:pt>
                <c:pt idx="81">
                  <c:v>26.166666666666668</c:v>
                </c:pt>
                <c:pt idx="82">
                  <c:v>24.680000000000003</c:v>
                </c:pt>
                <c:pt idx="83">
                  <c:v>24.680000000000003</c:v>
                </c:pt>
                <c:pt idx="84">
                  <c:v>24</c:v>
                </c:pt>
                <c:pt idx="85">
                  <c:v>23.846153846153847</c:v>
                </c:pt>
              </c:numCache>
            </c:numRef>
          </c:yVal>
          <c:smooth val="1"/>
          <c:extLst>
            <c:ext xmlns:c16="http://schemas.microsoft.com/office/drawing/2014/chart" uri="{C3380CC4-5D6E-409C-BE32-E72D297353CC}">
              <c16:uniqueId val="{00000002-8024-4F03-B5C9-F8440DCCDF8F}"/>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2286697936704503"/>
                  <c:y val="-2.747798347956798E-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Stats'!$S$99:$S$112</c:f>
              <c:numCache>
                <c:formatCode>0.00</c:formatCode>
                <c:ptCount val="14"/>
                <c:pt idx="0">
                  <c:v>21.529411764705884</c:v>
                </c:pt>
                <c:pt idx="1">
                  <c:v>17.499999999999996</c:v>
                </c:pt>
                <c:pt idx="2">
                  <c:v>14.296296296296296</c:v>
                </c:pt>
                <c:pt idx="3">
                  <c:v>18.166666666666671</c:v>
                </c:pt>
                <c:pt idx="4">
                  <c:v>14.296296296296296</c:v>
                </c:pt>
                <c:pt idx="5">
                  <c:v>32</c:v>
                </c:pt>
                <c:pt idx="6">
                  <c:v>25.4</c:v>
                </c:pt>
                <c:pt idx="7">
                  <c:v>14.999999999999998</c:v>
                </c:pt>
                <c:pt idx="8">
                  <c:v>22.608695652173914</c:v>
                </c:pt>
                <c:pt idx="9">
                  <c:v>26.727272727272727</c:v>
                </c:pt>
                <c:pt idx="10">
                  <c:v>22.153846153846157</c:v>
                </c:pt>
                <c:pt idx="11">
                  <c:v>24.166666666666668</c:v>
                </c:pt>
                <c:pt idx="12">
                  <c:v>27.250000000000004</c:v>
                </c:pt>
                <c:pt idx="13">
                  <c:v>24.615384615384617</c:v>
                </c:pt>
              </c:numCache>
            </c:numRef>
          </c:yVal>
          <c:smooth val="1"/>
          <c:extLst>
            <c:ext xmlns:c16="http://schemas.microsoft.com/office/drawing/2014/chart" uri="{C3380CC4-5D6E-409C-BE32-E72D297353CC}">
              <c16:uniqueId val="{00000003-8024-4F03-B5C9-F8440DCCDF8F}"/>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656294236560001"/>
                  <c:y val="-6.6239164749374524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Stats'!$S$113:$S$276</c:f>
              <c:numCache>
                <c:formatCode>0.00</c:formatCode>
                <c:ptCount val="164"/>
                <c:pt idx="0">
                  <c:v>16.137931034482758</c:v>
                </c:pt>
                <c:pt idx="1">
                  <c:v>14.727272727272727</c:v>
                </c:pt>
                <c:pt idx="2">
                  <c:v>16.984126984126984</c:v>
                </c:pt>
                <c:pt idx="3">
                  <c:v>20.833333333333336</c:v>
                </c:pt>
                <c:pt idx="4">
                  <c:v>20.000000000000004</c:v>
                </c:pt>
                <c:pt idx="5">
                  <c:v>16.666666666666668</c:v>
                </c:pt>
                <c:pt idx="6">
                  <c:v>13.7</c:v>
                </c:pt>
                <c:pt idx="7">
                  <c:v>11.77272727272727</c:v>
                </c:pt>
                <c:pt idx="8">
                  <c:v>22.500000000000004</c:v>
                </c:pt>
                <c:pt idx="9">
                  <c:v>19.285714285714288</c:v>
                </c:pt>
                <c:pt idx="10">
                  <c:v>22.727272727272727</c:v>
                </c:pt>
                <c:pt idx="11">
                  <c:v>17.266666666666662</c:v>
                </c:pt>
                <c:pt idx="12">
                  <c:v>16.666666666666668</c:v>
                </c:pt>
                <c:pt idx="13">
                  <c:v>14.055555555555555</c:v>
                </c:pt>
                <c:pt idx="14">
                  <c:v>14.055555555555555</c:v>
                </c:pt>
                <c:pt idx="15">
                  <c:v>14.055555555555555</c:v>
                </c:pt>
                <c:pt idx="16">
                  <c:v>21</c:v>
                </c:pt>
                <c:pt idx="17">
                  <c:v>20.642857142857142</c:v>
                </c:pt>
                <c:pt idx="18">
                  <c:v>15.625</c:v>
                </c:pt>
                <c:pt idx="19">
                  <c:v>13.636363636363635</c:v>
                </c:pt>
                <c:pt idx="20">
                  <c:v>15.41176470588235</c:v>
                </c:pt>
                <c:pt idx="21">
                  <c:v>17.058823529411764</c:v>
                </c:pt>
                <c:pt idx="22">
                  <c:v>18.75</c:v>
                </c:pt>
                <c:pt idx="23">
                  <c:v>16.842105263157894</c:v>
                </c:pt>
                <c:pt idx="24">
                  <c:v>16.5625</c:v>
                </c:pt>
                <c:pt idx="25">
                  <c:v>17.222222222222221</c:v>
                </c:pt>
                <c:pt idx="26">
                  <c:v>17.058823529411764</c:v>
                </c:pt>
                <c:pt idx="27">
                  <c:v>12.454545454545451</c:v>
                </c:pt>
                <c:pt idx="28">
                  <c:v>15.238095238095239</c:v>
                </c:pt>
                <c:pt idx="29">
                  <c:v>21</c:v>
                </c:pt>
                <c:pt idx="30">
                  <c:v>18.611111111111111</c:v>
                </c:pt>
                <c:pt idx="31">
                  <c:v>19.428571428571431</c:v>
                </c:pt>
                <c:pt idx="32">
                  <c:v>15.38095238095238</c:v>
                </c:pt>
                <c:pt idx="33">
                  <c:v>14.722222222222223</c:v>
                </c:pt>
                <c:pt idx="34">
                  <c:v>20.714285714285715</c:v>
                </c:pt>
                <c:pt idx="35">
                  <c:v>15.263157894736842</c:v>
                </c:pt>
                <c:pt idx="36">
                  <c:v>18.470588235294116</c:v>
                </c:pt>
                <c:pt idx="37">
                  <c:v>15.315789473684211</c:v>
                </c:pt>
                <c:pt idx="38">
                  <c:v>17.444444444444443</c:v>
                </c:pt>
                <c:pt idx="39">
                  <c:v>14.449999999999998</c:v>
                </c:pt>
                <c:pt idx="40">
                  <c:v>14.449999999999998</c:v>
                </c:pt>
                <c:pt idx="41">
                  <c:v>17.833333333333332</c:v>
                </c:pt>
                <c:pt idx="42">
                  <c:v>16.75</c:v>
                </c:pt>
                <c:pt idx="43">
                  <c:v>20.333333333333332</c:v>
                </c:pt>
                <c:pt idx="44">
                  <c:v>14.285714285714286</c:v>
                </c:pt>
                <c:pt idx="45">
                  <c:v>18.93333333333333</c:v>
                </c:pt>
                <c:pt idx="46">
                  <c:v>27.749999999999996</c:v>
                </c:pt>
                <c:pt idx="47">
                  <c:v>14.5</c:v>
                </c:pt>
                <c:pt idx="48">
                  <c:v>20.333333333333332</c:v>
                </c:pt>
                <c:pt idx="49">
                  <c:v>16.75</c:v>
                </c:pt>
                <c:pt idx="50">
                  <c:v>20.666666666666664</c:v>
                </c:pt>
                <c:pt idx="51">
                  <c:v>15.714285714285714</c:v>
                </c:pt>
                <c:pt idx="52">
                  <c:v>26.923076923076923</c:v>
                </c:pt>
                <c:pt idx="53">
                  <c:v>20</c:v>
                </c:pt>
                <c:pt idx="54">
                  <c:v>15.523809523809524</c:v>
                </c:pt>
                <c:pt idx="55">
                  <c:v>15</c:v>
                </c:pt>
                <c:pt idx="56">
                  <c:v>26.923076923076923</c:v>
                </c:pt>
                <c:pt idx="57">
                  <c:v>15.523809523809524</c:v>
                </c:pt>
                <c:pt idx="58">
                  <c:v>28.875</c:v>
                </c:pt>
                <c:pt idx="59">
                  <c:v>14.272727272727272</c:v>
                </c:pt>
                <c:pt idx="60">
                  <c:v>20.222222222222221</c:v>
                </c:pt>
                <c:pt idx="61">
                  <c:v>19.444444444444443</c:v>
                </c:pt>
                <c:pt idx="62">
                  <c:v>16.55</c:v>
                </c:pt>
                <c:pt idx="63">
                  <c:v>16.428571428571427</c:v>
                </c:pt>
                <c:pt idx="64">
                  <c:v>20.599999999999998</c:v>
                </c:pt>
                <c:pt idx="65">
                  <c:v>20.599999999999998</c:v>
                </c:pt>
                <c:pt idx="66">
                  <c:v>15.521739130434785</c:v>
                </c:pt>
                <c:pt idx="67">
                  <c:v>24.333333333333329</c:v>
                </c:pt>
                <c:pt idx="68">
                  <c:v>20.277777777777775</c:v>
                </c:pt>
                <c:pt idx="69">
                  <c:v>16.857142857142858</c:v>
                </c:pt>
                <c:pt idx="70">
                  <c:v>17.777777777777779</c:v>
                </c:pt>
                <c:pt idx="71">
                  <c:v>19.05263157894737</c:v>
                </c:pt>
                <c:pt idx="72">
                  <c:v>14.909090909090905</c:v>
                </c:pt>
                <c:pt idx="73">
                  <c:v>25.249999999999996</c:v>
                </c:pt>
                <c:pt idx="74">
                  <c:v>15.636363636363635</c:v>
                </c:pt>
                <c:pt idx="75">
                  <c:v>15.75</c:v>
                </c:pt>
                <c:pt idx="76">
                  <c:v>9.1428571428571441</c:v>
                </c:pt>
                <c:pt idx="77">
                  <c:v>22.058823529411764</c:v>
                </c:pt>
                <c:pt idx="78">
                  <c:v>15</c:v>
                </c:pt>
                <c:pt idx="79">
                  <c:v>15</c:v>
                </c:pt>
                <c:pt idx="80">
                  <c:v>15</c:v>
                </c:pt>
                <c:pt idx="81">
                  <c:v>15.227272727272725</c:v>
                </c:pt>
                <c:pt idx="82">
                  <c:v>20.375</c:v>
                </c:pt>
                <c:pt idx="83">
                  <c:v>23.333333333333332</c:v>
                </c:pt>
                <c:pt idx="84">
                  <c:v>23.647058823529413</c:v>
                </c:pt>
                <c:pt idx="85">
                  <c:v>16.400000000000002</c:v>
                </c:pt>
                <c:pt idx="86">
                  <c:v>23.647058823529413</c:v>
                </c:pt>
                <c:pt idx="87">
                  <c:v>22.941176470588232</c:v>
                </c:pt>
                <c:pt idx="88">
                  <c:v>15.714285714285714</c:v>
                </c:pt>
                <c:pt idx="89">
                  <c:v>11.533333333333331</c:v>
                </c:pt>
                <c:pt idx="90">
                  <c:v>19.240000000000002</c:v>
                </c:pt>
                <c:pt idx="91">
                  <c:v>16.238095238095237</c:v>
                </c:pt>
                <c:pt idx="92">
                  <c:v>18.75</c:v>
                </c:pt>
                <c:pt idx="93">
                  <c:v>17.416666666666668</c:v>
                </c:pt>
                <c:pt idx="94">
                  <c:v>23.944444444444446</c:v>
                </c:pt>
                <c:pt idx="95">
                  <c:v>18.5</c:v>
                </c:pt>
                <c:pt idx="96">
                  <c:v>25.196428571428573</c:v>
                </c:pt>
                <c:pt idx="97">
                  <c:v>23.64365971107544</c:v>
                </c:pt>
                <c:pt idx="98">
                  <c:v>22.882352941176467</c:v>
                </c:pt>
                <c:pt idx="99">
                  <c:v>22.058823529411764</c:v>
                </c:pt>
                <c:pt idx="100">
                  <c:v>20.833333333333332</c:v>
                </c:pt>
                <c:pt idx="101">
                  <c:v>20.315789473684212</c:v>
                </c:pt>
                <c:pt idx="102">
                  <c:v>25.374999999999996</c:v>
                </c:pt>
                <c:pt idx="103">
                  <c:v>19.263157894736842</c:v>
                </c:pt>
                <c:pt idx="104">
                  <c:v>19.894736842105264</c:v>
                </c:pt>
                <c:pt idx="105">
                  <c:v>15.76</c:v>
                </c:pt>
                <c:pt idx="106">
                  <c:v>25.419999999999995</c:v>
                </c:pt>
                <c:pt idx="107">
                  <c:v>19.739130434782609</c:v>
                </c:pt>
                <c:pt idx="108">
                  <c:v>27.76923076923077</c:v>
                </c:pt>
                <c:pt idx="109">
                  <c:v>18.166666666666671</c:v>
                </c:pt>
                <c:pt idx="110">
                  <c:v>23.222222222222221</c:v>
                </c:pt>
                <c:pt idx="111">
                  <c:v>23.333333333333332</c:v>
                </c:pt>
                <c:pt idx="112">
                  <c:v>20.869565217391308</c:v>
                </c:pt>
                <c:pt idx="113">
                  <c:v>20.869565217391308</c:v>
                </c:pt>
                <c:pt idx="114">
                  <c:v>19.64</c:v>
                </c:pt>
                <c:pt idx="115">
                  <c:v>23.909090909090914</c:v>
                </c:pt>
                <c:pt idx="116">
                  <c:v>18.414634146341466</c:v>
                </c:pt>
                <c:pt idx="117">
                  <c:v>20.217391304347824</c:v>
                </c:pt>
                <c:pt idx="118">
                  <c:v>20.217391304347824</c:v>
                </c:pt>
                <c:pt idx="119">
                  <c:v>19.296296296296294</c:v>
                </c:pt>
                <c:pt idx="120">
                  <c:v>27.833333333333336</c:v>
                </c:pt>
                <c:pt idx="121">
                  <c:v>29.333333333333329</c:v>
                </c:pt>
                <c:pt idx="122">
                  <c:v>19.999999999999996</c:v>
                </c:pt>
                <c:pt idx="123">
                  <c:v>24.338709677419356</c:v>
                </c:pt>
                <c:pt idx="124">
                  <c:v>17.759999999999998</c:v>
                </c:pt>
                <c:pt idx="125">
                  <c:v>18.952380952380953</c:v>
                </c:pt>
                <c:pt idx="126">
                  <c:v>21.625</c:v>
                </c:pt>
                <c:pt idx="127">
                  <c:v>19.285714285714288</c:v>
                </c:pt>
                <c:pt idx="128">
                  <c:v>23.30769230769231</c:v>
                </c:pt>
                <c:pt idx="129">
                  <c:v>26.727272727272727</c:v>
                </c:pt>
                <c:pt idx="130">
                  <c:v>29.400000000000002</c:v>
                </c:pt>
                <c:pt idx="131">
                  <c:v>27.380952380952383</c:v>
                </c:pt>
                <c:pt idx="132">
                  <c:v>22.52</c:v>
                </c:pt>
                <c:pt idx="133">
                  <c:v>22.52</c:v>
                </c:pt>
                <c:pt idx="134">
                  <c:v>17.467391304347828</c:v>
                </c:pt>
                <c:pt idx="135">
                  <c:v>17.857142857142861</c:v>
                </c:pt>
                <c:pt idx="136">
                  <c:v>29.900000000000002</c:v>
                </c:pt>
                <c:pt idx="137">
                  <c:v>24.909090909090903</c:v>
                </c:pt>
                <c:pt idx="138">
                  <c:v>23.625000000000004</c:v>
                </c:pt>
                <c:pt idx="139">
                  <c:v>13.611111111111112</c:v>
                </c:pt>
                <c:pt idx="140">
                  <c:v>21.8</c:v>
                </c:pt>
                <c:pt idx="141">
                  <c:v>18.955555555555556</c:v>
                </c:pt>
                <c:pt idx="142">
                  <c:v>20.750000000000004</c:v>
                </c:pt>
                <c:pt idx="143">
                  <c:v>21.518518518518515</c:v>
                </c:pt>
                <c:pt idx="144">
                  <c:v>23.625000000000004</c:v>
                </c:pt>
                <c:pt idx="145">
                  <c:v>18.741935483870968</c:v>
                </c:pt>
                <c:pt idx="146">
                  <c:v>21.840000000000003</c:v>
                </c:pt>
                <c:pt idx="147">
                  <c:v>20.750000000000004</c:v>
                </c:pt>
                <c:pt idx="148">
                  <c:v>20.750000000000004</c:v>
                </c:pt>
                <c:pt idx="149">
                  <c:v>20.192307692307693</c:v>
                </c:pt>
                <c:pt idx="150">
                  <c:v>17.121951219512198</c:v>
                </c:pt>
                <c:pt idx="151">
                  <c:v>20.185185185185183</c:v>
                </c:pt>
                <c:pt idx="152">
                  <c:v>21.6</c:v>
                </c:pt>
                <c:pt idx="153">
                  <c:v>20.714285714285715</c:v>
                </c:pt>
                <c:pt idx="154">
                  <c:v>24.680000000000003</c:v>
                </c:pt>
                <c:pt idx="155">
                  <c:v>29.090909090909086</c:v>
                </c:pt>
                <c:pt idx="156">
                  <c:v>29.05</c:v>
                </c:pt>
                <c:pt idx="157">
                  <c:v>20.37037037037037</c:v>
                </c:pt>
                <c:pt idx="158">
                  <c:v>11.232558139534882</c:v>
                </c:pt>
                <c:pt idx="159">
                  <c:v>12.763157894736842</c:v>
                </c:pt>
                <c:pt idx="160">
                  <c:v>12.435897435897436</c:v>
                </c:pt>
                <c:pt idx="161">
                  <c:v>20.925925925925924</c:v>
                </c:pt>
                <c:pt idx="162">
                  <c:v>21.076923076923077</c:v>
                </c:pt>
                <c:pt idx="163">
                  <c:v>21.333333333333332</c:v>
                </c:pt>
              </c:numCache>
            </c:numRef>
          </c:yVal>
          <c:smooth val="1"/>
          <c:extLst>
            <c:ext xmlns:c16="http://schemas.microsoft.com/office/drawing/2014/chart" uri="{C3380CC4-5D6E-409C-BE32-E72D297353CC}">
              <c16:uniqueId val="{00000004-8024-4F03-B5C9-F8440DCCDF8F}"/>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Stats'!$S$283</c:f>
              <c:numCache>
                <c:formatCode>0.00</c:formatCode>
                <c:ptCount val="1"/>
                <c:pt idx="0">
                  <c:v>18.807854137447404</c:v>
                </c:pt>
              </c:numCache>
            </c:numRef>
          </c:yVal>
          <c:smooth val="1"/>
          <c:extLst>
            <c:ext xmlns:c16="http://schemas.microsoft.com/office/drawing/2014/chart" uri="{C3380CC4-5D6E-409C-BE32-E72D297353CC}">
              <c16:uniqueId val="{00000005-8024-4F03-B5C9-F8440DCCDF8F}"/>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Stats'!$S$284:$S$294</c:f>
              <c:numCache>
                <c:formatCode>0.00</c:formatCode>
                <c:ptCount val="11"/>
                <c:pt idx="0">
                  <c:v>16.137931034482758</c:v>
                </c:pt>
                <c:pt idx="1">
                  <c:v>14.727272727272727</c:v>
                </c:pt>
                <c:pt idx="2">
                  <c:v>16.984126984126984</c:v>
                </c:pt>
                <c:pt idx="3">
                  <c:v>19.296296296296294</c:v>
                </c:pt>
                <c:pt idx="4">
                  <c:v>21</c:v>
                </c:pt>
                <c:pt idx="5">
                  <c:v>21</c:v>
                </c:pt>
                <c:pt idx="6">
                  <c:v>23.222222222222221</c:v>
                </c:pt>
                <c:pt idx="7">
                  <c:v>29.333333333333329</c:v>
                </c:pt>
                <c:pt idx="8">
                  <c:v>21.625</c:v>
                </c:pt>
                <c:pt idx="9">
                  <c:v>15.227272727272725</c:v>
                </c:pt>
                <c:pt idx="10">
                  <c:v>16.400000000000002</c:v>
                </c:pt>
              </c:numCache>
            </c:numRef>
          </c:yVal>
          <c:smooth val="1"/>
          <c:extLst>
            <c:ext xmlns:c16="http://schemas.microsoft.com/office/drawing/2014/chart" uri="{C3380CC4-5D6E-409C-BE32-E72D297353CC}">
              <c16:uniqueId val="{00000006-8024-4F03-B5C9-F8440DCCDF8F}"/>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Stats'!$S$295:$S$298</c:f>
              <c:numCache>
                <c:formatCode>0.00</c:formatCode>
                <c:ptCount val="4"/>
                <c:pt idx="0">
                  <c:v>22.608695652173914</c:v>
                </c:pt>
                <c:pt idx="1">
                  <c:v>32</c:v>
                </c:pt>
                <c:pt idx="2">
                  <c:v>25.4</c:v>
                </c:pt>
                <c:pt idx="3">
                  <c:v>14.999999999999998</c:v>
                </c:pt>
              </c:numCache>
            </c:numRef>
          </c:yVal>
          <c:smooth val="1"/>
          <c:extLst>
            <c:ext xmlns:c16="http://schemas.microsoft.com/office/drawing/2014/chart" uri="{C3380CC4-5D6E-409C-BE32-E72D297353CC}">
              <c16:uniqueId val="{00000007-8024-4F03-B5C9-F8440DCCDF8F}"/>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Stats'!$S$299:$S$300</c:f>
              <c:numCache>
                <c:formatCode>0.00</c:formatCode>
                <c:ptCount val="2"/>
                <c:pt idx="0">
                  <c:v>20.409090909090907</c:v>
                </c:pt>
              </c:numCache>
            </c:numRef>
          </c:yVal>
          <c:smooth val="1"/>
          <c:extLst>
            <c:ext xmlns:c16="http://schemas.microsoft.com/office/drawing/2014/chart" uri="{C3380CC4-5D6E-409C-BE32-E72D297353CC}">
              <c16:uniqueId val="{00000008-8024-4F03-B5C9-F8440DCCDF8F}"/>
            </c:ext>
          </c:extLst>
        </c:ser>
        <c:dLbls>
          <c:showLegendKey val="0"/>
          <c:showVal val="0"/>
          <c:showCatName val="0"/>
          <c:showSerName val="0"/>
          <c:showPercent val="0"/>
          <c:showBubbleSize val="0"/>
        </c:dLbls>
        <c:axId val="727683720"/>
        <c:axId val="1"/>
      </c:scatterChart>
      <c:valAx>
        <c:axId val="727683720"/>
        <c:scaling>
          <c:orientation val="minMax"/>
          <c:max val="600"/>
          <c:min val="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Displ (LT)</a:t>
                </a:r>
              </a:p>
            </c:rich>
          </c:tx>
          <c:layout>
            <c:manualLayout>
              <c:xMode val="edge"/>
              <c:yMode val="edge"/>
              <c:x val="0.37846836847946724"/>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5"/>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L/T</a:t>
                </a:r>
              </a:p>
            </c:rich>
          </c:tx>
          <c:layout>
            <c:manualLayout>
              <c:xMode val="edge"/>
              <c:yMode val="edge"/>
              <c:x val="1.4428412874583796E-2"/>
              <c:y val="0.463295269168026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83720"/>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026637069922309"/>
          <c:y val="0.50570962479608483"/>
          <c:w val="0.23862375138734737"/>
          <c:h val="0.4078303425774878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Complement vs Displ</a:t>
            </a:r>
          </a:p>
        </c:rich>
      </c:tx>
      <c:layout>
        <c:manualLayout>
          <c:xMode val="edge"/>
          <c:yMode val="edge"/>
          <c:x val="0.40621531631520535"/>
          <c:y val="1.9575856443719411E-2"/>
        </c:manualLayout>
      </c:layout>
      <c:overlay val="0"/>
      <c:spPr>
        <a:noFill/>
        <a:ln w="25400">
          <a:noFill/>
        </a:ln>
      </c:spPr>
    </c:title>
    <c:autoTitleDeleted val="0"/>
    <c:plotArea>
      <c:layout>
        <c:manualLayout>
          <c:layoutTarget val="inner"/>
          <c:xMode val="edge"/>
          <c:yMode val="edge"/>
          <c:x val="6.7702552719200892E-2"/>
          <c:y val="7.3409461663947795E-2"/>
          <c:w val="0.70366259711431745"/>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7827133323693534"/>
                  <c:y val="-4.294043413843468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Stats'!$T$5:$T$276</c:f>
              <c:numCache>
                <c:formatCode>General</c:formatCode>
                <c:ptCount val="272"/>
                <c:pt idx="4">
                  <c:v>38</c:v>
                </c:pt>
                <c:pt idx="8">
                  <c:v>9</c:v>
                </c:pt>
                <c:pt idx="9">
                  <c:v>10</c:v>
                </c:pt>
                <c:pt idx="10">
                  <c:v>17</c:v>
                </c:pt>
                <c:pt idx="11">
                  <c:v>17</c:v>
                </c:pt>
                <c:pt idx="12">
                  <c:v>20</c:v>
                </c:pt>
                <c:pt idx="13">
                  <c:v>17</c:v>
                </c:pt>
                <c:pt idx="14">
                  <c:v>16</c:v>
                </c:pt>
                <c:pt idx="15">
                  <c:v>34</c:v>
                </c:pt>
                <c:pt idx="16">
                  <c:v>34</c:v>
                </c:pt>
                <c:pt idx="17">
                  <c:v>36</c:v>
                </c:pt>
                <c:pt idx="18">
                  <c:v>34</c:v>
                </c:pt>
                <c:pt idx="19">
                  <c:v>19</c:v>
                </c:pt>
                <c:pt idx="20">
                  <c:v>28</c:v>
                </c:pt>
                <c:pt idx="21">
                  <c:v>31</c:v>
                </c:pt>
                <c:pt idx="22">
                  <c:v>28</c:v>
                </c:pt>
                <c:pt idx="23">
                  <c:v>24</c:v>
                </c:pt>
                <c:pt idx="24">
                  <c:v>20</c:v>
                </c:pt>
                <c:pt idx="25">
                  <c:v>20</c:v>
                </c:pt>
                <c:pt idx="26">
                  <c:v>23</c:v>
                </c:pt>
                <c:pt idx="28">
                  <c:v>31</c:v>
                </c:pt>
                <c:pt idx="29">
                  <c:v>39</c:v>
                </c:pt>
                <c:pt idx="31">
                  <c:v>39</c:v>
                </c:pt>
                <c:pt idx="32">
                  <c:v>35</c:v>
                </c:pt>
                <c:pt idx="33">
                  <c:v>28</c:v>
                </c:pt>
                <c:pt idx="34">
                  <c:v>28</c:v>
                </c:pt>
                <c:pt idx="35">
                  <c:v>28</c:v>
                </c:pt>
                <c:pt idx="36">
                  <c:v>24</c:v>
                </c:pt>
                <c:pt idx="37">
                  <c:v>30</c:v>
                </c:pt>
                <c:pt idx="38">
                  <c:v>30</c:v>
                </c:pt>
                <c:pt idx="39">
                  <c:v>30</c:v>
                </c:pt>
                <c:pt idx="40">
                  <c:v>22</c:v>
                </c:pt>
                <c:pt idx="42">
                  <c:v>40</c:v>
                </c:pt>
                <c:pt idx="43">
                  <c:v>36</c:v>
                </c:pt>
                <c:pt idx="44">
                  <c:v>24</c:v>
                </c:pt>
                <c:pt idx="45">
                  <c:v>25</c:v>
                </c:pt>
                <c:pt idx="46">
                  <c:v>41</c:v>
                </c:pt>
                <c:pt idx="47">
                  <c:v>40</c:v>
                </c:pt>
                <c:pt idx="48">
                  <c:v>35</c:v>
                </c:pt>
                <c:pt idx="49">
                  <c:v>35</c:v>
                </c:pt>
                <c:pt idx="50">
                  <c:v>36</c:v>
                </c:pt>
                <c:pt idx="51">
                  <c:v>40</c:v>
                </c:pt>
                <c:pt idx="52">
                  <c:v>30</c:v>
                </c:pt>
                <c:pt idx="54">
                  <c:v>40</c:v>
                </c:pt>
                <c:pt idx="55">
                  <c:v>30</c:v>
                </c:pt>
                <c:pt idx="56">
                  <c:v>30</c:v>
                </c:pt>
                <c:pt idx="58">
                  <c:v>30</c:v>
                </c:pt>
                <c:pt idx="59">
                  <c:v>30</c:v>
                </c:pt>
                <c:pt idx="60">
                  <c:v>39</c:v>
                </c:pt>
                <c:pt idx="61">
                  <c:v>32</c:v>
                </c:pt>
                <c:pt idx="62">
                  <c:v>41</c:v>
                </c:pt>
                <c:pt idx="63">
                  <c:v>45</c:v>
                </c:pt>
                <c:pt idx="64">
                  <c:v>43</c:v>
                </c:pt>
                <c:pt idx="65">
                  <c:v>38</c:v>
                </c:pt>
                <c:pt idx="66">
                  <c:v>45</c:v>
                </c:pt>
                <c:pt idx="67">
                  <c:v>31</c:v>
                </c:pt>
                <c:pt idx="68">
                  <c:v>27</c:v>
                </c:pt>
                <c:pt idx="69">
                  <c:v>31</c:v>
                </c:pt>
                <c:pt idx="70">
                  <c:v>36</c:v>
                </c:pt>
                <c:pt idx="71">
                  <c:v>55</c:v>
                </c:pt>
                <c:pt idx="72">
                  <c:v>34</c:v>
                </c:pt>
                <c:pt idx="73">
                  <c:v>69</c:v>
                </c:pt>
                <c:pt idx="74">
                  <c:v>40</c:v>
                </c:pt>
                <c:pt idx="75">
                  <c:v>45</c:v>
                </c:pt>
                <c:pt idx="76">
                  <c:v>41</c:v>
                </c:pt>
                <c:pt idx="77">
                  <c:v>35</c:v>
                </c:pt>
                <c:pt idx="78">
                  <c:v>42</c:v>
                </c:pt>
                <c:pt idx="79">
                  <c:v>41</c:v>
                </c:pt>
                <c:pt idx="80">
                  <c:v>42</c:v>
                </c:pt>
                <c:pt idx="81">
                  <c:v>40</c:v>
                </c:pt>
                <c:pt idx="82">
                  <c:v>52</c:v>
                </c:pt>
                <c:pt idx="83">
                  <c:v>45</c:v>
                </c:pt>
                <c:pt idx="84">
                  <c:v>40</c:v>
                </c:pt>
                <c:pt idx="85">
                  <c:v>51</c:v>
                </c:pt>
                <c:pt idx="86">
                  <c:v>41</c:v>
                </c:pt>
                <c:pt idx="87">
                  <c:v>71</c:v>
                </c:pt>
                <c:pt idx="88">
                  <c:v>71</c:v>
                </c:pt>
                <c:pt idx="89">
                  <c:v>71</c:v>
                </c:pt>
                <c:pt idx="90">
                  <c:v>53</c:v>
                </c:pt>
                <c:pt idx="91">
                  <c:v>53</c:v>
                </c:pt>
                <c:pt idx="92">
                  <c:v>46</c:v>
                </c:pt>
                <c:pt idx="93">
                  <c:v>45</c:v>
                </c:pt>
                <c:pt idx="94">
                  <c:v>22</c:v>
                </c:pt>
                <c:pt idx="95">
                  <c:v>27</c:v>
                </c:pt>
                <c:pt idx="96">
                  <c:v>30</c:v>
                </c:pt>
                <c:pt idx="97">
                  <c:v>27</c:v>
                </c:pt>
                <c:pt idx="98">
                  <c:v>30</c:v>
                </c:pt>
                <c:pt idx="99">
                  <c:v>19</c:v>
                </c:pt>
                <c:pt idx="100">
                  <c:v>21</c:v>
                </c:pt>
                <c:pt idx="101">
                  <c:v>30</c:v>
                </c:pt>
                <c:pt idx="102">
                  <c:v>30</c:v>
                </c:pt>
                <c:pt idx="103">
                  <c:v>78</c:v>
                </c:pt>
                <c:pt idx="104">
                  <c:v>40</c:v>
                </c:pt>
                <c:pt idx="105">
                  <c:v>45</c:v>
                </c:pt>
                <c:pt idx="106">
                  <c:v>75</c:v>
                </c:pt>
                <c:pt idx="107">
                  <c:v>36</c:v>
                </c:pt>
                <c:pt idx="108">
                  <c:v>16</c:v>
                </c:pt>
                <c:pt idx="109">
                  <c:v>15</c:v>
                </c:pt>
                <c:pt idx="110">
                  <c:v>12</c:v>
                </c:pt>
                <c:pt idx="111">
                  <c:v>11</c:v>
                </c:pt>
                <c:pt idx="112">
                  <c:v>13</c:v>
                </c:pt>
                <c:pt idx="113">
                  <c:v>9</c:v>
                </c:pt>
                <c:pt idx="114">
                  <c:v>14</c:v>
                </c:pt>
                <c:pt idx="115">
                  <c:v>17</c:v>
                </c:pt>
                <c:pt idx="116">
                  <c:v>13</c:v>
                </c:pt>
                <c:pt idx="118">
                  <c:v>10</c:v>
                </c:pt>
                <c:pt idx="119">
                  <c:v>12</c:v>
                </c:pt>
                <c:pt idx="120">
                  <c:v>10</c:v>
                </c:pt>
                <c:pt idx="121">
                  <c:v>10</c:v>
                </c:pt>
                <c:pt idx="122">
                  <c:v>10</c:v>
                </c:pt>
                <c:pt idx="123">
                  <c:v>10</c:v>
                </c:pt>
                <c:pt idx="124">
                  <c:v>9</c:v>
                </c:pt>
                <c:pt idx="125">
                  <c:v>16</c:v>
                </c:pt>
                <c:pt idx="126">
                  <c:v>13</c:v>
                </c:pt>
                <c:pt idx="127">
                  <c:v>13</c:v>
                </c:pt>
                <c:pt idx="128">
                  <c:v>13</c:v>
                </c:pt>
                <c:pt idx="129">
                  <c:v>15</c:v>
                </c:pt>
                <c:pt idx="130">
                  <c:v>9</c:v>
                </c:pt>
                <c:pt idx="131">
                  <c:v>20</c:v>
                </c:pt>
                <c:pt idx="132">
                  <c:v>10</c:v>
                </c:pt>
                <c:pt idx="133">
                  <c:v>20</c:v>
                </c:pt>
                <c:pt idx="134">
                  <c:v>17</c:v>
                </c:pt>
                <c:pt idx="135">
                  <c:v>17</c:v>
                </c:pt>
                <c:pt idx="136">
                  <c:v>20</c:v>
                </c:pt>
                <c:pt idx="137">
                  <c:v>9</c:v>
                </c:pt>
                <c:pt idx="138">
                  <c:v>19</c:v>
                </c:pt>
                <c:pt idx="139">
                  <c:v>12</c:v>
                </c:pt>
                <c:pt idx="140">
                  <c:v>17</c:v>
                </c:pt>
                <c:pt idx="141">
                  <c:v>17</c:v>
                </c:pt>
                <c:pt idx="142">
                  <c:v>13</c:v>
                </c:pt>
                <c:pt idx="143">
                  <c:v>8</c:v>
                </c:pt>
                <c:pt idx="144">
                  <c:v>22</c:v>
                </c:pt>
                <c:pt idx="145">
                  <c:v>17</c:v>
                </c:pt>
                <c:pt idx="146">
                  <c:v>17</c:v>
                </c:pt>
                <c:pt idx="147">
                  <c:v>14</c:v>
                </c:pt>
                <c:pt idx="148">
                  <c:v>14</c:v>
                </c:pt>
                <c:pt idx="149">
                  <c:v>22</c:v>
                </c:pt>
                <c:pt idx="150">
                  <c:v>19</c:v>
                </c:pt>
                <c:pt idx="151">
                  <c:v>10</c:v>
                </c:pt>
                <c:pt idx="152">
                  <c:v>14</c:v>
                </c:pt>
                <c:pt idx="153">
                  <c:v>14</c:v>
                </c:pt>
                <c:pt idx="154">
                  <c:v>11</c:v>
                </c:pt>
                <c:pt idx="155">
                  <c:v>15</c:v>
                </c:pt>
                <c:pt idx="156">
                  <c:v>13</c:v>
                </c:pt>
                <c:pt idx="157">
                  <c:v>26</c:v>
                </c:pt>
                <c:pt idx="158">
                  <c:v>15</c:v>
                </c:pt>
                <c:pt idx="159">
                  <c:v>20</c:v>
                </c:pt>
                <c:pt idx="160">
                  <c:v>22</c:v>
                </c:pt>
                <c:pt idx="161">
                  <c:v>17</c:v>
                </c:pt>
                <c:pt idx="162">
                  <c:v>30</c:v>
                </c:pt>
                <c:pt idx="163">
                  <c:v>19</c:v>
                </c:pt>
                <c:pt idx="164">
                  <c:v>13</c:v>
                </c:pt>
                <c:pt idx="165">
                  <c:v>19</c:v>
                </c:pt>
                <c:pt idx="167">
                  <c:v>6</c:v>
                </c:pt>
                <c:pt idx="168">
                  <c:v>19</c:v>
                </c:pt>
                <c:pt idx="169">
                  <c:v>39</c:v>
                </c:pt>
                <c:pt idx="170">
                  <c:v>10</c:v>
                </c:pt>
                <c:pt idx="171">
                  <c:v>20</c:v>
                </c:pt>
                <c:pt idx="172">
                  <c:v>20</c:v>
                </c:pt>
                <c:pt idx="173">
                  <c:v>15</c:v>
                </c:pt>
                <c:pt idx="174">
                  <c:v>9</c:v>
                </c:pt>
                <c:pt idx="175">
                  <c:v>20</c:v>
                </c:pt>
                <c:pt idx="176">
                  <c:v>20</c:v>
                </c:pt>
                <c:pt idx="177">
                  <c:v>25</c:v>
                </c:pt>
                <c:pt idx="178">
                  <c:v>18</c:v>
                </c:pt>
                <c:pt idx="179">
                  <c:v>19</c:v>
                </c:pt>
                <c:pt idx="180">
                  <c:v>19</c:v>
                </c:pt>
                <c:pt idx="181">
                  <c:v>20</c:v>
                </c:pt>
                <c:pt idx="182">
                  <c:v>24</c:v>
                </c:pt>
                <c:pt idx="183">
                  <c:v>11</c:v>
                </c:pt>
                <c:pt idx="184">
                  <c:v>19</c:v>
                </c:pt>
                <c:pt idx="185">
                  <c:v>28</c:v>
                </c:pt>
                <c:pt idx="186">
                  <c:v>17</c:v>
                </c:pt>
                <c:pt idx="187">
                  <c:v>17</c:v>
                </c:pt>
                <c:pt idx="188">
                  <c:v>18</c:v>
                </c:pt>
                <c:pt idx="189">
                  <c:v>16</c:v>
                </c:pt>
                <c:pt idx="190">
                  <c:v>18</c:v>
                </c:pt>
                <c:pt idx="191">
                  <c:v>31</c:v>
                </c:pt>
                <c:pt idx="192">
                  <c:v>31</c:v>
                </c:pt>
                <c:pt idx="194">
                  <c:v>25</c:v>
                </c:pt>
                <c:pt idx="195">
                  <c:v>25</c:v>
                </c:pt>
                <c:pt idx="196">
                  <c:v>14</c:v>
                </c:pt>
                <c:pt idx="197">
                  <c:v>24</c:v>
                </c:pt>
                <c:pt idx="199">
                  <c:v>19</c:v>
                </c:pt>
                <c:pt idx="200">
                  <c:v>18</c:v>
                </c:pt>
                <c:pt idx="201">
                  <c:v>28</c:v>
                </c:pt>
                <c:pt idx="202">
                  <c:v>44</c:v>
                </c:pt>
                <c:pt idx="203">
                  <c:v>25</c:v>
                </c:pt>
                <c:pt idx="206">
                  <c:v>21</c:v>
                </c:pt>
                <c:pt idx="207">
                  <c:v>27</c:v>
                </c:pt>
                <c:pt idx="208">
                  <c:v>28</c:v>
                </c:pt>
                <c:pt idx="209">
                  <c:v>20</c:v>
                </c:pt>
                <c:pt idx="210">
                  <c:v>25</c:v>
                </c:pt>
                <c:pt idx="211">
                  <c:v>24</c:v>
                </c:pt>
                <c:pt idx="212">
                  <c:v>32</c:v>
                </c:pt>
                <c:pt idx="218">
                  <c:v>24</c:v>
                </c:pt>
                <c:pt idx="220">
                  <c:v>25</c:v>
                </c:pt>
                <c:pt idx="221">
                  <c:v>34</c:v>
                </c:pt>
                <c:pt idx="226">
                  <c:v>29</c:v>
                </c:pt>
                <c:pt idx="227">
                  <c:v>21</c:v>
                </c:pt>
                <c:pt idx="228">
                  <c:v>56</c:v>
                </c:pt>
                <c:pt idx="229">
                  <c:v>32</c:v>
                </c:pt>
                <c:pt idx="230">
                  <c:v>33</c:v>
                </c:pt>
                <c:pt idx="232">
                  <c:v>25</c:v>
                </c:pt>
                <c:pt idx="233">
                  <c:v>52</c:v>
                </c:pt>
                <c:pt idx="234">
                  <c:v>28</c:v>
                </c:pt>
                <c:pt idx="235">
                  <c:v>21</c:v>
                </c:pt>
                <c:pt idx="236">
                  <c:v>62</c:v>
                </c:pt>
                <c:pt idx="237">
                  <c:v>70</c:v>
                </c:pt>
                <c:pt idx="238">
                  <c:v>69</c:v>
                </c:pt>
                <c:pt idx="239">
                  <c:v>53</c:v>
                </c:pt>
                <c:pt idx="241">
                  <c:v>35</c:v>
                </c:pt>
                <c:pt idx="243">
                  <c:v>20</c:v>
                </c:pt>
                <c:pt idx="244">
                  <c:v>80</c:v>
                </c:pt>
                <c:pt idx="245">
                  <c:v>19</c:v>
                </c:pt>
                <c:pt idx="247">
                  <c:v>17</c:v>
                </c:pt>
                <c:pt idx="248">
                  <c:v>26</c:v>
                </c:pt>
                <c:pt idx="250">
                  <c:v>49</c:v>
                </c:pt>
                <c:pt idx="251">
                  <c:v>36</c:v>
                </c:pt>
                <c:pt idx="252">
                  <c:v>45</c:v>
                </c:pt>
                <c:pt idx="254">
                  <c:v>32</c:v>
                </c:pt>
                <c:pt idx="255">
                  <c:v>42</c:v>
                </c:pt>
                <c:pt idx="256">
                  <c:v>53</c:v>
                </c:pt>
                <c:pt idx="257">
                  <c:v>36</c:v>
                </c:pt>
                <c:pt idx="259">
                  <c:v>43</c:v>
                </c:pt>
                <c:pt idx="260">
                  <c:v>19</c:v>
                </c:pt>
                <c:pt idx="261">
                  <c:v>24</c:v>
                </c:pt>
                <c:pt idx="263">
                  <c:v>72</c:v>
                </c:pt>
                <c:pt idx="265">
                  <c:v>32</c:v>
                </c:pt>
                <c:pt idx="266">
                  <c:v>10</c:v>
                </c:pt>
                <c:pt idx="267">
                  <c:v>18</c:v>
                </c:pt>
                <c:pt idx="268">
                  <c:v>23</c:v>
                </c:pt>
                <c:pt idx="269">
                  <c:v>36</c:v>
                </c:pt>
                <c:pt idx="270">
                  <c:v>36</c:v>
                </c:pt>
                <c:pt idx="271">
                  <c:v>24</c:v>
                </c:pt>
              </c:numCache>
            </c:numRef>
          </c:yVal>
          <c:smooth val="1"/>
          <c:extLst>
            <c:ext xmlns:c16="http://schemas.microsoft.com/office/drawing/2014/chart" uri="{C3380CC4-5D6E-409C-BE32-E72D297353CC}">
              <c16:uniqueId val="{00000000-B221-47FF-BBBF-4269931F4CDF}"/>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9335836730128486"/>
                  <c:y val="-8.6454104970226847E-2"/>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Stats'!$T$5:$T$12</c:f>
              <c:numCache>
                <c:formatCode>General</c:formatCode>
                <c:ptCount val="8"/>
                <c:pt idx="4">
                  <c:v>38</c:v>
                </c:pt>
              </c:numCache>
            </c:numRef>
          </c:yVal>
          <c:smooth val="1"/>
          <c:extLst>
            <c:ext xmlns:c16="http://schemas.microsoft.com/office/drawing/2014/chart" uri="{C3380CC4-5D6E-409C-BE32-E72D297353CC}">
              <c16:uniqueId val="{00000001-B221-47FF-BBBF-4269931F4CDF}"/>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8816489920197732"/>
                  <c:y val="-0.21190908763124325"/>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Stats'!$T$13:$T$98</c:f>
              <c:numCache>
                <c:formatCode>General</c:formatCode>
                <c:ptCount val="86"/>
                <c:pt idx="0">
                  <c:v>9</c:v>
                </c:pt>
                <c:pt idx="1">
                  <c:v>10</c:v>
                </c:pt>
                <c:pt idx="2">
                  <c:v>17</c:v>
                </c:pt>
                <c:pt idx="3">
                  <c:v>17</c:v>
                </c:pt>
                <c:pt idx="4">
                  <c:v>20</c:v>
                </c:pt>
                <c:pt idx="5">
                  <c:v>17</c:v>
                </c:pt>
                <c:pt idx="6">
                  <c:v>16</c:v>
                </c:pt>
                <c:pt idx="7">
                  <c:v>34</c:v>
                </c:pt>
                <c:pt idx="8">
                  <c:v>34</c:v>
                </c:pt>
                <c:pt idx="9">
                  <c:v>36</c:v>
                </c:pt>
                <c:pt idx="10">
                  <c:v>34</c:v>
                </c:pt>
                <c:pt idx="11">
                  <c:v>19</c:v>
                </c:pt>
                <c:pt idx="12">
                  <c:v>28</c:v>
                </c:pt>
                <c:pt idx="13">
                  <c:v>31</c:v>
                </c:pt>
                <c:pt idx="14">
                  <c:v>28</c:v>
                </c:pt>
                <c:pt idx="15">
                  <c:v>24</c:v>
                </c:pt>
                <c:pt idx="16">
                  <c:v>20</c:v>
                </c:pt>
                <c:pt idx="17">
                  <c:v>20</c:v>
                </c:pt>
                <c:pt idx="18">
                  <c:v>23</c:v>
                </c:pt>
                <c:pt idx="20">
                  <c:v>31</c:v>
                </c:pt>
                <c:pt idx="21">
                  <c:v>39</c:v>
                </c:pt>
                <c:pt idx="23">
                  <c:v>39</c:v>
                </c:pt>
                <c:pt idx="24">
                  <c:v>35</c:v>
                </c:pt>
                <c:pt idx="25">
                  <c:v>28</c:v>
                </c:pt>
                <c:pt idx="26">
                  <c:v>28</c:v>
                </c:pt>
                <c:pt idx="27">
                  <c:v>28</c:v>
                </c:pt>
                <c:pt idx="28">
                  <c:v>24</c:v>
                </c:pt>
                <c:pt idx="29">
                  <c:v>30</c:v>
                </c:pt>
                <c:pt idx="30">
                  <c:v>30</c:v>
                </c:pt>
                <c:pt idx="31">
                  <c:v>30</c:v>
                </c:pt>
                <c:pt idx="32">
                  <c:v>22</c:v>
                </c:pt>
                <c:pt idx="34">
                  <c:v>40</c:v>
                </c:pt>
                <c:pt idx="35">
                  <c:v>36</c:v>
                </c:pt>
                <c:pt idx="36">
                  <c:v>24</c:v>
                </c:pt>
                <c:pt idx="37">
                  <c:v>25</c:v>
                </c:pt>
                <c:pt idx="38">
                  <c:v>41</c:v>
                </c:pt>
                <c:pt idx="39">
                  <c:v>40</c:v>
                </c:pt>
                <c:pt idx="40">
                  <c:v>35</c:v>
                </c:pt>
                <c:pt idx="41">
                  <c:v>35</c:v>
                </c:pt>
                <c:pt idx="42">
                  <c:v>36</c:v>
                </c:pt>
                <c:pt idx="43">
                  <c:v>40</c:v>
                </c:pt>
                <c:pt idx="44">
                  <c:v>30</c:v>
                </c:pt>
                <c:pt idx="46">
                  <c:v>40</c:v>
                </c:pt>
                <c:pt idx="47">
                  <c:v>30</c:v>
                </c:pt>
                <c:pt idx="48">
                  <c:v>30</c:v>
                </c:pt>
                <c:pt idx="50">
                  <c:v>30</c:v>
                </c:pt>
                <c:pt idx="51">
                  <c:v>30</c:v>
                </c:pt>
                <c:pt idx="52">
                  <c:v>39</c:v>
                </c:pt>
                <c:pt idx="53">
                  <c:v>32</c:v>
                </c:pt>
                <c:pt idx="54">
                  <c:v>41</c:v>
                </c:pt>
                <c:pt idx="55">
                  <c:v>45</c:v>
                </c:pt>
                <c:pt idx="56">
                  <c:v>43</c:v>
                </c:pt>
                <c:pt idx="57">
                  <c:v>38</c:v>
                </c:pt>
                <c:pt idx="58">
                  <c:v>45</c:v>
                </c:pt>
                <c:pt idx="59">
                  <c:v>31</c:v>
                </c:pt>
                <c:pt idx="60">
                  <c:v>27</c:v>
                </c:pt>
                <c:pt idx="61">
                  <c:v>31</c:v>
                </c:pt>
                <c:pt idx="62">
                  <c:v>36</c:v>
                </c:pt>
                <c:pt idx="63">
                  <c:v>55</c:v>
                </c:pt>
                <c:pt idx="64">
                  <c:v>34</c:v>
                </c:pt>
                <c:pt idx="65">
                  <c:v>69</c:v>
                </c:pt>
                <c:pt idx="66">
                  <c:v>40</c:v>
                </c:pt>
                <c:pt idx="67">
                  <c:v>45</c:v>
                </c:pt>
                <c:pt idx="68">
                  <c:v>41</c:v>
                </c:pt>
                <c:pt idx="69">
                  <c:v>35</c:v>
                </c:pt>
                <c:pt idx="70">
                  <c:v>42</c:v>
                </c:pt>
                <c:pt idx="71">
                  <c:v>41</c:v>
                </c:pt>
                <c:pt idx="72">
                  <c:v>42</c:v>
                </c:pt>
                <c:pt idx="73">
                  <c:v>40</c:v>
                </c:pt>
                <c:pt idx="74">
                  <c:v>52</c:v>
                </c:pt>
                <c:pt idx="75">
                  <c:v>45</c:v>
                </c:pt>
                <c:pt idx="76">
                  <c:v>40</c:v>
                </c:pt>
                <c:pt idx="77">
                  <c:v>51</c:v>
                </c:pt>
                <c:pt idx="78">
                  <c:v>41</c:v>
                </c:pt>
                <c:pt idx="79">
                  <c:v>71</c:v>
                </c:pt>
                <c:pt idx="80">
                  <c:v>71</c:v>
                </c:pt>
                <c:pt idx="81">
                  <c:v>71</c:v>
                </c:pt>
                <c:pt idx="82">
                  <c:v>53</c:v>
                </c:pt>
                <c:pt idx="83">
                  <c:v>53</c:v>
                </c:pt>
                <c:pt idx="84">
                  <c:v>46</c:v>
                </c:pt>
                <c:pt idx="85">
                  <c:v>45</c:v>
                </c:pt>
              </c:numCache>
            </c:numRef>
          </c:yVal>
          <c:smooth val="1"/>
          <c:extLst>
            <c:ext xmlns:c16="http://schemas.microsoft.com/office/drawing/2014/chart" uri="{C3380CC4-5D6E-409C-BE32-E72D297353CC}">
              <c16:uniqueId val="{00000002-B221-47FF-BBBF-4269931F4CDF}"/>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051036268883239"/>
                  <c:y val="-0.1369904066070325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Stats'!$T$99:$T$112</c:f>
              <c:numCache>
                <c:formatCode>General</c:formatCode>
                <c:ptCount val="14"/>
                <c:pt idx="0">
                  <c:v>22</c:v>
                </c:pt>
                <c:pt idx="1">
                  <c:v>27</c:v>
                </c:pt>
                <c:pt idx="2">
                  <c:v>30</c:v>
                </c:pt>
                <c:pt idx="3">
                  <c:v>27</c:v>
                </c:pt>
                <c:pt idx="4">
                  <c:v>30</c:v>
                </c:pt>
                <c:pt idx="5">
                  <c:v>19</c:v>
                </c:pt>
                <c:pt idx="6">
                  <c:v>21</c:v>
                </c:pt>
                <c:pt idx="7">
                  <c:v>30</c:v>
                </c:pt>
                <c:pt idx="8">
                  <c:v>30</c:v>
                </c:pt>
                <c:pt idx="9">
                  <c:v>78</c:v>
                </c:pt>
                <c:pt idx="10">
                  <c:v>40</c:v>
                </c:pt>
                <c:pt idx="11">
                  <c:v>45</c:v>
                </c:pt>
                <c:pt idx="12">
                  <c:v>75</c:v>
                </c:pt>
                <c:pt idx="13">
                  <c:v>36</c:v>
                </c:pt>
              </c:numCache>
            </c:numRef>
          </c:yVal>
          <c:smooth val="1"/>
          <c:extLst>
            <c:ext xmlns:c16="http://schemas.microsoft.com/office/drawing/2014/chart" uri="{C3380CC4-5D6E-409C-BE32-E72D297353CC}">
              <c16:uniqueId val="{00000003-B221-47FF-BBBF-4269931F4CDF}"/>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8816489920197732"/>
                  <c:y val="-0.20733910877728684"/>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Stats'!$T$113:$T$276</c:f>
              <c:numCache>
                <c:formatCode>General</c:formatCode>
                <c:ptCount val="164"/>
                <c:pt idx="0">
                  <c:v>16</c:v>
                </c:pt>
                <c:pt idx="1">
                  <c:v>15</c:v>
                </c:pt>
                <c:pt idx="2">
                  <c:v>12</c:v>
                </c:pt>
                <c:pt idx="3">
                  <c:v>11</c:v>
                </c:pt>
                <c:pt idx="4">
                  <c:v>13</c:v>
                </c:pt>
                <c:pt idx="5">
                  <c:v>9</c:v>
                </c:pt>
                <c:pt idx="6">
                  <c:v>14</c:v>
                </c:pt>
                <c:pt idx="7">
                  <c:v>17</c:v>
                </c:pt>
                <c:pt idx="8">
                  <c:v>13</c:v>
                </c:pt>
                <c:pt idx="10">
                  <c:v>10</c:v>
                </c:pt>
                <c:pt idx="11">
                  <c:v>12</c:v>
                </c:pt>
                <c:pt idx="12">
                  <c:v>10</c:v>
                </c:pt>
                <c:pt idx="13">
                  <c:v>10</c:v>
                </c:pt>
                <c:pt idx="14">
                  <c:v>10</c:v>
                </c:pt>
                <c:pt idx="15">
                  <c:v>10</c:v>
                </c:pt>
                <c:pt idx="16">
                  <c:v>9</c:v>
                </c:pt>
                <c:pt idx="17">
                  <c:v>16</c:v>
                </c:pt>
                <c:pt idx="18">
                  <c:v>13</c:v>
                </c:pt>
                <c:pt idx="19">
                  <c:v>13</c:v>
                </c:pt>
                <c:pt idx="20">
                  <c:v>13</c:v>
                </c:pt>
                <c:pt idx="21">
                  <c:v>15</c:v>
                </c:pt>
                <c:pt idx="22">
                  <c:v>9</c:v>
                </c:pt>
                <c:pt idx="23">
                  <c:v>20</c:v>
                </c:pt>
                <c:pt idx="24">
                  <c:v>10</c:v>
                </c:pt>
                <c:pt idx="25">
                  <c:v>20</c:v>
                </c:pt>
                <c:pt idx="26">
                  <c:v>17</c:v>
                </c:pt>
                <c:pt idx="27">
                  <c:v>17</c:v>
                </c:pt>
                <c:pt idx="28">
                  <c:v>20</c:v>
                </c:pt>
                <c:pt idx="29">
                  <c:v>9</c:v>
                </c:pt>
                <c:pt idx="30">
                  <c:v>19</c:v>
                </c:pt>
                <c:pt idx="31">
                  <c:v>12</c:v>
                </c:pt>
                <c:pt idx="32">
                  <c:v>17</c:v>
                </c:pt>
                <c:pt idx="33">
                  <c:v>17</c:v>
                </c:pt>
                <c:pt idx="34">
                  <c:v>13</c:v>
                </c:pt>
                <c:pt idx="35">
                  <c:v>8</c:v>
                </c:pt>
                <c:pt idx="36">
                  <c:v>22</c:v>
                </c:pt>
                <c:pt idx="37">
                  <c:v>17</c:v>
                </c:pt>
                <c:pt idx="38">
                  <c:v>17</c:v>
                </c:pt>
                <c:pt idx="39">
                  <c:v>14</c:v>
                </c:pt>
                <c:pt idx="40">
                  <c:v>14</c:v>
                </c:pt>
                <c:pt idx="41">
                  <c:v>22</c:v>
                </c:pt>
                <c:pt idx="42">
                  <c:v>19</c:v>
                </c:pt>
                <c:pt idx="43">
                  <c:v>10</c:v>
                </c:pt>
                <c:pt idx="44">
                  <c:v>14</c:v>
                </c:pt>
                <c:pt idx="45">
                  <c:v>14</c:v>
                </c:pt>
                <c:pt idx="46">
                  <c:v>11</c:v>
                </c:pt>
                <c:pt idx="47">
                  <c:v>15</c:v>
                </c:pt>
                <c:pt idx="48">
                  <c:v>13</c:v>
                </c:pt>
                <c:pt idx="49">
                  <c:v>26</c:v>
                </c:pt>
                <c:pt idx="50">
                  <c:v>15</c:v>
                </c:pt>
                <c:pt idx="51">
                  <c:v>20</c:v>
                </c:pt>
                <c:pt idx="52">
                  <c:v>22</c:v>
                </c:pt>
                <c:pt idx="53">
                  <c:v>17</c:v>
                </c:pt>
                <c:pt idx="54">
                  <c:v>30</c:v>
                </c:pt>
                <c:pt idx="55">
                  <c:v>19</c:v>
                </c:pt>
                <c:pt idx="56">
                  <c:v>13</c:v>
                </c:pt>
                <c:pt idx="57">
                  <c:v>19</c:v>
                </c:pt>
                <c:pt idx="59">
                  <c:v>6</c:v>
                </c:pt>
                <c:pt idx="60">
                  <c:v>19</c:v>
                </c:pt>
                <c:pt idx="61">
                  <c:v>39</c:v>
                </c:pt>
                <c:pt idx="62">
                  <c:v>10</c:v>
                </c:pt>
                <c:pt idx="63">
                  <c:v>20</c:v>
                </c:pt>
                <c:pt idx="64">
                  <c:v>20</c:v>
                </c:pt>
                <c:pt idx="65">
                  <c:v>15</c:v>
                </c:pt>
                <c:pt idx="66">
                  <c:v>9</c:v>
                </c:pt>
                <c:pt idx="67">
                  <c:v>20</c:v>
                </c:pt>
                <c:pt idx="68">
                  <c:v>20</c:v>
                </c:pt>
                <c:pt idx="69">
                  <c:v>25</c:v>
                </c:pt>
                <c:pt idx="70">
                  <c:v>18</c:v>
                </c:pt>
                <c:pt idx="71">
                  <c:v>19</c:v>
                </c:pt>
                <c:pt idx="72">
                  <c:v>19</c:v>
                </c:pt>
                <c:pt idx="73">
                  <c:v>20</c:v>
                </c:pt>
                <c:pt idx="74">
                  <c:v>24</c:v>
                </c:pt>
                <c:pt idx="75">
                  <c:v>11</c:v>
                </c:pt>
                <c:pt idx="76">
                  <c:v>19</c:v>
                </c:pt>
                <c:pt idx="77">
                  <c:v>28</c:v>
                </c:pt>
                <c:pt idx="78">
                  <c:v>17</c:v>
                </c:pt>
                <c:pt idx="79">
                  <c:v>17</c:v>
                </c:pt>
                <c:pt idx="80">
                  <c:v>18</c:v>
                </c:pt>
                <c:pt idx="81">
                  <c:v>16</c:v>
                </c:pt>
                <c:pt idx="82">
                  <c:v>18</c:v>
                </c:pt>
                <c:pt idx="83">
                  <c:v>31</c:v>
                </c:pt>
                <c:pt idx="84">
                  <c:v>31</c:v>
                </c:pt>
                <c:pt idx="86">
                  <c:v>25</c:v>
                </c:pt>
                <c:pt idx="87">
                  <c:v>25</c:v>
                </c:pt>
                <c:pt idx="88">
                  <c:v>14</c:v>
                </c:pt>
                <c:pt idx="89">
                  <c:v>24</c:v>
                </c:pt>
                <c:pt idx="91">
                  <c:v>19</c:v>
                </c:pt>
                <c:pt idx="92">
                  <c:v>18</c:v>
                </c:pt>
                <c:pt idx="93">
                  <c:v>28</c:v>
                </c:pt>
                <c:pt idx="94">
                  <c:v>44</c:v>
                </c:pt>
                <c:pt idx="95">
                  <c:v>25</c:v>
                </c:pt>
                <c:pt idx="98">
                  <c:v>21</c:v>
                </c:pt>
                <c:pt idx="99">
                  <c:v>27</c:v>
                </c:pt>
                <c:pt idx="100">
                  <c:v>28</c:v>
                </c:pt>
                <c:pt idx="101">
                  <c:v>20</c:v>
                </c:pt>
                <c:pt idx="102">
                  <c:v>25</c:v>
                </c:pt>
                <c:pt idx="103">
                  <c:v>24</c:v>
                </c:pt>
                <c:pt idx="104">
                  <c:v>32</c:v>
                </c:pt>
                <c:pt idx="110">
                  <c:v>24</c:v>
                </c:pt>
                <c:pt idx="112">
                  <c:v>25</c:v>
                </c:pt>
                <c:pt idx="113">
                  <c:v>34</c:v>
                </c:pt>
                <c:pt idx="118">
                  <c:v>29</c:v>
                </c:pt>
                <c:pt idx="119">
                  <c:v>21</c:v>
                </c:pt>
                <c:pt idx="120">
                  <c:v>56</c:v>
                </c:pt>
                <c:pt idx="121">
                  <c:v>32</c:v>
                </c:pt>
                <c:pt idx="122">
                  <c:v>33</c:v>
                </c:pt>
                <c:pt idx="124">
                  <c:v>25</c:v>
                </c:pt>
                <c:pt idx="125">
                  <c:v>52</c:v>
                </c:pt>
                <c:pt idx="126">
                  <c:v>28</c:v>
                </c:pt>
                <c:pt idx="127">
                  <c:v>21</c:v>
                </c:pt>
                <c:pt idx="128">
                  <c:v>62</c:v>
                </c:pt>
                <c:pt idx="129">
                  <c:v>70</c:v>
                </c:pt>
                <c:pt idx="130">
                  <c:v>69</c:v>
                </c:pt>
                <c:pt idx="131">
                  <c:v>53</c:v>
                </c:pt>
                <c:pt idx="133">
                  <c:v>35</c:v>
                </c:pt>
                <c:pt idx="135">
                  <c:v>20</c:v>
                </c:pt>
                <c:pt idx="136">
                  <c:v>80</c:v>
                </c:pt>
                <c:pt idx="137">
                  <c:v>19</c:v>
                </c:pt>
                <c:pt idx="139">
                  <c:v>17</c:v>
                </c:pt>
                <c:pt idx="140">
                  <c:v>26</c:v>
                </c:pt>
                <c:pt idx="142">
                  <c:v>49</c:v>
                </c:pt>
                <c:pt idx="143">
                  <c:v>36</c:v>
                </c:pt>
                <c:pt idx="144">
                  <c:v>45</c:v>
                </c:pt>
                <c:pt idx="146">
                  <c:v>32</c:v>
                </c:pt>
                <c:pt idx="147">
                  <c:v>42</c:v>
                </c:pt>
                <c:pt idx="148">
                  <c:v>53</c:v>
                </c:pt>
                <c:pt idx="149">
                  <c:v>36</c:v>
                </c:pt>
                <c:pt idx="151">
                  <c:v>43</c:v>
                </c:pt>
                <c:pt idx="152">
                  <c:v>19</c:v>
                </c:pt>
                <c:pt idx="153">
                  <c:v>24</c:v>
                </c:pt>
                <c:pt idx="155">
                  <c:v>72</c:v>
                </c:pt>
                <c:pt idx="157">
                  <c:v>32</c:v>
                </c:pt>
                <c:pt idx="158">
                  <c:v>10</c:v>
                </c:pt>
                <c:pt idx="159">
                  <c:v>18</c:v>
                </c:pt>
                <c:pt idx="160">
                  <c:v>23</c:v>
                </c:pt>
                <c:pt idx="161">
                  <c:v>36</c:v>
                </c:pt>
                <c:pt idx="162">
                  <c:v>36</c:v>
                </c:pt>
                <c:pt idx="163">
                  <c:v>24</c:v>
                </c:pt>
              </c:numCache>
            </c:numRef>
          </c:yVal>
          <c:smooth val="1"/>
          <c:extLst>
            <c:ext xmlns:c16="http://schemas.microsoft.com/office/drawing/2014/chart" uri="{C3380CC4-5D6E-409C-BE32-E72D297353CC}">
              <c16:uniqueId val="{00000004-B221-47FF-BBBF-4269931F4CDF}"/>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Stats'!$T$283</c:f>
              <c:numCache>
                <c:formatCode>General</c:formatCode>
                <c:ptCount val="1"/>
                <c:pt idx="0">
                  <c:v>22</c:v>
                </c:pt>
              </c:numCache>
            </c:numRef>
          </c:yVal>
          <c:smooth val="1"/>
          <c:extLst>
            <c:ext xmlns:c16="http://schemas.microsoft.com/office/drawing/2014/chart" uri="{C3380CC4-5D6E-409C-BE32-E72D297353CC}">
              <c16:uniqueId val="{00000005-B221-47FF-BBBF-4269931F4CDF}"/>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Stats'!$T$284:$T$294</c:f>
              <c:numCache>
                <c:formatCode>General</c:formatCode>
                <c:ptCount val="11"/>
                <c:pt idx="0">
                  <c:v>16</c:v>
                </c:pt>
                <c:pt idx="1">
                  <c:v>15</c:v>
                </c:pt>
                <c:pt idx="2">
                  <c:v>12</c:v>
                </c:pt>
                <c:pt idx="3">
                  <c:v>21</c:v>
                </c:pt>
                <c:pt idx="4">
                  <c:v>9</c:v>
                </c:pt>
                <c:pt idx="5">
                  <c:v>9</c:v>
                </c:pt>
                <c:pt idx="6">
                  <c:v>24</c:v>
                </c:pt>
                <c:pt idx="7">
                  <c:v>32</c:v>
                </c:pt>
                <c:pt idx="8">
                  <c:v>28</c:v>
                </c:pt>
                <c:pt idx="9">
                  <c:v>16</c:v>
                </c:pt>
              </c:numCache>
            </c:numRef>
          </c:yVal>
          <c:smooth val="1"/>
          <c:extLst>
            <c:ext xmlns:c16="http://schemas.microsoft.com/office/drawing/2014/chart" uri="{C3380CC4-5D6E-409C-BE32-E72D297353CC}">
              <c16:uniqueId val="{00000006-B221-47FF-BBBF-4269931F4CDF}"/>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Stats'!$T$295:$T$298</c:f>
              <c:numCache>
                <c:formatCode>General</c:formatCode>
                <c:ptCount val="4"/>
                <c:pt idx="0">
                  <c:v>30</c:v>
                </c:pt>
                <c:pt idx="1">
                  <c:v>19</c:v>
                </c:pt>
                <c:pt idx="2">
                  <c:v>21</c:v>
                </c:pt>
                <c:pt idx="3">
                  <c:v>30</c:v>
                </c:pt>
              </c:numCache>
            </c:numRef>
          </c:yVal>
          <c:smooth val="1"/>
          <c:extLst>
            <c:ext xmlns:c16="http://schemas.microsoft.com/office/drawing/2014/chart" uri="{C3380CC4-5D6E-409C-BE32-E72D297353CC}">
              <c16:uniqueId val="{00000007-B221-47FF-BBBF-4269931F4CDF}"/>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Stats'!$T$299:$T$300</c:f>
              <c:numCache>
                <c:formatCode>General</c:formatCode>
                <c:ptCount val="2"/>
                <c:pt idx="0">
                  <c:v>40</c:v>
                </c:pt>
              </c:numCache>
            </c:numRef>
          </c:yVal>
          <c:smooth val="1"/>
          <c:extLst>
            <c:ext xmlns:c16="http://schemas.microsoft.com/office/drawing/2014/chart" uri="{C3380CC4-5D6E-409C-BE32-E72D297353CC}">
              <c16:uniqueId val="{00000008-B221-47FF-BBBF-4269931F4CDF}"/>
            </c:ext>
          </c:extLst>
        </c:ser>
        <c:dLbls>
          <c:showLegendKey val="0"/>
          <c:showVal val="0"/>
          <c:showCatName val="0"/>
          <c:showSerName val="0"/>
          <c:showPercent val="0"/>
          <c:showBubbleSize val="0"/>
        </c:dLbls>
        <c:axId val="727680112"/>
        <c:axId val="1"/>
      </c:scatterChart>
      <c:valAx>
        <c:axId val="727680112"/>
        <c:scaling>
          <c:orientation val="minMax"/>
          <c:max val="600"/>
          <c:min val="0"/>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Displ (LT)</a:t>
                </a:r>
              </a:p>
            </c:rich>
          </c:tx>
          <c:layout>
            <c:manualLayout>
              <c:xMode val="edge"/>
              <c:yMode val="edge"/>
              <c:x val="0.3851276359600444"/>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Complement</a:t>
                </a:r>
              </a:p>
            </c:rich>
          </c:tx>
          <c:layout>
            <c:manualLayout>
              <c:xMode val="edge"/>
              <c:yMode val="edge"/>
              <c:x val="1.4428412874583796E-2"/>
              <c:y val="0.42088091353996737"/>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80112"/>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7469478357380683"/>
          <c:y val="0.48939641109298532"/>
          <c:w val="0.22530521642619317"/>
          <c:h val="0.4078303425774877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Volumetric Froude No vs Displ</a:t>
            </a:r>
          </a:p>
        </c:rich>
      </c:tx>
      <c:layout>
        <c:manualLayout>
          <c:xMode val="edge"/>
          <c:yMode val="edge"/>
          <c:x val="0.36736958934517205"/>
          <c:y val="1.9575856443719411E-2"/>
        </c:manualLayout>
      </c:layout>
      <c:overlay val="0"/>
      <c:spPr>
        <a:noFill/>
        <a:ln w="25400">
          <a:noFill/>
        </a:ln>
      </c:spPr>
    </c:title>
    <c:autoTitleDeleted val="0"/>
    <c:plotArea>
      <c:layout>
        <c:manualLayout>
          <c:layoutTarget val="inner"/>
          <c:xMode val="edge"/>
          <c:yMode val="edge"/>
          <c:x val="7.1032186459489458E-2"/>
          <c:y val="7.3409461663947795E-2"/>
          <c:w val="0.70144284128745837"/>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8601076529191662"/>
                  <c:y val="-0.192338216327957"/>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Stats'!$AA$5:$AA$276</c:f>
              <c:numCache>
                <c:formatCode>0.000</c:formatCode>
                <c:ptCount val="272"/>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pt idx="8">
                  <c:v>4.2578781301312683</c:v>
                </c:pt>
                <c:pt idx="9">
                  <c:v>3.3448689380599737</c:v>
                </c:pt>
                <c:pt idx="10">
                  <c:v>2.9771509183214606</c:v>
                </c:pt>
                <c:pt idx="11">
                  <c:v>2.9771509183214606</c:v>
                </c:pt>
                <c:pt idx="12">
                  <c:v>2.999427721161795</c:v>
                </c:pt>
                <c:pt idx="13">
                  <c:v>2.2514270068628797</c:v>
                </c:pt>
                <c:pt idx="14">
                  <c:v>2.3576001141871554</c:v>
                </c:pt>
                <c:pt idx="15">
                  <c:v>2.190112809023498</c:v>
                </c:pt>
                <c:pt idx="16">
                  <c:v>2.1818634545719475</c:v>
                </c:pt>
                <c:pt idx="17">
                  <c:v>2.1818634545719475</c:v>
                </c:pt>
                <c:pt idx="18">
                  <c:v>2.0240101110609023</c:v>
                </c:pt>
                <c:pt idx="19">
                  <c:v>1.800731925644989</c:v>
                </c:pt>
                <c:pt idx="20">
                  <c:v>2.6619680028744539</c:v>
                </c:pt>
                <c:pt idx="21">
                  <c:v>2.6467639937173235</c:v>
                </c:pt>
                <c:pt idx="22">
                  <c:v>2.069854896780333</c:v>
                </c:pt>
                <c:pt idx="23">
                  <c:v>2.2595420483327904</c:v>
                </c:pt>
                <c:pt idx="24">
                  <c:v>2.2595420483327904</c:v>
                </c:pt>
                <c:pt idx="25">
                  <c:v>2.1669255318160054</c:v>
                </c:pt>
                <c:pt idx="26">
                  <c:v>3.1455370623135566</c:v>
                </c:pt>
                <c:pt idx="27">
                  <c:v>2.6086473483748582</c:v>
                </c:pt>
                <c:pt idx="28">
                  <c:v>1.5852204308625291</c:v>
                </c:pt>
                <c:pt idx="29">
                  <c:v>2.8819125836046848</c:v>
                </c:pt>
                <c:pt idx="30">
                  <c:v>2.8819125836046848</c:v>
                </c:pt>
                <c:pt idx="31">
                  <c:v>2.8819125836046848</c:v>
                </c:pt>
                <c:pt idx="32">
                  <c:v>2.371371051549791</c:v>
                </c:pt>
                <c:pt idx="33">
                  <c:v>2.371371051549791</c:v>
                </c:pt>
                <c:pt idx="34">
                  <c:v>2.371371051549791</c:v>
                </c:pt>
                <c:pt idx="35">
                  <c:v>2.371371051549791</c:v>
                </c:pt>
                <c:pt idx="36">
                  <c:v>2.1663529822826906</c:v>
                </c:pt>
                <c:pt idx="37">
                  <c:v>2.3618661121023545</c:v>
                </c:pt>
                <c:pt idx="38">
                  <c:v>2.3618661121023545</c:v>
                </c:pt>
                <c:pt idx="39">
                  <c:v>1.8865102430633052</c:v>
                </c:pt>
                <c:pt idx="40">
                  <c:v>2.4198393639787561</c:v>
                </c:pt>
                <c:pt idx="41">
                  <c:v>1.0673659461753169</c:v>
                </c:pt>
                <c:pt idx="42">
                  <c:v>2.2768845030336466</c:v>
                </c:pt>
                <c:pt idx="43">
                  <c:v>2.1060828598451677</c:v>
                </c:pt>
                <c:pt idx="44">
                  <c:v>2.6308096346759702</c:v>
                </c:pt>
                <c:pt idx="45">
                  <c:v>2.4205018391001354</c:v>
                </c:pt>
                <c:pt idx="46">
                  <c:v>2.2881590271964689</c:v>
                </c:pt>
                <c:pt idx="47">
                  <c:v>2.3846608081108682</c:v>
                </c:pt>
                <c:pt idx="48">
                  <c:v>2.6133269129982115</c:v>
                </c:pt>
                <c:pt idx="49">
                  <c:v>2.6786600858231666</c:v>
                </c:pt>
                <c:pt idx="50">
                  <c:v>2.6065565033135569</c:v>
                </c:pt>
                <c:pt idx="51">
                  <c:v>2.6048829497737058</c:v>
                </c:pt>
                <c:pt idx="52">
                  <c:v>2.4746388022850203</c:v>
                </c:pt>
                <c:pt idx="53">
                  <c:v>2.6048829497737058</c:v>
                </c:pt>
                <c:pt idx="54">
                  <c:v>2.6048829497737058</c:v>
                </c:pt>
                <c:pt idx="55">
                  <c:v>2.3694215380899792</c:v>
                </c:pt>
                <c:pt idx="56">
                  <c:v>2.0123854159120369</c:v>
                </c:pt>
                <c:pt idx="57">
                  <c:v>2.0123854159120369</c:v>
                </c:pt>
                <c:pt idx="58">
                  <c:v>2.3369637088010751</c:v>
                </c:pt>
                <c:pt idx="59">
                  <c:v>2.3369637088010751</c:v>
                </c:pt>
                <c:pt idx="60">
                  <c:v>2.4621711827915069</c:v>
                </c:pt>
                <c:pt idx="61">
                  <c:v>2.5917591397805335</c:v>
                </c:pt>
                <c:pt idx="62">
                  <c:v>2.5917591397805335</c:v>
                </c:pt>
                <c:pt idx="63">
                  <c:v>1.7483518224639953</c:v>
                </c:pt>
                <c:pt idx="64">
                  <c:v>2.6532632544873387</c:v>
                </c:pt>
                <c:pt idx="65">
                  <c:v>2.4591220407443628</c:v>
                </c:pt>
                <c:pt idx="66">
                  <c:v>2.3944083028300378</c:v>
                </c:pt>
                <c:pt idx="67">
                  <c:v>2.4193549999763144</c:v>
                </c:pt>
                <c:pt idx="68">
                  <c:v>2.4650646962888745</c:v>
                </c:pt>
                <c:pt idx="69">
                  <c:v>1.9757254171590406</c:v>
                </c:pt>
                <c:pt idx="70">
                  <c:v>1.8992418100053081</c:v>
                </c:pt>
                <c:pt idx="71">
                  <c:v>1.8267821846579544</c:v>
                </c:pt>
                <c:pt idx="72">
                  <c:v>2.4336286613320408</c:v>
                </c:pt>
                <c:pt idx="73">
                  <c:v>1.8548520509735185</c:v>
                </c:pt>
                <c:pt idx="74">
                  <c:v>1.5805140808096707</c:v>
                </c:pt>
                <c:pt idx="75">
                  <c:v>2.3090039333397643</c:v>
                </c:pt>
                <c:pt idx="76">
                  <c:v>2.3383974386850541</c:v>
                </c:pt>
                <c:pt idx="77">
                  <c:v>2.3100409973553808</c:v>
                </c:pt>
                <c:pt idx="78">
                  <c:v>2.160038335189447</c:v>
                </c:pt>
                <c:pt idx="79">
                  <c:v>1.800031945991206</c:v>
                </c:pt>
                <c:pt idx="80">
                  <c:v>2.2756002201116634</c:v>
                </c:pt>
                <c:pt idx="81">
                  <c:v>2.3953686527491196</c:v>
                </c:pt>
                <c:pt idx="82">
                  <c:v>1.9162949221992955</c:v>
                </c:pt>
                <c:pt idx="83">
                  <c:v>2.2729648881756734</c:v>
                </c:pt>
                <c:pt idx="84">
                  <c:v>2.2703507724055916</c:v>
                </c:pt>
                <c:pt idx="85">
                  <c:v>1.9018299064684803</c:v>
                </c:pt>
                <c:pt idx="86">
                  <c:v>1.7829655373142002</c:v>
                </c:pt>
                <c:pt idx="87">
                  <c:v>1.6474433704258884</c:v>
                </c:pt>
                <c:pt idx="88">
                  <c:v>1.6474433704258884</c:v>
                </c:pt>
                <c:pt idx="89">
                  <c:v>1.6474433704258884</c:v>
                </c:pt>
                <c:pt idx="90">
                  <c:v>1.8176719413792313</c:v>
                </c:pt>
                <c:pt idx="91">
                  <c:v>1.8115371711008192</c:v>
                </c:pt>
                <c:pt idx="92">
                  <c:v>2.184138938448057</c:v>
                </c:pt>
                <c:pt idx="93">
                  <c:v>1.9370077776077976</c:v>
                </c:pt>
                <c:pt idx="94">
                  <c:v>2.5164296498508452</c:v>
                </c:pt>
                <c:pt idx="95">
                  <c:v>2.1681106757026658</c:v>
                </c:pt>
                <c:pt idx="96">
                  <c:v>2.3618661121023545</c:v>
                </c:pt>
                <c:pt idx="97">
                  <c:v>2.6918911642423904</c:v>
                </c:pt>
                <c:pt idx="98">
                  <c:v>2.4334989120752724</c:v>
                </c:pt>
                <c:pt idx="99">
                  <c:v>1.9691089871408007</c:v>
                </c:pt>
                <c:pt idx="100">
                  <c:v>2.0712619805709669</c:v>
                </c:pt>
                <c:pt idx="101">
                  <c:v>1.9076183527014858</c:v>
                </c:pt>
                <c:pt idx="102">
                  <c:v>2.5337321871449698</c:v>
                </c:pt>
                <c:pt idx="103">
                  <c:v>1.8548520509735185</c:v>
                </c:pt>
                <c:pt idx="104">
                  <c:v>2.4264420616455706</c:v>
                </c:pt>
                <c:pt idx="105">
                  <c:v>1.9018299064684803</c:v>
                </c:pt>
                <c:pt idx="106">
                  <c:v>1.8565495046872162</c:v>
                </c:pt>
                <c:pt idx="107">
                  <c:v>2.1202846340841672</c:v>
                </c:pt>
                <c:pt idx="111">
                  <c:v>2.6802024507205884</c:v>
                </c:pt>
                <c:pt idx="112">
                  <c:v>2.6802024507205884</c:v>
                </c:pt>
                <c:pt idx="113">
                  <c:v>2.2598042570673593</c:v>
                </c:pt>
                <c:pt idx="114">
                  <c:v>1.9586239398603837</c:v>
                </c:pt>
                <c:pt idx="115">
                  <c:v>1.8617191553991561</c:v>
                </c:pt>
                <c:pt idx="117">
                  <c:v>3.1776254911569746</c:v>
                </c:pt>
                <c:pt idx="118">
                  <c:v>3.76297755531747</c:v>
                </c:pt>
                <c:pt idx="119">
                  <c:v>1.5549156853163308</c:v>
                </c:pt>
                <c:pt idx="120">
                  <c:v>4.1575285703645211</c:v>
                </c:pt>
                <c:pt idx="121">
                  <c:v>1.8823236253715079</c:v>
                </c:pt>
                <c:pt idx="122">
                  <c:v>1.7959765430568075</c:v>
                </c:pt>
                <c:pt idx="123">
                  <c:v>1.8729813961089876</c:v>
                </c:pt>
                <c:pt idx="125">
                  <c:v>1.6208298841151914</c:v>
                </c:pt>
                <c:pt idx="126">
                  <c:v>2.0073595498509755</c:v>
                </c:pt>
                <c:pt idx="127">
                  <c:v>2.3538306493316821</c:v>
                </c:pt>
                <c:pt idx="128">
                  <c:v>1.8010891385630652</c:v>
                </c:pt>
                <c:pt idx="129">
                  <c:v>2.1143220322262066</c:v>
                </c:pt>
                <c:pt idx="130">
                  <c:v>1.9429279842221934</c:v>
                </c:pt>
                <c:pt idx="131">
                  <c:v>1.7081986096172024</c:v>
                </c:pt>
                <c:pt idx="132">
                  <c:v>1.9393531043942926</c:v>
                </c:pt>
                <c:pt idx="133">
                  <c:v>1.3963342351638905</c:v>
                </c:pt>
                <c:pt idx="134">
                  <c:v>2.0906896664797538</c:v>
                </c:pt>
                <c:pt idx="135">
                  <c:v>2.4778544195315599</c:v>
                </c:pt>
                <c:pt idx="136">
                  <c:v>2.4733937933183427</c:v>
                </c:pt>
                <c:pt idx="138">
                  <c:v>1.7761637979443932</c:v>
                </c:pt>
                <c:pt idx="139">
                  <c:v>2.0060533812652697</c:v>
                </c:pt>
                <c:pt idx="140">
                  <c:v>2.3146769783830035</c:v>
                </c:pt>
                <c:pt idx="141">
                  <c:v>2.0025184533971014</c:v>
                </c:pt>
                <c:pt idx="142">
                  <c:v>3.4658973231872907</c:v>
                </c:pt>
                <c:pt idx="143">
                  <c:v>1.6174187508207356</c:v>
                </c:pt>
                <c:pt idx="144">
                  <c:v>2.0759123139622355</c:v>
                </c:pt>
                <c:pt idx="145">
                  <c:v>1.0763989776100482</c:v>
                </c:pt>
                <c:pt idx="146">
                  <c:v>1.3839415426414903</c:v>
                </c:pt>
                <c:pt idx="147">
                  <c:v>1.5324374711227635</c:v>
                </c:pt>
                <c:pt idx="148">
                  <c:v>1.5324374711227635</c:v>
                </c:pt>
                <c:pt idx="149">
                  <c:v>2.2986562066841452</c:v>
                </c:pt>
                <c:pt idx="150">
                  <c:v>1.9123083556889577</c:v>
                </c:pt>
                <c:pt idx="151">
                  <c:v>1.9091078134426536</c:v>
                </c:pt>
                <c:pt idx="152">
                  <c:v>1.680014875829535</c:v>
                </c:pt>
                <c:pt idx="153">
                  <c:v>2.0550426927633425</c:v>
                </c:pt>
                <c:pt idx="154">
                  <c:v>2.2760029008790399</c:v>
                </c:pt>
                <c:pt idx="155">
                  <c:v>1.2876796073825534</c:v>
                </c:pt>
                <c:pt idx="156">
                  <c:v>1.8906572782012951</c:v>
                </c:pt>
                <c:pt idx="157">
                  <c:v>2.2548254098171179</c:v>
                </c:pt>
                <c:pt idx="158">
                  <c:v>1.8038603278536942</c:v>
                </c:pt>
                <c:pt idx="159">
                  <c:v>2.2548254098171179</c:v>
                </c:pt>
                <c:pt idx="160">
                  <c:v>2.0889698459545594</c:v>
                </c:pt>
                <c:pt idx="161">
                  <c:v>2.2381819778084564</c:v>
                </c:pt>
                <c:pt idx="162">
                  <c:v>1.7905455822467651</c:v>
                </c:pt>
                <c:pt idx="163">
                  <c:v>1.8651516481737136</c:v>
                </c:pt>
                <c:pt idx="164">
                  <c:v>2.611212307443199</c:v>
                </c:pt>
                <c:pt idx="165">
                  <c:v>1.7905455822467651</c:v>
                </c:pt>
                <c:pt idx="166">
                  <c:v>2.3839515594120546</c:v>
                </c:pt>
                <c:pt idx="167">
                  <c:v>1.7110156116268747</c:v>
                </c:pt>
                <c:pt idx="168">
                  <c:v>3.1156493672098629</c:v>
                </c:pt>
                <c:pt idx="169">
                  <c:v>2.0742046494229696</c:v>
                </c:pt>
                <c:pt idx="170">
                  <c:v>1.6297322245466188</c:v>
                </c:pt>
                <c:pt idx="171">
                  <c:v>2.339105801127324</c:v>
                </c:pt>
                <c:pt idx="172">
                  <c:v>1.5350381819898062</c:v>
                </c:pt>
                <c:pt idx="173">
                  <c:v>1.5350381819898062</c:v>
                </c:pt>
                <c:pt idx="174">
                  <c:v>1.6727619818384931</c:v>
                </c:pt>
                <c:pt idx="175">
                  <c:v>2.324438874018226</c:v>
                </c:pt>
                <c:pt idx="176">
                  <c:v>2.3159396795747824</c:v>
                </c:pt>
                <c:pt idx="177">
                  <c:v>1.800731925644989</c:v>
                </c:pt>
                <c:pt idx="178">
                  <c:v>2.8778032463507612</c:v>
                </c:pt>
                <c:pt idx="179">
                  <c:v>1.5791320941764508</c:v>
                </c:pt>
                <c:pt idx="180">
                  <c:v>1.5056277082119847</c:v>
                </c:pt>
                <c:pt idx="181">
                  <c:v>1.882409870952791</c:v>
                </c:pt>
                <c:pt idx="182">
                  <c:v>1.7168198878166423</c:v>
                </c:pt>
                <c:pt idx="183">
                  <c:v>1.9984805899948046</c:v>
                </c:pt>
                <c:pt idx="184">
                  <c:v>0.78083843416373422</c:v>
                </c:pt>
                <c:pt idx="185">
                  <c:v>2.0574693712342165</c:v>
                </c:pt>
                <c:pt idx="186">
                  <c:v>1.409292929290979</c:v>
                </c:pt>
                <c:pt idx="187">
                  <c:v>1.409292929290979</c:v>
                </c:pt>
                <c:pt idx="188">
                  <c:v>1.2644906648138352</c:v>
                </c:pt>
                <c:pt idx="189">
                  <c:v>2.0311261489831538</c:v>
                </c:pt>
                <c:pt idx="190">
                  <c:v>1.6776197665672301</c:v>
                </c:pt>
                <c:pt idx="191">
                  <c:v>1.957223060995102</c:v>
                </c:pt>
                <c:pt idx="192">
                  <c:v>1.5378181193532943</c:v>
                </c:pt>
                <c:pt idx="193">
                  <c:v>1.9386662966524508</c:v>
                </c:pt>
                <c:pt idx="194">
                  <c:v>1.52323780451264</c:v>
                </c:pt>
                <c:pt idx="195">
                  <c:v>1.5924758865359419</c:v>
                </c:pt>
                <c:pt idx="196">
                  <c:v>2.2848567067689602</c:v>
                </c:pt>
                <c:pt idx="197">
                  <c:v>2.2848567067689602</c:v>
                </c:pt>
                <c:pt idx="198">
                  <c:v>1.7293544904966767</c:v>
                </c:pt>
                <c:pt idx="199">
                  <c:v>1.8526580894601548</c:v>
                </c:pt>
                <c:pt idx="200">
                  <c:v>1.7154241569075506</c:v>
                </c:pt>
                <c:pt idx="201">
                  <c:v>1.9212750557364568</c:v>
                </c:pt>
                <c:pt idx="202">
                  <c:v>1.6396931646346868</c:v>
                </c:pt>
                <c:pt idx="203">
                  <c:v>1.8446548102140228</c:v>
                </c:pt>
                <c:pt idx="204">
                  <c:v>2.3912191984255853</c:v>
                </c:pt>
                <c:pt idx="205">
                  <c:v>1.7763342616875775</c:v>
                </c:pt>
                <c:pt idx="206">
                  <c:v>2.1770517808483403</c:v>
                </c:pt>
                <c:pt idx="207">
                  <c:v>1.8368874400907873</c:v>
                </c:pt>
                <c:pt idx="208">
                  <c:v>1.9680634897383829</c:v>
                </c:pt>
                <c:pt idx="209">
                  <c:v>2.5643117788539844</c:v>
                </c:pt>
                <c:pt idx="210">
                  <c:v>2.0244566675163038</c:v>
                </c:pt>
                <c:pt idx="211">
                  <c:v>2.2269023342679342</c:v>
                </c:pt>
                <c:pt idx="212">
                  <c:v>2.0244566675163038</c:v>
                </c:pt>
                <c:pt idx="213">
                  <c:v>2.4950246721546208</c:v>
                </c:pt>
                <c:pt idx="214">
                  <c:v>2.0118809829277482</c:v>
                </c:pt>
                <c:pt idx="215">
                  <c:v>2.6705860337166438</c:v>
                </c:pt>
                <c:pt idx="216">
                  <c:v>1.8530898499058128</c:v>
                </c:pt>
                <c:pt idx="217">
                  <c:v>2.2766570071014969</c:v>
                </c:pt>
                <c:pt idx="218">
                  <c:v>1.9731072260069775</c:v>
                </c:pt>
                <c:pt idx="219">
                  <c:v>1.9730201130755749</c:v>
                </c:pt>
                <c:pt idx="220">
                  <c:v>1.5076306139641289</c:v>
                </c:pt>
                <c:pt idx="221">
                  <c:v>1.3109831425775034</c:v>
                </c:pt>
                <c:pt idx="222">
                  <c:v>2.6786600858231666</c:v>
                </c:pt>
                <c:pt idx="223">
                  <c:v>2.2792725810519925</c:v>
                </c:pt>
                <c:pt idx="224">
                  <c:v>1.9536622123302794</c:v>
                </c:pt>
                <c:pt idx="225">
                  <c:v>1.4301479005109514</c:v>
                </c:pt>
                <c:pt idx="226">
                  <c:v>1.6899395487665885</c:v>
                </c:pt>
                <c:pt idx="227">
                  <c:v>1.6221444697088605</c:v>
                </c:pt>
                <c:pt idx="228">
                  <c:v>1.4237022341151575</c:v>
                </c:pt>
                <c:pt idx="229">
                  <c:v>1.7699287060588778</c:v>
                </c:pt>
                <c:pt idx="230">
                  <c:v>1.2771232080101127</c:v>
                </c:pt>
                <c:pt idx="231">
                  <c:v>1.4576884456091312</c:v>
                </c:pt>
                <c:pt idx="232">
                  <c:v>1.0070367397715221</c:v>
                </c:pt>
                <c:pt idx="233">
                  <c:v>0.93877759365255919</c:v>
                </c:pt>
                <c:pt idx="234">
                  <c:v>2.1860868556917641</c:v>
                </c:pt>
                <c:pt idx="235">
                  <c:v>1.4097421406623807</c:v>
                </c:pt>
                <c:pt idx="236">
                  <c:v>1.4703807561331417</c:v>
                </c:pt>
                <c:pt idx="237">
                  <c:v>1.8686088775858676</c:v>
                </c:pt>
                <c:pt idx="238">
                  <c:v>1.8686088775858676</c:v>
                </c:pt>
                <c:pt idx="239">
                  <c:v>1.7154442154886655</c:v>
                </c:pt>
                <c:pt idx="240">
                  <c:v>2.1433888450344658</c:v>
                </c:pt>
                <c:pt idx="241">
                  <c:v>2.1433537244301895</c:v>
                </c:pt>
                <c:pt idx="242">
                  <c:v>1.2592938063436692</c:v>
                </c:pt>
                <c:pt idx="243">
                  <c:v>1.2199545575994333</c:v>
                </c:pt>
                <c:pt idx="244">
                  <c:v>1.5249431969992915</c:v>
                </c:pt>
                <c:pt idx="245">
                  <c:v>1.399933849411664</c:v>
                </c:pt>
                <c:pt idx="246">
                  <c:v>2.4308610880995074</c:v>
                </c:pt>
                <c:pt idx="247">
                  <c:v>1.2122079005518309</c:v>
                </c:pt>
                <c:pt idx="248">
                  <c:v>1.4812744270880982</c:v>
                </c:pt>
                <c:pt idx="249">
                  <c:v>1.3883137968971084</c:v>
                </c:pt>
                <c:pt idx="250">
                  <c:v>1.6813511161766443</c:v>
                </c:pt>
                <c:pt idx="251">
                  <c:v>1.3200234270602176</c:v>
                </c:pt>
                <c:pt idx="252">
                  <c:v>1.3773369753307438</c:v>
                </c:pt>
                <c:pt idx="253">
                  <c:v>2.5018619898609304</c:v>
                </c:pt>
                <c:pt idx="254">
                  <c:v>1.4284966020768219</c:v>
                </c:pt>
                <c:pt idx="255">
                  <c:v>1.6064589164368892</c:v>
                </c:pt>
                <c:pt idx="256">
                  <c:v>1.6064589164368892</c:v>
                </c:pt>
                <c:pt idx="257">
                  <c:v>1.7829655373142002</c:v>
                </c:pt>
                <c:pt idx="258">
                  <c:v>1.5452367990056399</c:v>
                </c:pt>
                <c:pt idx="259">
                  <c:v>1.4135768359906165</c:v>
                </c:pt>
                <c:pt idx="260">
                  <c:v>1.7638899870489388</c:v>
                </c:pt>
                <c:pt idx="261">
                  <c:v>1.2935193238358884</c:v>
                </c:pt>
                <c:pt idx="262">
                  <c:v>1.8175717475343196</c:v>
                </c:pt>
                <c:pt idx="263">
                  <c:v>1.6406494518428532</c:v>
                </c:pt>
                <c:pt idx="264">
                  <c:v>2.2227933120098866</c:v>
                </c:pt>
                <c:pt idx="265">
                  <c:v>1.1679532012258913</c:v>
                </c:pt>
                <c:pt idx="266">
                  <c:v>0.8674991552130713</c:v>
                </c:pt>
                <c:pt idx="267">
                  <c:v>0.86347338365293536</c:v>
                </c:pt>
                <c:pt idx="268">
                  <c:v>0.86216010728212789</c:v>
                </c:pt>
                <c:pt idx="269">
                  <c:v>1.3773770980749882</c:v>
                </c:pt>
                <c:pt idx="270">
                  <c:v>1.4347678104947794</c:v>
                </c:pt>
                <c:pt idx="271">
                  <c:v>1.3672996077231514</c:v>
                </c:pt>
              </c:numCache>
            </c:numRef>
          </c:yVal>
          <c:smooth val="1"/>
          <c:extLst>
            <c:ext xmlns:c16="http://schemas.microsoft.com/office/drawing/2014/chart" uri="{C3380CC4-5D6E-409C-BE32-E72D297353CC}">
              <c16:uniqueId val="{00000000-47D5-4A3B-8324-8F89895A5D85}"/>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9045027694563466"/>
                  <c:y val="-0.46302942303106709"/>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Stats'!$AA$5:$AA$12</c:f>
              <c:numCache>
                <c:formatCode>0.000</c:formatCode>
                <c:ptCount val="8"/>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numCache>
            </c:numRef>
          </c:yVal>
          <c:smooth val="1"/>
          <c:extLst>
            <c:ext xmlns:c16="http://schemas.microsoft.com/office/drawing/2014/chart" uri="{C3380CC4-5D6E-409C-BE32-E72D297353CC}">
              <c16:uniqueId val="{00000001-47D5-4A3B-8324-8F89895A5D85}"/>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9477360880916994"/>
                  <c:y val="-0.3872791448462119"/>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Stats'!$AA$13:$AA$98</c:f>
              <c:numCache>
                <c:formatCode>0.000</c:formatCode>
                <c:ptCount val="86"/>
                <c:pt idx="0">
                  <c:v>4.2578781301312683</c:v>
                </c:pt>
                <c:pt idx="1">
                  <c:v>3.3448689380599737</c:v>
                </c:pt>
                <c:pt idx="2">
                  <c:v>2.9771509183214606</c:v>
                </c:pt>
                <c:pt idx="3">
                  <c:v>2.9771509183214606</c:v>
                </c:pt>
                <c:pt idx="4">
                  <c:v>2.999427721161795</c:v>
                </c:pt>
                <c:pt idx="5">
                  <c:v>2.2514270068628797</c:v>
                </c:pt>
                <c:pt idx="6">
                  <c:v>2.3576001141871554</c:v>
                </c:pt>
                <c:pt idx="7">
                  <c:v>2.190112809023498</c:v>
                </c:pt>
                <c:pt idx="8">
                  <c:v>2.1818634545719475</c:v>
                </c:pt>
                <c:pt idx="9">
                  <c:v>2.1818634545719475</c:v>
                </c:pt>
                <c:pt idx="10">
                  <c:v>2.0240101110609023</c:v>
                </c:pt>
                <c:pt idx="11">
                  <c:v>1.800731925644989</c:v>
                </c:pt>
                <c:pt idx="12">
                  <c:v>2.6619680028744539</c:v>
                </c:pt>
                <c:pt idx="13">
                  <c:v>2.6467639937173235</c:v>
                </c:pt>
                <c:pt idx="14">
                  <c:v>2.069854896780333</c:v>
                </c:pt>
                <c:pt idx="15">
                  <c:v>2.2595420483327904</c:v>
                </c:pt>
                <c:pt idx="16">
                  <c:v>2.2595420483327904</c:v>
                </c:pt>
                <c:pt idx="17">
                  <c:v>2.1669255318160054</c:v>
                </c:pt>
                <c:pt idx="18">
                  <c:v>3.1455370623135566</c:v>
                </c:pt>
                <c:pt idx="19">
                  <c:v>2.6086473483748582</c:v>
                </c:pt>
                <c:pt idx="20">
                  <c:v>1.5852204308625291</c:v>
                </c:pt>
                <c:pt idx="21">
                  <c:v>2.8819125836046848</c:v>
                </c:pt>
                <c:pt idx="22">
                  <c:v>2.8819125836046848</c:v>
                </c:pt>
                <c:pt idx="23">
                  <c:v>2.8819125836046848</c:v>
                </c:pt>
                <c:pt idx="24">
                  <c:v>2.371371051549791</c:v>
                </c:pt>
                <c:pt idx="25">
                  <c:v>2.371371051549791</c:v>
                </c:pt>
                <c:pt idx="26">
                  <c:v>2.371371051549791</c:v>
                </c:pt>
                <c:pt idx="27">
                  <c:v>2.371371051549791</c:v>
                </c:pt>
                <c:pt idx="28">
                  <c:v>2.1663529822826906</c:v>
                </c:pt>
                <c:pt idx="29">
                  <c:v>2.3618661121023545</c:v>
                </c:pt>
                <c:pt idx="30">
                  <c:v>2.3618661121023545</c:v>
                </c:pt>
                <c:pt idx="31">
                  <c:v>1.8865102430633052</c:v>
                </c:pt>
                <c:pt idx="32">
                  <c:v>2.4198393639787561</c:v>
                </c:pt>
                <c:pt idx="33">
                  <c:v>1.0673659461753169</c:v>
                </c:pt>
                <c:pt idx="34">
                  <c:v>2.2768845030336466</c:v>
                </c:pt>
                <c:pt idx="35">
                  <c:v>2.1060828598451677</c:v>
                </c:pt>
                <c:pt idx="36">
                  <c:v>2.6308096346759702</c:v>
                </c:pt>
                <c:pt idx="37">
                  <c:v>2.4205018391001354</c:v>
                </c:pt>
                <c:pt idx="38">
                  <c:v>2.2881590271964689</c:v>
                </c:pt>
                <c:pt idx="39">
                  <c:v>2.3846608081108682</c:v>
                </c:pt>
                <c:pt idx="40">
                  <c:v>2.6133269129982115</c:v>
                </c:pt>
                <c:pt idx="41">
                  <c:v>2.6786600858231666</c:v>
                </c:pt>
                <c:pt idx="42">
                  <c:v>2.6065565033135569</c:v>
                </c:pt>
                <c:pt idx="43">
                  <c:v>2.6048829497737058</c:v>
                </c:pt>
                <c:pt idx="44">
                  <c:v>2.4746388022850203</c:v>
                </c:pt>
                <c:pt idx="45">
                  <c:v>2.6048829497737058</c:v>
                </c:pt>
                <c:pt idx="46">
                  <c:v>2.6048829497737058</c:v>
                </c:pt>
                <c:pt idx="47">
                  <c:v>2.3694215380899792</c:v>
                </c:pt>
                <c:pt idx="48">
                  <c:v>2.0123854159120369</c:v>
                </c:pt>
                <c:pt idx="49">
                  <c:v>2.0123854159120369</c:v>
                </c:pt>
                <c:pt idx="50">
                  <c:v>2.3369637088010751</c:v>
                </c:pt>
                <c:pt idx="51">
                  <c:v>2.3369637088010751</c:v>
                </c:pt>
                <c:pt idx="52">
                  <c:v>2.4621711827915069</c:v>
                </c:pt>
                <c:pt idx="53">
                  <c:v>2.5917591397805335</c:v>
                </c:pt>
                <c:pt idx="54">
                  <c:v>2.5917591397805335</c:v>
                </c:pt>
                <c:pt idx="55">
                  <c:v>1.7483518224639953</c:v>
                </c:pt>
                <c:pt idx="56">
                  <c:v>2.6532632544873387</c:v>
                </c:pt>
                <c:pt idx="57">
                  <c:v>2.4591220407443628</c:v>
                </c:pt>
                <c:pt idx="58">
                  <c:v>2.3944083028300378</c:v>
                </c:pt>
                <c:pt idx="59">
                  <c:v>2.4193549999763144</c:v>
                </c:pt>
                <c:pt idx="60">
                  <c:v>2.4650646962888745</c:v>
                </c:pt>
                <c:pt idx="61">
                  <c:v>1.9757254171590406</c:v>
                </c:pt>
                <c:pt idx="62">
                  <c:v>1.8992418100053081</c:v>
                </c:pt>
                <c:pt idx="63">
                  <c:v>1.8267821846579544</c:v>
                </c:pt>
                <c:pt idx="64">
                  <c:v>2.4336286613320408</c:v>
                </c:pt>
                <c:pt idx="65">
                  <c:v>1.8548520509735185</c:v>
                </c:pt>
                <c:pt idx="66">
                  <c:v>1.5805140808096707</c:v>
                </c:pt>
                <c:pt idx="67">
                  <c:v>2.3090039333397643</c:v>
                </c:pt>
                <c:pt idx="68">
                  <c:v>2.3383974386850541</c:v>
                </c:pt>
                <c:pt idx="69">
                  <c:v>2.3100409973553808</c:v>
                </c:pt>
                <c:pt idx="70">
                  <c:v>2.160038335189447</c:v>
                </c:pt>
                <c:pt idx="71">
                  <c:v>1.800031945991206</c:v>
                </c:pt>
                <c:pt idx="72">
                  <c:v>2.2756002201116634</c:v>
                </c:pt>
                <c:pt idx="73">
                  <c:v>2.3953686527491196</c:v>
                </c:pt>
                <c:pt idx="74">
                  <c:v>1.9162949221992955</c:v>
                </c:pt>
                <c:pt idx="75">
                  <c:v>2.2729648881756734</c:v>
                </c:pt>
                <c:pt idx="76">
                  <c:v>2.2703507724055916</c:v>
                </c:pt>
                <c:pt idx="77">
                  <c:v>1.9018299064684803</c:v>
                </c:pt>
                <c:pt idx="78">
                  <c:v>1.7829655373142002</c:v>
                </c:pt>
                <c:pt idx="79">
                  <c:v>1.6474433704258884</c:v>
                </c:pt>
                <c:pt idx="80">
                  <c:v>1.6474433704258884</c:v>
                </c:pt>
                <c:pt idx="81">
                  <c:v>1.6474433704258884</c:v>
                </c:pt>
                <c:pt idx="82">
                  <c:v>1.8176719413792313</c:v>
                </c:pt>
                <c:pt idx="83">
                  <c:v>1.8115371711008192</c:v>
                </c:pt>
                <c:pt idx="84">
                  <c:v>2.184138938448057</c:v>
                </c:pt>
                <c:pt idx="85">
                  <c:v>1.9370077776077976</c:v>
                </c:pt>
              </c:numCache>
            </c:numRef>
          </c:yVal>
          <c:smooth val="1"/>
          <c:extLst>
            <c:ext xmlns:c16="http://schemas.microsoft.com/office/drawing/2014/chart" uri="{C3380CC4-5D6E-409C-BE32-E72D297353CC}">
              <c16:uniqueId val="{00000002-47D5-4A3B-8324-8F89895A5D85}"/>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926499887828166"/>
                  <c:y val="-0.30206009773647785"/>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Stats'!$AA$99:$AA$112</c:f>
              <c:numCache>
                <c:formatCode>0.000</c:formatCode>
                <c:ptCount val="14"/>
                <c:pt idx="0">
                  <c:v>2.5164296498508452</c:v>
                </c:pt>
                <c:pt idx="1">
                  <c:v>2.1681106757026658</c:v>
                </c:pt>
                <c:pt idx="2">
                  <c:v>2.3618661121023545</c:v>
                </c:pt>
                <c:pt idx="3">
                  <c:v>2.6918911642423904</c:v>
                </c:pt>
                <c:pt idx="4">
                  <c:v>2.4334989120752724</c:v>
                </c:pt>
                <c:pt idx="5">
                  <c:v>1.9691089871408007</c:v>
                </c:pt>
                <c:pt idx="6">
                  <c:v>2.0712619805709669</c:v>
                </c:pt>
                <c:pt idx="7">
                  <c:v>1.9076183527014858</c:v>
                </c:pt>
                <c:pt idx="8">
                  <c:v>2.5337321871449698</c:v>
                </c:pt>
                <c:pt idx="9">
                  <c:v>1.8548520509735185</c:v>
                </c:pt>
                <c:pt idx="10">
                  <c:v>2.4264420616455706</c:v>
                </c:pt>
                <c:pt idx="11">
                  <c:v>1.9018299064684803</c:v>
                </c:pt>
                <c:pt idx="12">
                  <c:v>1.8565495046872162</c:v>
                </c:pt>
                <c:pt idx="13">
                  <c:v>2.1202846340841672</c:v>
                </c:pt>
              </c:numCache>
            </c:numRef>
          </c:yVal>
          <c:smooth val="1"/>
          <c:extLst>
            <c:ext xmlns:c16="http://schemas.microsoft.com/office/drawing/2014/chart" uri="{C3380CC4-5D6E-409C-BE32-E72D297353CC}">
              <c16:uniqueId val="{00000003-47D5-4A3B-8324-8F89895A5D85}"/>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09903592328368"/>
                  <c:y val="-0.32813396423255486"/>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Stats'!$AA$113:$AA$276</c:f>
              <c:numCache>
                <c:formatCode>0.000</c:formatCode>
                <c:ptCount val="164"/>
                <c:pt idx="3">
                  <c:v>2.6802024507205884</c:v>
                </c:pt>
                <c:pt idx="4">
                  <c:v>2.6802024507205884</c:v>
                </c:pt>
                <c:pt idx="5">
                  <c:v>2.2598042570673593</c:v>
                </c:pt>
                <c:pt idx="6">
                  <c:v>1.9586239398603837</c:v>
                </c:pt>
                <c:pt idx="7">
                  <c:v>1.8617191553991561</c:v>
                </c:pt>
                <c:pt idx="9">
                  <c:v>3.1776254911569746</c:v>
                </c:pt>
                <c:pt idx="10">
                  <c:v>3.76297755531747</c:v>
                </c:pt>
                <c:pt idx="11">
                  <c:v>1.5549156853163308</c:v>
                </c:pt>
                <c:pt idx="12">
                  <c:v>4.1575285703645211</c:v>
                </c:pt>
                <c:pt idx="13">
                  <c:v>1.8823236253715079</c:v>
                </c:pt>
                <c:pt idx="14">
                  <c:v>1.7959765430568075</c:v>
                </c:pt>
                <c:pt idx="15">
                  <c:v>1.8729813961089876</c:v>
                </c:pt>
                <c:pt idx="17">
                  <c:v>1.6208298841151914</c:v>
                </c:pt>
                <c:pt idx="18">
                  <c:v>2.0073595498509755</c:v>
                </c:pt>
                <c:pt idx="19">
                  <c:v>2.3538306493316821</c:v>
                </c:pt>
                <c:pt idx="20">
                  <c:v>1.8010891385630652</c:v>
                </c:pt>
                <c:pt idx="21">
                  <c:v>2.1143220322262066</c:v>
                </c:pt>
                <c:pt idx="22">
                  <c:v>1.9429279842221934</c:v>
                </c:pt>
                <c:pt idx="23">
                  <c:v>1.7081986096172024</c:v>
                </c:pt>
                <c:pt idx="24">
                  <c:v>1.9393531043942926</c:v>
                </c:pt>
                <c:pt idx="25">
                  <c:v>1.3963342351638905</c:v>
                </c:pt>
                <c:pt idx="26">
                  <c:v>2.0906896664797538</c:v>
                </c:pt>
                <c:pt idx="27">
                  <c:v>2.4778544195315599</c:v>
                </c:pt>
                <c:pt idx="28">
                  <c:v>2.4733937933183427</c:v>
                </c:pt>
                <c:pt idx="30">
                  <c:v>1.7761637979443932</c:v>
                </c:pt>
                <c:pt idx="31">
                  <c:v>2.0060533812652697</c:v>
                </c:pt>
                <c:pt idx="32">
                  <c:v>2.3146769783830035</c:v>
                </c:pt>
                <c:pt idx="33">
                  <c:v>2.0025184533971014</c:v>
                </c:pt>
                <c:pt idx="34">
                  <c:v>3.4658973231872907</c:v>
                </c:pt>
                <c:pt idx="35">
                  <c:v>1.6174187508207356</c:v>
                </c:pt>
                <c:pt idx="36">
                  <c:v>2.0759123139622355</c:v>
                </c:pt>
                <c:pt idx="37">
                  <c:v>1.0763989776100482</c:v>
                </c:pt>
                <c:pt idx="38">
                  <c:v>1.3839415426414903</c:v>
                </c:pt>
                <c:pt idx="39">
                  <c:v>1.5324374711227635</c:v>
                </c:pt>
                <c:pt idx="40">
                  <c:v>1.5324374711227635</c:v>
                </c:pt>
                <c:pt idx="41">
                  <c:v>2.2986562066841452</c:v>
                </c:pt>
                <c:pt idx="42">
                  <c:v>1.9123083556889577</c:v>
                </c:pt>
                <c:pt idx="43">
                  <c:v>1.9091078134426536</c:v>
                </c:pt>
                <c:pt idx="44">
                  <c:v>1.680014875829535</c:v>
                </c:pt>
                <c:pt idx="45">
                  <c:v>2.0550426927633425</c:v>
                </c:pt>
                <c:pt idx="46">
                  <c:v>2.2760029008790399</c:v>
                </c:pt>
                <c:pt idx="47">
                  <c:v>1.2876796073825534</c:v>
                </c:pt>
                <c:pt idx="48">
                  <c:v>1.8906572782012951</c:v>
                </c:pt>
                <c:pt idx="49">
                  <c:v>2.2548254098171179</c:v>
                </c:pt>
                <c:pt idx="50">
                  <c:v>1.8038603278536942</c:v>
                </c:pt>
                <c:pt idx="51">
                  <c:v>2.2548254098171179</c:v>
                </c:pt>
                <c:pt idx="52">
                  <c:v>2.0889698459545594</c:v>
                </c:pt>
                <c:pt idx="53">
                  <c:v>2.2381819778084564</c:v>
                </c:pt>
                <c:pt idx="54">
                  <c:v>1.7905455822467651</c:v>
                </c:pt>
                <c:pt idx="55">
                  <c:v>1.8651516481737136</c:v>
                </c:pt>
                <c:pt idx="56">
                  <c:v>2.611212307443199</c:v>
                </c:pt>
                <c:pt idx="57">
                  <c:v>1.7905455822467651</c:v>
                </c:pt>
                <c:pt idx="58">
                  <c:v>2.3839515594120546</c:v>
                </c:pt>
                <c:pt idx="59">
                  <c:v>1.7110156116268747</c:v>
                </c:pt>
                <c:pt idx="60">
                  <c:v>3.1156493672098629</c:v>
                </c:pt>
                <c:pt idx="61">
                  <c:v>2.0742046494229696</c:v>
                </c:pt>
                <c:pt idx="62">
                  <c:v>1.6297322245466188</c:v>
                </c:pt>
                <c:pt idx="63">
                  <c:v>2.339105801127324</c:v>
                </c:pt>
                <c:pt idx="64">
                  <c:v>1.5350381819898062</c:v>
                </c:pt>
                <c:pt idx="65">
                  <c:v>1.5350381819898062</c:v>
                </c:pt>
                <c:pt idx="66">
                  <c:v>1.6727619818384931</c:v>
                </c:pt>
                <c:pt idx="67">
                  <c:v>2.324438874018226</c:v>
                </c:pt>
                <c:pt idx="68">
                  <c:v>2.3159396795747824</c:v>
                </c:pt>
                <c:pt idx="69">
                  <c:v>1.800731925644989</c:v>
                </c:pt>
                <c:pt idx="70">
                  <c:v>2.8778032463507612</c:v>
                </c:pt>
                <c:pt idx="71">
                  <c:v>1.5791320941764508</c:v>
                </c:pt>
                <c:pt idx="72">
                  <c:v>1.5056277082119847</c:v>
                </c:pt>
                <c:pt idx="73">
                  <c:v>1.882409870952791</c:v>
                </c:pt>
                <c:pt idx="74">
                  <c:v>1.7168198878166423</c:v>
                </c:pt>
                <c:pt idx="75">
                  <c:v>1.9984805899948046</c:v>
                </c:pt>
                <c:pt idx="76">
                  <c:v>0.78083843416373422</c:v>
                </c:pt>
                <c:pt idx="77">
                  <c:v>2.0574693712342165</c:v>
                </c:pt>
                <c:pt idx="78">
                  <c:v>1.409292929290979</c:v>
                </c:pt>
                <c:pt idx="79">
                  <c:v>1.409292929290979</c:v>
                </c:pt>
                <c:pt idx="80">
                  <c:v>1.2644906648138352</c:v>
                </c:pt>
                <c:pt idx="81">
                  <c:v>2.0311261489831538</c:v>
                </c:pt>
                <c:pt idx="82">
                  <c:v>1.6776197665672301</c:v>
                </c:pt>
                <c:pt idx="83">
                  <c:v>1.957223060995102</c:v>
                </c:pt>
                <c:pt idx="84">
                  <c:v>1.5378181193532943</c:v>
                </c:pt>
                <c:pt idx="85">
                  <c:v>1.9386662966524508</c:v>
                </c:pt>
                <c:pt idx="86">
                  <c:v>1.52323780451264</c:v>
                </c:pt>
                <c:pt idx="87">
                  <c:v>1.5924758865359419</c:v>
                </c:pt>
                <c:pt idx="88">
                  <c:v>2.2848567067689602</c:v>
                </c:pt>
                <c:pt idx="89">
                  <c:v>2.2848567067689602</c:v>
                </c:pt>
                <c:pt idx="90">
                  <c:v>1.7293544904966767</c:v>
                </c:pt>
                <c:pt idx="91">
                  <c:v>1.8526580894601548</c:v>
                </c:pt>
                <c:pt idx="92">
                  <c:v>1.7154241569075506</c:v>
                </c:pt>
                <c:pt idx="93">
                  <c:v>1.9212750557364568</c:v>
                </c:pt>
                <c:pt idx="94">
                  <c:v>1.6396931646346868</c:v>
                </c:pt>
                <c:pt idx="95">
                  <c:v>1.8446548102140228</c:v>
                </c:pt>
                <c:pt idx="96">
                  <c:v>2.3912191984255853</c:v>
                </c:pt>
                <c:pt idx="97">
                  <c:v>1.7763342616875775</c:v>
                </c:pt>
                <c:pt idx="98">
                  <c:v>2.1770517808483403</c:v>
                </c:pt>
                <c:pt idx="99">
                  <c:v>1.8368874400907873</c:v>
                </c:pt>
                <c:pt idx="100">
                  <c:v>1.9680634897383829</c:v>
                </c:pt>
                <c:pt idx="101">
                  <c:v>2.5643117788539844</c:v>
                </c:pt>
                <c:pt idx="102">
                  <c:v>2.0244566675163038</c:v>
                </c:pt>
                <c:pt idx="103">
                  <c:v>2.2269023342679342</c:v>
                </c:pt>
                <c:pt idx="104">
                  <c:v>2.0244566675163038</c:v>
                </c:pt>
                <c:pt idx="105">
                  <c:v>2.4950246721546208</c:v>
                </c:pt>
                <c:pt idx="106">
                  <c:v>2.0118809829277482</c:v>
                </c:pt>
                <c:pt idx="107">
                  <c:v>2.6705860337166438</c:v>
                </c:pt>
                <c:pt idx="108">
                  <c:v>1.8530898499058128</c:v>
                </c:pt>
                <c:pt idx="109">
                  <c:v>2.2766570071014969</c:v>
                </c:pt>
                <c:pt idx="110">
                  <c:v>1.9731072260069775</c:v>
                </c:pt>
                <c:pt idx="111">
                  <c:v>1.9730201130755749</c:v>
                </c:pt>
                <c:pt idx="112">
                  <c:v>1.5076306139641289</c:v>
                </c:pt>
                <c:pt idx="113">
                  <c:v>1.3109831425775034</c:v>
                </c:pt>
                <c:pt idx="114">
                  <c:v>2.6786600858231666</c:v>
                </c:pt>
                <c:pt idx="115">
                  <c:v>2.2792725810519925</c:v>
                </c:pt>
                <c:pt idx="116">
                  <c:v>1.9536622123302794</c:v>
                </c:pt>
                <c:pt idx="117">
                  <c:v>1.4301479005109514</c:v>
                </c:pt>
                <c:pt idx="118">
                  <c:v>1.6899395487665885</c:v>
                </c:pt>
                <c:pt idx="119">
                  <c:v>1.6221444697088605</c:v>
                </c:pt>
                <c:pt idx="120">
                  <c:v>1.4237022341151575</c:v>
                </c:pt>
                <c:pt idx="121">
                  <c:v>1.7699287060588778</c:v>
                </c:pt>
                <c:pt idx="122">
                  <c:v>1.2771232080101127</c:v>
                </c:pt>
                <c:pt idx="123">
                  <c:v>1.4576884456091312</c:v>
                </c:pt>
                <c:pt idx="124">
                  <c:v>1.0070367397715221</c:v>
                </c:pt>
                <c:pt idx="125">
                  <c:v>0.93877759365255919</c:v>
                </c:pt>
                <c:pt idx="126">
                  <c:v>2.1860868556917641</c:v>
                </c:pt>
                <c:pt idx="127">
                  <c:v>1.4097421406623807</c:v>
                </c:pt>
                <c:pt idx="128">
                  <c:v>1.4703807561331417</c:v>
                </c:pt>
                <c:pt idx="129">
                  <c:v>1.8686088775858676</c:v>
                </c:pt>
                <c:pt idx="130">
                  <c:v>1.8686088775858676</c:v>
                </c:pt>
                <c:pt idx="131">
                  <c:v>1.7154442154886655</c:v>
                </c:pt>
                <c:pt idx="132">
                  <c:v>2.1433888450344658</c:v>
                </c:pt>
                <c:pt idx="133">
                  <c:v>2.1433537244301895</c:v>
                </c:pt>
                <c:pt idx="134">
                  <c:v>1.2592938063436692</c:v>
                </c:pt>
                <c:pt idx="135">
                  <c:v>1.2199545575994333</c:v>
                </c:pt>
                <c:pt idx="136">
                  <c:v>1.5249431969992915</c:v>
                </c:pt>
                <c:pt idx="137">
                  <c:v>1.399933849411664</c:v>
                </c:pt>
                <c:pt idx="138">
                  <c:v>2.4308610880995074</c:v>
                </c:pt>
                <c:pt idx="139">
                  <c:v>1.2122079005518309</c:v>
                </c:pt>
                <c:pt idx="140">
                  <c:v>1.4812744270880982</c:v>
                </c:pt>
                <c:pt idx="141">
                  <c:v>1.3883137968971084</c:v>
                </c:pt>
                <c:pt idx="142">
                  <c:v>1.6813511161766443</c:v>
                </c:pt>
                <c:pt idx="143">
                  <c:v>1.3200234270602176</c:v>
                </c:pt>
                <c:pt idx="144">
                  <c:v>1.3773369753307438</c:v>
                </c:pt>
                <c:pt idx="145">
                  <c:v>2.5018619898609304</c:v>
                </c:pt>
                <c:pt idx="146">
                  <c:v>1.4284966020768219</c:v>
                </c:pt>
                <c:pt idx="147">
                  <c:v>1.6064589164368892</c:v>
                </c:pt>
                <c:pt idx="148">
                  <c:v>1.6064589164368892</c:v>
                </c:pt>
                <c:pt idx="149">
                  <c:v>1.7829655373142002</c:v>
                </c:pt>
                <c:pt idx="150">
                  <c:v>1.5452367990056399</c:v>
                </c:pt>
                <c:pt idx="151">
                  <c:v>1.4135768359906165</c:v>
                </c:pt>
                <c:pt idx="152">
                  <c:v>1.7638899870489388</c:v>
                </c:pt>
                <c:pt idx="153">
                  <c:v>1.2935193238358884</c:v>
                </c:pt>
                <c:pt idx="154">
                  <c:v>1.8175717475343196</c:v>
                </c:pt>
                <c:pt idx="155">
                  <c:v>1.6406494518428532</c:v>
                </c:pt>
                <c:pt idx="156">
                  <c:v>2.2227933120098866</c:v>
                </c:pt>
                <c:pt idx="157">
                  <c:v>1.1679532012258913</c:v>
                </c:pt>
                <c:pt idx="158">
                  <c:v>0.8674991552130713</c:v>
                </c:pt>
                <c:pt idx="159">
                  <c:v>0.86347338365293536</c:v>
                </c:pt>
                <c:pt idx="160">
                  <c:v>0.86216010728212789</c:v>
                </c:pt>
                <c:pt idx="161">
                  <c:v>1.3773770980749882</c:v>
                </c:pt>
                <c:pt idx="162">
                  <c:v>1.4347678104947794</c:v>
                </c:pt>
                <c:pt idx="163">
                  <c:v>1.3672996077231514</c:v>
                </c:pt>
              </c:numCache>
            </c:numRef>
          </c:yVal>
          <c:smooth val="1"/>
          <c:extLst>
            <c:ext xmlns:c16="http://schemas.microsoft.com/office/drawing/2014/chart" uri="{C3380CC4-5D6E-409C-BE32-E72D297353CC}">
              <c16:uniqueId val="{00000004-47D5-4A3B-8324-8F89895A5D85}"/>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Stats'!$AA$283</c:f>
              <c:numCache>
                <c:formatCode>0.000</c:formatCode>
                <c:ptCount val="1"/>
                <c:pt idx="0">
                  <c:v>1.9450834864481774</c:v>
                </c:pt>
              </c:numCache>
            </c:numRef>
          </c:yVal>
          <c:smooth val="1"/>
          <c:extLst>
            <c:ext xmlns:c16="http://schemas.microsoft.com/office/drawing/2014/chart" uri="{C3380CC4-5D6E-409C-BE32-E72D297353CC}">
              <c16:uniqueId val="{00000005-47D5-4A3B-8324-8F89895A5D85}"/>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Stats'!$AA$284:$AA$294</c:f>
              <c:numCache>
                <c:formatCode>0.000</c:formatCode>
                <c:ptCount val="11"/>
                <c:pt idx="3">
                  <c:v>1.6221444697088605</c:v>
                </c:pt>
                <c:pt idx="6">
                  <c:v>1.9731072260069775</c:v>
                </c:pt>
                <c:pt idx="7">
                  <c:v>1.7699287060588778</c:v>
                </c:pt>
                <c:pt idx="8">
                  <c:v>2.1860868556917641</c:v>
                </c:pt>
                <c:pt idx="9">
                  <c:v>2.0311261489831538</c:v>
                </c:pt>
                <c:pt idx="10">
                  <c:v>1.9386662966524508</c:v>
                </c:pt>
              </c:numCache>
            </c:numRef>
          </c:yVal>
          <c:smooth val="1"/>
          <c:extLst>
            <c:ext xmlns:c16="http://schemas.microsoft.com/office/drawing/2014/chart" uri="{C3380CC4-5D6E-409C-BE32-E72D297353CC}">
              <c16:uniqueId val="{00000006-47D5-4A3B-8324-8F89895A5D85}"/>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Stats'!$AA$295:$AA$298</c:f>
              <c:numCache>
                <c:formatCode>0.000</c:formatCode>
                <c:ptCount val="4"/>
                <c:pt idx="0">
                  <c:v>2.5337321871449698</c:v>
                </c:pt>
                <c:pt idx="1">
                  <c:v>1.9691089871408007</c:v>
                </c:pt>
                <c:pt idx="2">
                  <c:v>2.0712619805709669</c:v>
                </c:pt>
                <c:pt idx="3">
                  <c:v>1.9076183527014858</c:v>
                </c:pt>
              </c:numCache>
            </c:numRef>
          </c:yVal>
          <c:smooth val="1"/>
          <c:extLst>
            <c:ext xmlns:c16="http://schemas.microsoft.com/office/drawing/2014/chart" uri="{C3380CC4-5D6E-409C-BE32-E72D297353CC}">
              <c16:uniqueId val="{00000007-47D5-4A3B-8324-8F89895A5D85}"/>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Stats'!$AA$299:$AA$300</c:f>
              <c:numCache>
                <c:formatCode>0.000</c:formatCode>
                <c:ptCount val="2"/>
                <c:pt idx="0">
                  <c:v>2.6048829497737058</c:v>
                </c:pt>
              </c:numCache>
            </c:numRef>
          </c:yVal>
          <c:smooth val="1"/>
          <c:extLst>
            <c:ext xmlns:c16="http://schemas.microsoft.com/office/drawing/2014/chart" uri="{C3380CC4-5D6E-409C-BE32-E72D297353CC}">
              <c16:uniqueId val="{00000008-47D5-4A3B-8324-8F89895A5D85}"/>
            </c:ext>
          </c:extLst>
        </c:ser>
        <c:dLbls>
          <c:showLegendKey val="0"/>
          <c:showVal val="0"/>
          <c:showCatName val="0"/>
          <c:showSerName val="0"/>
          <c:showPercent val="0"/>
          <c:showBubbleSize val="0"/>
        </c:dLbls>
        <c:axId val="727674536"/>
        <c:axId val="1"/>
      </c:scatterChart>
      <c:valAx>
        <c:axId val="727674536"/>
        <c:scaling>
          <c:orientation val="minMax"/>
          <c:max val="600"/>
          <c:min val="0"/>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Displ (LT)</a:t>
                </a:r>
              </a:p>
            </c:rich>
          </c:tx>
          <c:layout>
            <c:manualLayout>
              <c:xMode val="edge"/>
              <c:yMode val="edge"/>
              <c:x val="0.38734739178690342"/>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5"/>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Fnv</a:t>
                </a:r>
              </a:p>
            </c:rich>
          </c:tx>
          <c:layout>
            <c:manualLayout>
              <c:xMode val="edge"/>
              <c:yMode val="edge"/>
              <c:x val="1.3318534961154272E-2"/>
              <c:y val="0.46492659053833607"/>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4536"/>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7469478357380683"/>
          <c:y val="0.48939641109298532"/>
          <c:w val="0.22530521642619317"/>
          <c:h val="0.4078303425774877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Max Speed vs Displ</a:t>
            </a:r>
          </a:p>
        </c:rich>
      </c:tx>
      <c:layout>
        <c:manualLayout>
          <c:xMode val="edge"/>
          <c:yMode val="edge"/>
          <c:x val="0.41398446170921199"/>
          <c:y val="1.9575856443719411E-2"/>
        </c:manualLayout>
      </c:layout>
      <c:overlay val="0"/>
      <c:spPr>
        <a:noFill/>
        <a:ln w="25400">
          <a:noFill/>
        </a:ln>
      </c:spPr>
    </c:title>
    <c:autoTitleDeleted val="0"/>
    <c:plotArea>
      <c:layout>
        <c:manualLayout>
          <c:layoutTarget val="inner"/>
          <c:xMode val="edge"/>
          <c:yMode val="edge"/>
          <c:x val="6.6592674805771371E-2"/>
          <c:y val="7.3409461663947795E-2"/>
          <c:w val="0.70477247502774698"/>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494605251845587"/>
                  <c:y val="-0.11961751614330945"/>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Stats'!$Y$5:$Y$279</c:f>
              <c:numCache>
                <c:formatCode>0.0</c:formatCode>
                <c:ptCount val="275"/>
                <c:pt idx="0">
                  <c:v>38</c:v>
                </c:pt>
                <c:pt idx="1">
                  <c:v>32</c:v>
                </c:pt>
                <c:pt idx="2">
                  <c:v>36</c:v>
                </c:pt>
                <c:pt idx="3">
                  <c:v>30</c:v>
                </c:pt>
                <c:pt idx="4">
                  <c:v>32</c:v>
                </c:pt>
                <c:pt idx="5">
                  <c:v>36</c:v>
                </c:pt>
                <c:pt idx="6">
                  <c:v>31</c:v>
                </c:pt>
                <c:pt idx="7">
                  <c:v>35</c:v>
                </c:pt>
                <c:pt idx="8">
                  <c:v>50</c:v>
                </c:pt>
                <c:pt idx="9">
                  <c:v>40</c:v>
                </c:pt>
                <c:pt idx="10">
                  <c:v>37.5</c:v>
                </c:pt>
                <c:pt idx="11">
                  <c:v>37.5</c:v>
                </c:pt>
                <c:pt idx="12">
                  <c:v>38</c:v>
                </c:pt>
                <c:pt idx="13">
                  <c:v>30</c:v>
                </c:pt>
                <c:pt idx="14">
                  <c:v>32</c:v>
                </c:pt>
                <c:pt idx="15">
                  <c:v>30</c:v>
                </c:pt>
                <c:pt idx="16">
                  <c:v>30</c:v>
                </c:pt>
                <c:pt idx="17">
                  <c:v>30</c:v>
                </c:pt>
                <c:pt idx="18">
                  <c:v>28</c:v>
                </c:pt>
                <c:pt idx="19">
                  <c:v>25</c:v>
                </c:pt>
                <c:pt idx="20">
                  <c:v>37</c:v>
                </c:pt>
                <c:pt idx="21">
                  <c:v>37</c:v>
                </c:pt>
                <c:pt idx="22">
                  <c:v>29</c:v>
                </c:pt>
                <c:pt idx="23">
                  <c:v>32</c:v>
                </c:pt>
                <c:pt idx="24">
                  <c:v>32</c:v>
                </c:pt>
                <c:pt idx="25">
                  <c:v>31</c:v>
                </c:pt>
                <c:pt idx="26">
                  <c:v>45</c:v>
                </c:pt>
                <c:pt idx="27">
                  <c:v>37.5</c:v>
                </c:pt>
                <c:pt idx="28">
                  <c:v>23</c:v>
                </c:pt>
                <c:pt idx="29">
                  <c:v>42</c:v>
                </c:pt>
                <c:pt idx="30">
                  <c:v>42</c:v>
                </c:pt>
                <c:pt idx="31">
                  <c:v>42</c:v>
                </c:pt>
                <c:pt idx="32">
                  <c:v>35</c:v>
                </c:pt>
                <c:pt idx="33">
                  <c:v>35</c:v>
                </c:pt>
                <c:pt idx="34">
                  <c:v>35</c:v>
                </c:pt>
                <c:pt idx="35">
                  <c:v>35</c:v>
                </c:pt>
                <c:pt idx="36">
                  <c:v>32</c:v>
                </c:pt>
                <c:pt idx="37">
                  <c:v>35</c:v>
                </c:pt>
                <c:pt idx="38">
                  <c:v>35</c:v>
                </c:pt>
                <c:pt idx="39">
                  <c:v>28</c:v>
                </c:pt>
                <c:pt idx="40">
                  <c:v>36</c:v>
                </c:pt>
                <c:pt idx="41">
                  <c:v>16</c:v>
                </c:pt>
                <c:pt idx="42">
                  <c:v>34.5</c:v>
                </c:pt>
                <c:pt idx="43">
                  <c:v>32</c:v>
                </c:pt>
                <c:pt idx="44">
                  <c:v>40</c:v>
                </c:pt>
                <c:pt idx="45">
                  <c:v>37</c:v>
                </c:pt>
                <c:pt idx="46">
                  <c:v>35</c:v>
                </c:pt>
                <c:pt idx="47">
                  <c:v>36.5</c:v>
                </c:pt>
                <c:pt idx="48">
                  <c:v>40</c:v>
                </c:pt>
                <c:pt idx="49">
                  <c:v>41</c:v>
                </c:pt>
                <c:pt idx="50">
                  <c:v>40</c:v>
                </c:pt>
                <c:pt idx="51">
                  <c:v>40</c:v>
                </c:pt>
                <c:pt idx="52">
                  <c:v>38</c:v>
                </c:pt>
                <c:pt idx="53">
                  <c:v>40</c:v>
                </c:pt>
                <c:pt idx="54">
                  <c:v>40</c:v>
                </c:pt>
                <c:pt idx="55">
                  <c:v>36.5</c:v>
                </c:pt>
                <c:pt idx="56">
                  <c:v>31</c:v>
                </c:pt>
                <c:pt idx="57">
                  <c:v>31</c:v>
                </c:pt>
                <c:pt idx="58">
                  <c:v>36</c:v>
                </c:pt>
                <c:pt idx="59">
                  <c:v>36</c:v>
                </c:pt>
                <c:pt idx="60">
                  <c:v>38</c:v>
                </c:pt>
                <c:pt idx="61">
                  <c:v>40</c:v>
                </c:pt>
                <c:pt idx="62">
                  <c:v>40</c:v>
                </c:pt>
                <c:pt idx="63">
                  <c:v>27</c:v>
                </c:pt>
                <c:pt idx="64">
                  <c:v>41</c:v>
                </c:pt>
                <c:pt idx="65">
                  <c:v>38</c:v>
                </c:pt>
                <c:pt idx="66">
                  <c:v>37</c:v>
                </c:pt>
                <c:pt idx="67">
                  <c:v>37.5</c:v>
                </c:pt>
                <c:pt idx="68">
                  <c:v>39</c:v>
                </c:pt>
                <c:pt idx="69">
                  <c:v>32</c:v>
                </c:pt>
                <c:pt idx="70">
                  <c:v>31</c:v>
                </c:pt>
                <c:pt idx="71">
                  <c:v>30</c:v>
                </c:pt>
                <c:pt idx="72">
                  <c:v>40</c:v>
                </c:pt>
                <c:pt idx="73">
                  <c:v>30.5</c:v>
                </c:pt>
                <c:pt idx="74">
                  <c:v>26</c:v>
                </c:pt>
                <c:pt idx="75">
                  <c:v>38</c:v>
                </c:pt>
                <c:pt idx="76">
                  <c:v>38.5</c:v>
                </c:pt>
                <c:pt idx="77">
                  <c:v>38.5</c:v>
                </c:pt>
                <c:pt idx="78">
                  <c:v>36</c:v>
                </c:pt>
                <c:pt idx="79">
                  <c:v>30</c:v>
                </c:pt>
                <c:pt idx="80">
                  <c:v>38</c:v>
                </c:pt>
                <c:pt idx="81">
                  <c:v>40</c:v>
                </c:pt>
                <c:pt idx="82">
                  <c:v>32</c:v>
                </c:pt>
                <c:pt idx="83">
                  <c:v>38</c:v>
                </c:pt>
                <c:pt idx="84">
                  <c:v>38</c:v>
                </c:pt>
                <c:pt idx="85">
                  <c:v>32</c:v>
                </c:pt>
                <c:pt idx="86">
                  <c:v>30</c:v>
                </c:pt>
                <c:pt idx="87">
                  <c:v>28</c:v>
                </c:pt>
                <c:pt idx="88">
                  <c:v>28</c:v>
                </c:pt>
                <c:pt idx="89">
                  <c:v>28</c:v>
                </c:pt>
                <c:pt idx="90">
                  <c:v>31</c:v>
                </c:pt>
                <c:pt idx="91">
                  <c:v>31</c:v>
                </c:pt>
                <c:pt idx="92">
                  <c:v>38</c:v>
                </c:pt>
                <c:pt idx="93">
                  <c:v>34</c:v>
                </c:pt>
                <c:pt idx="94">
                  <c:v>36</c:v>
                </c:pt>
                <c:pt idx="95">
                  <c:v>32</c:v>
                </c:pt>
                <c:pt idx="96">
                  <c:v>35</c:v>
                </c:pt>
                <c:pt idx="97">
                  <c:v>40.5</c:v>
                </c:pt>
                <c:pt idx="98">
                  <c:v>37</c:v>
                </c:pt>
                <c:pt idx="99">
                  <c:v>30</c:v>
                </c:pt>
                <c:pt idx="100">
                  <c:v>32</c:v>
                </c:pt>
                <c:pt idx="101">
                  <c:v>30</c:v>
                </c:pt>
                <c:pt idx="102">
                  <c:v>40</c:v>
                </c:pt>
                <c:pt idx="103">
                  <c:v>30.5</c:v>
                </c:pt>
                <c:pt idx="104">
                  <c:v>40</c:v>
                </c:pt>
                <c:pt idx="105">
                  <c:v>32</c:v>
                </c:pt>
                <c:pt idx="106">
                  <c:v>32</c:v>
                </c:pt>
                <c:pt idx="107">
                  <c:v>37</c:v>
                </c:pt>
                <c:pt idx="108">
                  <c:v>23.8</c:v>
                </c:pt>
                <c:pt idx="109">
                  <c:v>29</c:v>
                </c:pt>
                <c:pt idx="110">
                  <c:v>22.5</c:v>
                </c:pt>
                <c:pt idx="111">
                  <c:v>30</c:v>
                </c:pt>
                <c:pt idx="112">
                  <c:v>30</c:v>
                </c:pt>
                <c:pt idx="113">
                  <c:v>26</c:v>
                </c:pt>
                <c:pt idx="114">
                  <c:v>23</c:v>
                </c:pt>
                <c:pt idx="115">
                  <c:v>22</c:v>
                </c:pt>
                <c:pt idx="117">
                  <c:v>38</c:v>
                </c:pt>
                <c:pt idx="118">
                  <c:v>45</c:v>
                </c:pt>
                <c:pt idx="119">
                  <c:v>18.7</c:v>
                </c:pt>
                <c:pt idx="120">
                  <c:v>50</c:v>
                </c:pt>
                <c:pt idx="121">
                  <c:v>23</c:v>
                </c:pt>
                <c:pt idx="122">
                  <c:v>22</c:v>
                </c:pt>
                <c:pt idx="123">
                  <c:v>23</c:v>
                </c:pt>
                <c:pt idx="124">
                  <c:v>18</c:v>
                </c:pt>
                <c:pt idx="125">
                  <c:v>20</c:v>
                </c:pt>
                <c:pt idx="126">
                  <c:v>25</c:v>
                </c:pt>
                <c:pt idx="127">
                  <c:v>30</c:v>
                </c:pt>
                <c:pt idx="128">
                  <c:v>23</c:v>
                </c:pt>
                <c:pt idx="129">
                  <c:v>27</c:v>
                </c:pt>
                <c:pt idx="130">
                  <c:v>25</c:v>
                </c:pt>
                <c:pt idx="131">
                  <c:v>22</c:v>
                </c:pt>
                <c:pt idx="132">
                  <c:v>25</c:v>
                </c:pt>
                <c:pt idx="133">
                  <c:v>18</c:v>
                </c:pt>
                <c:pt idx="134">
                  <c:v>27</c:v>
                </c:pt>
                <c:pt idx="135">
                  <c:v>32</c:v>
                </c:pt>
                <c:pt idx="136">
                  <c:v>32</c:v>
                </c:pt>
                <c:pt idx="137">
                  <c:v>18</c:v>
                </c:pt>
                <c:pt idx="138">
                  <c:v>23</c:v>
                </c:pt>
                <c:pt idx="139">
                  <c:v>26</c:v>
                </c:pt>
                <c:pt idx="140">
                  <c:v>30</c:v>
                </c:pt>
                <c:pt idx="141">
                  <c:v>26</c:v>
                </c:pt>
                <c:pt idx="142">
                  <c:v>45</c:v>
                </c:pt>
                <c:pt idx="143">
                  <c:v>21</c:v>
                </c:pt>
                <c:pt idx="144">
                  <c:v>27</c:v>
                </c:pt>
                <c:pt idx="145">
                  <c:v>14</c:v>
                </c:pt>
                <c:pt idx="146">
                  <c:v>18</c:v>
                </c:pt>
                <c:pt idx="147">
                  <c:v>20</c:v>
                </c:pt>
                <c:pt idx="148">
                  <c:v>20</c:v>
                </c:pt>
                <c:pt idx="149">
                  <c:v>30</c:v>
                </c:pt>
                <c:pt idx="150">
                  <c:v>25</c:v>
                </c:pt>
                <c:pt idx="151">
                  <c:v>25</c:v>
                </c:pt>
                <c:pt idx="152">
                  <c:v>22</c:v>
                </c:pt>
                <c:pt idx="153">
                  <c:v>27</c:v>
                </c:pt>
                <c:pt idx="154">
                  <c:v>30</c:v>
                </c:pt>
                <c:pt idx="155">
                  <c:v>17</c:v>
                </c:pt>
                <c:pt idx="156">
                  <c:v>25</c:v>
                </c:pt>
                <c:pt idx="157">
                  <c:v>30</c:v>
                </c:pt>
                <c:pt idx="158">
                  <c:v>24</c:v>
                </c:pt>
                <c:pt idx="159">
                  <c:v>30</c:v>
                </c:pt>
                <c:pt idx="160">
                  <c:v>28</c:v>
                </c:pt>
                <c:pt idx="161">
                  <c:v>30</c:v>
                </c:pt>
                <c:pt idx="162">
                  <c:v>24</c:v>
                </c:pt>
                <c:pt idx="163">
                  <c:v>25</c:v>
                </c:pt>
                <c:pt idx="164">
                  <c:v>35</c:v>
                </c:pt>
                <c:pt idx="165">
                  <c:v>24</c:v>
                </c:pt>
                <c:pt idx="166">
                  <c:v>32</c:v>
                </c:pt>
                <c:pt idx="167">
                  <c:v>23</c:v>
                </c:pt>
                <c:pt idx="168">
                  <c:v>42</c:v>
                </c:pt>
                <c:pt idx="169">
                  <c:v>28</c:v>
                </c:pt>
                <c:pt idx="170">
                  <c:v>22</c:v>
                </c:pt>
                <c:pt idx="171">
                  <c:v>32</c:v>
                </c:pt>
                <c:pt idx="172">
                  <c:v>21</c:v>
                </c:pt>
                <c:pt idx="173">
                  <c:v>21</c:v>
                </c:pt>
                <c:pt idx="174">
                  <c:v>23</c:v>
                </c:pt>
                <c:pt idx="175">
                  <c:v>32</c:v>
                </c:pt>
                <c:pt idx="176">
                  <c:v>32</c:v>
                </c:pt>
                <c:pt idx="177">
                  <c:v>25</c:v>
                </c:pt>
                <c:pt idx="178">
                  <c:v>40</c:v>
                </c:pt>
                <c:pt idx="179">
                  <c:v>22</c:v>
                </c:pt>
                <c:pt idx="180">
                  <c:v>21</c:v>
                </c:pt>
                <c:pt idx="181">
                  <c:v>26.3</c:v>
                </c:pt>
                <c:pt idx="182">
                  <c:v>24</c:v>
                </c:pt>
                <c:pt idx="183">
                  <c:v>28</c:v>
                </c:pt>
                <c:pt idx="184">
                  <c:v>11</c:v>
                </c:pt>
                <c:pt idx="185">
                  <c:v>29</c:v>
                </c:pt>
                <c:pt idx="186">
                  <c:v>20</c:v>
                </c:pt>
                <c:pt idx="187">
                  <c:v>20</c:v>
                </c:pt>
                <c:pt idx="188">
                  <c:v>18</c:v>
                </c:pt>
                <c:pt idx="189">
                  <c:v>29</c:v>
                </c:pt>
                <c:pt idx="190">
                  <c:v>24</c:v>
                </c:pt>
                <c:pt idx="191">
                  <c:v>28</c:v>
                </c:pt>
                <c:pt idx="192">
                  <c:v>22</c:v>
                </c:pt>
                <c:pt idx="193">
                  <c:v>28</c:v>
                </c:pt>
                <c:pt idx="194">
                  <c:v>22</c:v>
                </c:pt>
                <c:pt idx="195">
                  <c:v>23</c:v>
                </c:pt>
                <c:pt idx="196">
                  <c:v>33</c:v>
                </c:pt>
                <c:pt idx="197">
                  <c:v>33</c:v>
                </c:pt>
                <c:pt idx="198">
                  <c:v>25</c:v>
                </c:pt>
                <c:pt idx="199">
                  <c:v>27</c:v>
                </c:pt>
                <c:pt idx="200">
                  <c:v>25</c:v>
                </c:pt>
                <c:pt idx="201">
                  <c:v>28</c:v>
                </c:pt>
                <c:pt idx="202">
                  <c:v>24</c:v>
                </c:pt>
                <c:pt idx="203">
                  <c:v>27</c:v>
                </c:pt>
                <c:pt idx="204">
                  <c:v>35</c:v>
                </c:pt>
                <c:pt idx="205">
                  <c:v>26</c:v>
                </c:pt>
                <c:pt idx="206">
                  <c:v>32</c:v>
                </c:pt>
                <c:pt idx="207">
                  <c:v>27</c:v>
                </c:pt>
                <c:pt idx="208">
                  <c:v>29</c:v>
                </c:pt>
                <c:pt idx="209">
                  <c:v>38</c:v>
                </c:pt>
                <c:pt idx="210">
                  <c:v>30</c:v>
                </c:pt>
                <c:pt idx="211">
                  <c:v>33</c:v>
                </c:pt>
                <c:pt idx="212">
                  <c:v>30</c:v>
                </c:pt>
                <c:pt idx="213">
                  <c:v>37</c:v>
                </c:pt>
                <c:pt idx="214">
                  <c:v>30</c:v>
                </c:pt>
                <c:pt idx="215">
                  <c:v>40</c:v>
                </c:pt>
                <c:pt idx="216">
                  <c:v>28</c:v>
                </c:pt>
                <c:pt idx="217">
                  <c:v>34.5</c:v>
                </c:pt>
                <c:pt idx="218">
                  <c:v>30</c:v>
                </c:pt>
                <c:pt idx="219">
                  <c:v>30</c:v>
                </c:pt>
                <c:pt idx="220">
                  <c:v>23</c:v>
                </c:pt>
                <c:pt idx="221">
                  <c:v>20</c:v>
                </c:pt>
                <c:pt idx="222">
                  <c:v>41</c:v>
                </c:pt>
                <c:pt idx="223">
                  <c:v>35</c:v>
                </c:pt>
                <c:pt idx="224">
                  <c:v>30</c:v>
                </c:pt>
                <c:pt idx="225">
                  <c:v>22</c:v>
                </c:pt>
                <c:pt idx="226">
                  <c:v>26</c:v>
                </c:pt>
                <c:pt idx="227">
                  <c:v>25</c:v>
                </c:pt>
                <c:pt idx="228">
                  <c:v>22</c:v>
                </c:pt>
                <c:pt idx="229">
                  <c:v>27.5</c:v>
                </c:pt>
                <c:pt idx="230">
                  <c:v>20</c:v>
                </c:pt>
                <c:pt idx="231">
                  <c:v>23</c:v>
                </c:pt>
                <c:pt idx="232">
                  <c:v>16</c:v>
                </c:pt>
                <c:pt idx="233">
                  <c:v>15</c:v>
                </c:pt>
                <c:pt idx="234">
                  <c:v>35</c:v>
                </c:pt>
                <c:pt idx="235">
                  <c:v>23</c:v>
                </c:pt>
                <c:pt idx="236">
                  <c:v>24</c:v>
                </c:pt>
                <c:pt idx="237">
                  <c:v>30.5</c:v>
                </c:pt>
                <c:pt idx="238">
                  <c:v>30.5</c:v>
                </c:pt>
                <c:pt idx="239">
                  <c:v>28</c:v>
                </c:pt>
                <c:pt idx="240">
                  <c:v>35</c:v>
                </c:pt>
                <c:pt idx="241">
                  <c:v>35</c:v>
                </c:pt>
                <c:pt idx="242">
                  <c:v>20.6</c:v>
                </c:pt>
                <c:pt idx="243">
                  <c:v>20</c:v>
                </c:pt>
                <c:pt idx="244">
                  <c:v>25</c:v>
                </c:pt>
                <c:pt idx="245">
                  <c:v>23</c:v>
                </c:pt>
                <c:pt idx="246">
                  <c:v>40</c:v>
                </c:pt>
                <c:pt idx="247">
                  <c:v>20</c:v>
                </c:pt>
                <c:pt idx="248">
                  <c:v>24.5</c:v>
                </c:pt>
                <c:pt idx="249">
                  <c:v>23</c:v>
                </c:pt>
                <c:pt idx="250">
                  <c:v>28</c:v>
                </c:pt>
                <c:pt idx="251">
                  <c:v>22</c:v>
                </c:pt>
                <c:pt idx="252">
                  <c:v>23</c:v>
                </c:pt>
                <c:pt idx="253">
                  <c:v>42</c:v>
                </c:pt>
                <c:pt idx="254">
                  <c:v>24</c:v>
                </c:pt>
                <c:pt idx="255">
                  <c:v>27</c:v>
                </c:pt>
                <c:pt idx="256">
                  <c:v>27</c:v>
                </c:pt>
                <c:pt idx="257">
                  <c:v>30</c:v>
                </c:pt>
                <c:pt idx="258">
                  <c:v>26</c:v>
                </c:pt>
                <c:pt idx="259">
                  <c:v>24</c:v>
                </c:pt>
                <c:pt idx="260">
                  <c:v>30</c:v>
                </c:pt>
                <c:pt idx="261">
                  <c:v>22</c:v>
                </c:pt>
                <c:pt idx="262">
                  <c:v>31</c:v>
                </c:pt>
                <c:pt idx="263">
                  <c:v>28</c:v>
                </c:pt>
                <c:pt idx="264">
                  <c:v>38</c:v>
                </c:pt>
                <c:pt idx="265">
                  <c:v>20</c:v>
                </c:pt>
                <c:pt idx="266">
                  <c:v>15</c:v>
                </c:pt>
                <c:pt idx="267">
                  <c:v>15</c:v>
                </c:pt>
                <c:pt idx="268">
                  <c:v>15</c:v>
                </c:pt>
                <c:pt idx="269">
                  <c:v>24</c:v>
                </c:pt>
                <c:pt idx="270">
                  <c:v>25</c:v>
                </c:pt>
                <c:pt idx="271">
                  <c:v>24</c:v>
                </c:pt>
              </c:numCache>
            </c:numRef>
          </c:yVal>
          <c:smooth val="1"/>
          <c:extLst>
            <c:ext xmlns:c16="http://schemas.microsoft.com/office/drawing/2014/chart" uri="{C3380CC4-5D6E-409C-BE32-E72D297353CC}">
              <c16:uniqueId val="{00000000-9A26-40D7-9FD4-71704A76ED67}"/>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971894352700394"/>
                  <c:y val="-0.34853952694084167"/>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Stats'!$Y$5:$Y$12</c:f>
              <c:numCache>
                <c:formatCode>0.0</c:formatCode>
                <c:ptCount val="8"/>
                <c:pt idx="0">
                  <c:v>38</c:v>
                </c:pt>
                <c:pt idx="1">
                  <c:v>32</c:v>
                </c:pt>
                <c:pt idx="2">
                  <c:v>36</c:v>
                </c:pt>
                <c:pt idx="3">
                  <c:v>30</c:v>
                </c:pt>
                <c:pt idx="4">
                  <c:v>32</c:v>
                </c:pt>
                <c:pt idx="5">
                  <c:v>36</c:v>
                </c:pt>
                <c:pt idx="6">
                  <c:v>31</c:v>
                </c:pt>
                <c:pt idx="7">
                  <c:v>35</c:v>
                </c:pt>
              </c:numCache>
            </c:numRef>
          </c:yVal>
          <c:smooth val="1"/>
          <c:extLst>
            <c:ext xmlns:c16="http://schemas.microsoft.com/office/drawing/2014/chart" uri="{C3380CC4-5D6E-409C-BE32-E72D297353CC}">
              <c16:uniqueId val="{00000001-9A26-40D7-9FD4-71704A76ED67}"/>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00433981346815"/>
                  <c:y val="-0.27295559985664514"/>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Stats'!$Y$13:$Y$98</c:f>
              <c:numCache>
                <c:formatCode>0.0</c:formatCode>
                <c:ptCount val="86"/>
                <c:pt idx="0">
                  <c:v>50</c:v>
                </c:pt>
                <c:pt idx="1">
                  <c:v>40</c:v>
                </c:pt>
                <c:pt idx="2">
                  <c:v>37.5</c:v>
                </c:pt>
                <c:pt idx="3">
                  <c:v>37.5</c:v>
                </c:pt>
                <c:pt idx="4">
                  <c:v>38</c:v>
                </c:pt>
                <c:pt idx="5">
                  <c:v>30</c:v>
                </c:pt>
                <c:pt idx="6">
                  <c:v>32</c:v>
                </c:pt>
                <c:pt idx="7">
                  <c:v>30</c:v>
                </c:pt>
                <c:pt idx="8">
                  <c:v>30</c:v>
                </c:pt>
                <c:pt idx="9">
                  <c:v>30</c:v>
                </c:pt>
                <c:pt idx="10">
                  <c:v>28</c:v>
                </c:pt>
                <c:pt idx="11">
                  <c:v>25</c:v>
                </c:pt>
                <c:pt idx="12">
                  <c:v>37</c:v>
                </c:pt>
                <c:pt idx="13">
                  <c:v>37</c:v>
                </c:pt>
                <c:pt idx="14">
                  <c:v>29</c:v>
                </c:pt>
                <c:pt idx="15">
                  <c:v>32</c:v>
                </c:pt>
                <c:pt idx="16">
                  <c:v>32</c:v>
                </c:pt>
                <c:pt idx="17">
                  <c:v>31</c:v>
                </c:pt>
                <c:pt idx="18">
                  <c:v>45</c:v>
                </c:pt>
                <c:pt idx="19">
                  <c:v>37.5</c:v>
                </c:pt>
                <c:pt idx="20">
                  <c:v>23</c:v>
                </c:pt>
                <c:pt idx="21">
                  <c:v>42</c:v>
                </c:pt>
                <c:pt idx="22">
                  <c:v>42</c:v>
                </c:pt>
                <c:pt idx="23">
                  <c:v>42</c:v>
                </c:pt>
                <c:pt idx="24">
                  <c:v>35</c:v>
                </c:pt>
                <c:pt idx="25">
                  <c:v>35</c:v>
                </c:pt>
                <c:pt idx="26">
                  <c:v>35</c:v>
                </c:pt>
                <c:pt idx="27">
                  <c:v>35</c:v>
                </c:pt>
                <c:pt idx="28">
                  <c:v>32</c:v>
                </c:pt>
                <c:pt idx="29">
                  <c:v>35</c:v>
                </c:pt>
                <c:pt idx="30">
                  <c:v>35</c:v>
                </c:pt>
                <c:pt idx="31">
                  <c:v>28</c:v>
                </c:pt>
                <c:pt idx="32">
                  <c:v>36</c:v>
                </c:pt>
                <c:pt idx="33">
                  <c:v>16</c:v>
                </c:pt>
                <c:pt idx="34">
                  <c:v>34.5</c:v>
                </c:pt>
                <c:pt idx="35">
                  <c:v>32</c:v>
                </c:pt>
                <c:pt idx="36">
                  <c:v>40</c:v>
                </c:pt>
                <c:pt idx="37">
                  <c:v>37</c:v>
                </c:pt>
                <c:pt idx="38">
                  <c:v>35</c:v>
                </c:pt>
                <c:pt idx="39">
                  <c:v>36.5</c:v>
                </c:pt>
                <c:pt idx="40">
                  <c:v>40</c:v>
                </c:pt>
                <c:pt idx="41">
                  <c:v>41</c:v>
                </c:pt>
                <c:pt idx="42">
                  <c:v>40</c:v>
                </c:pt>
                <c:pt idx="43">
                  <c:v>40</c:v>
                </c:pt>
                <c:pt idx="44">
                  <c:v>38</c:v>
                </c:pt>
                <c:pt idx="45">
                  <c:v>40</c:v>
                </c:pt>
                <c:pt idx="46">
                  <c:v>40</c:v>
                </c:pt>
                <c:pt idx="47">
                  <c:v>36.5</c:v>
                </c:pt>
                <c:pt idx="48">
                  <c:v>31</c:v>
                </c:pt>
                <c:pt idx="49">
                  <c:v>31</c:v>
                </c:pt>
                <c:pt idx="50">
                  <c:v>36</c:v>
                </c:pt>
                <c:pt idx="51">
                  <c:v>36</c:v>
                </c:pt>
                <c:pt idx="52">
                  <c:v>38</c:v>
                </c:pt>
                <c:pt idx="53">
                  <c:v>40</c:v>
                </c:pt>
                <c:pt idx="54">
                  <c:v>40</c:v>
                </c:pt>
                <c:pt idx="55">
                  <c:v>27</c:v>
                </c:pt>
                <c:pt idx="56">
                  <c:v>41</c:v>
                </c:pt>
                <c:pt idx="57">
                  <c:v>38</c:v>
                </c:pt>
                <c:pt idx="58">
                  <c:v>37</c:v>
                </c:pt>
                <c:pt idx="59">
                  <c:v>37.5</c:v>
                </c:pt>
                <c:pt idx="60">
                  <c:v>39</c:v>
                </c:pt>
                <c:pt idx="61">
                  <c:v>32</c:v>
                </c:pt>
                <c:pt idx="62">
                  <c:v>31</c:v>
                </c:pt>
                <c:pt idx="63">
                  <c:v>30</c:v>
                </c:pt>
                <c:pt idx="64">
                  <c:v>40</c:v>
                </c:pt>
                <c:pt idx="65">
                  <c:v>30.5</c:v>
                </c:pt>
                <c:pt idx="66">
                  <c:v>26</c:v>
                </c:pt>
                <c:pt idx="67">
                  <c:v>38</c:v>
                </c:pt>
                <c:pt idx="68">
                  <c:v>38.5</c:v>
                </c:pt>
                <c:pt idx="69">
                  <c:v>38.5</c:v>
                </c:pt>
                <c:pt idx="70">
                  <c:v>36</c:v>
                </c:pt>
                <c:pt idx="71">
                  <c:v>30</c:v>
                </c:pt>
                <c:pt idx="72">
                  <c:v>38</c:v>
                </c:pt>
                <c:pt idx="73">
                  <c:v>40</c:v>
                </c:pt>
                <c:pt idx="74">
                  <c:v>32</c:v>
                </c:pt>
                <c:pt idx="75">
                  <c:v>38</c:v>
                </c:pt>
                <c:pt idx="76">
                  <c:v>38</c:v>
                </c:pt>
                <c:pt idx="77">
                  <c:v>32</c:v>
                </c:pt>
                <c:pt idx="78">
                  <c:v>30</c:v>
                </c:pt>
                <c:pt idx="79">
                  <c:v>28</c:v>
                </c:pt>
                <c:pt idx="80">
                  <c:v>28</c:v>
                </c:pt>
                <c:pt idx="81">
                  <c:v>28</c:v>
                </c:pt>
                <c:pt idx="82">
                  <c:v>31</c:v>
                </c:pt>
                <c:pt idx="83">
                  <c:v>31</c:v>
                </c:pt>
                <c:pt idx="84">
                  <c:v>38</c:v>
                </c:pt>
                <c:pt idx="85">
                  <c:v>34</c:v>
                </c:pt>
              </c:numCache>
            </c:numRef>
          </c:yVal>
          <c:smooth val="1"/>
          <c:extLst>
            <c:ext xmlns:c16="http://schemas.microsoft.com/office/drawing/2014/chart" uri="{C3380CC4-5D6E-409C-BE32-E72D297353CC}">
              <c16:uniqueId val="{00000002-9A26-40D7-9FD4-71704A76ED67}"/>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57037090391748"/>
                  <c:y val="-0.19963022986835249"/>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Stats'!$Y$99:$Y$112</c:f>
              <c:numCache>
                <c:formatCode>0.0</c:formatCode>
                <c:ptCount val="14"/>
                <c:pt idx="0">
                  <c:v>36</c:v>
                </c:pt>
                <c:pt idx="1">
                  <c:v>32</c:v>
                </c:pt>
                <c:pt idx="2">
                  <c:v>35</c:v>
                </c:pt>
                <c:pt idx="3">
                  <c:v>40.5</c:v>
                </c:pt>
                <c:pt idx="4">
                  <c:v>37</c:v>
                </c:pt>
                <c:pt idx="5">
                  <c:v>30</c:v>
                </c:pt>
                <c:pt idx="6">
                  <c:v>32</c:v>
                </c:pt>
                <c:pt idx="7">
                  <c:v>30</c:v>
                </c:pt>
                <c:pt idx="8">
                  <c:v>40</c:v>
                </c:pt>
                <c:pt idx="9">
                  <c:v>30.5</c:v>
                </c:pt>
                <c:pt idx="10">
                  <c:v>40</c:v>
                </c:pt>
                <c:pt idx="11">
                  <c:v>32</c:v>
                </c:pt>
                <c:pt idx="12">
                  <c:v>32</c:v>
                </c:pt>
                <c:pt idx="13">
                  <c:v>37</c:v>
                </c:pt>
              </c:numCache>
            </c:numRef>
          </c:yVal>
          <c:smooth val="1"/>
          <c:extLst>
            <c:ext xmlns:c16="http://schemas.microsoft.com/office/drawing/2014/chart" uri="{C3380CC4-5D6E-409C-BE32-E72D297353CC}">
              <c16:uniqueId val="{00000003-9A26-40D7-9FD4-71704A76ED67}"/>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71043476065264"/>
                  <c:y val="-0.2845304039266349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Stats'!$Y$113:$Y$276</c:f>
              <c:numCache>
                <c:formatCode>0.0</c:formatCode>
                <c:ptCount val="164"/>
                <c:pt idx="0">
                  <c:v>23.8</c:v>
                </c:pt>
                <c:pt idx="1">
                  <c:v>29</c:v>
                </c:pt>
                <c:pt idx="2">
                  <c:v>22.5</c:v>
                </c:pt>
                <c:pt idx="3">
                  <c:v>30</c:v>
                </c:pt>
                <c:pt idx="4">
                  <c:v>30</c:v>
                </c:pt>
                <c:pt idx="5">
                  <c:v>26</c:v>
                </c:pt>
                <c:pt idx="6">
                  <c:v>23</c:v>
                </c:pt>
                <c:pt idx="7">
                  <c:v>22</c:v>
                </c:pt>
                <c:pt idx="9">
                  <c:v>38</c:v>
                </c:pt>
                <c:pt idx="10">
                  <c:v>45</c:v>
                </c:pt>
                <c:pt idx="11">
                  <c:v>18.7</c:v>
                </c:pt>
                <c:pt idx="12">
                  <c:v>50</c:v>
                </c:pt>
                <c:pt idx="13">
                  <c:v>23</c:v>
                </c:pt>
                <c:pt idx="14">
                  <c:v>22</c:v>
                </c:pt>
                <c:pt idx="15">
                  <c:v>23</c:v>
                </c:pt>
                <c:pt idx="16">
                  <c:v>18</c:v>
                </c:pt>
                <c:pt idx="17">
                  <c:v>20</c:v>
                </c:pt>
                <c:pt idx="18">
                  <c:v>25</c:v>
                </c:pt>
                <c:pt idx="19">
                  <c:v>30</c:v>
                </c:pt>
                <c:pt idx="20">
                  <c:v>23</c:v>
                </c:pt>
                <c:pt idx="21">
                  <c:v>27</c:v>
                </c:pt>
                <c:pt idx="22">
                  <c:v>25</c:v>
                </c:pt>
                <c:pt idx="23">
                  <c:v>22</c:v>
                </c:pt>
                <c:pt idx="24">
                  <c:v>25</c:v>
                </c:pt>
                <c:pt idx="25">
                  <c:v>18</c:v>
                </c:pt>
                <c:pt idx="26">
                  <c:v>27</c:v>
                </c:pt>
                <c:pt idx="27">
                  <c:v>32</c:v>
                </c:pt>
                <c:pt idx="28">
                  <c:v>32</c:v>
                </c:pt>
                <c:pt idx="29">
                  <c:v>18</c:v>
                </c:pt>
                <c:pt idx="30">
                  <c:v>23</c:v>
                </c:pt>
                <c:pt idx="31">
                  <c:v>26</c:v>
                </c:pt>
                <c:pt idx="32">
                  <c:v>30</c:v>
                </c:pt>
                <c:pt idx="33">
                  <c:v>26</c:v>
                </c:pt>
                <c:pt idx="34">
                  <c:v>45</c:v>
                </c:pt>
                <c:pt idx="35">
                  <c:v>21</c:v>
                </c:pt>
                <c:pt idx="36">
                  <c:v>27</c:v>
                </c:pt>
                <c:pt idx="37">
                  <c:v>14</c:v>
                </c:pt>
                <c:pt idx="38">
                  <c:v>18</c:v>
                </c:pt>
                <c:pt idx="39">
                  <c:v>20</c:v>
                </c:pt>
                <c:pt idx="40">
                  <c:v>20</c:v>
                </c:pt>
                <c:pt idx="41">
                  <c:v>30</c:v>
                </c:pt>
                <c:pt idx="42">
                  <c:v>25</c:v>
                </c:pt>
                <c:pt idx="43">
                  <c:v>25</c:v>
                </c:pt>
                <c:pt idx="44">
                  <c:v>22</c:v>
                </c:pt>
                <c:pt idx="45">
                  <c:v>27</c:v>
                </c:pt>
                <c:pt idx="46">
                  <c:v>30</c:v>
                </c:pt>
                <c:pt idx="47">
                  <c:v>17</c:v>
                </c:pt>
                <c:pt idx="48">
                  <c:v>25</c:v>
                </c:pt>
                <c:pt idx="49">
                  <c:v>30</c:v>
                </c:pt>
                <c:pt idx="50">
                  <c:v>24</c:v>
                </c:pt>
                <c:pt idx="51">
                  <c:v>30</c:v>
                </c:pt>
                <c:pt idx="52">
                  <c:v>28</c:v>
                </c:pt>
                <c:pt idx="53">
                  <c:v>30</c:v>
                </c:pt>
                <c:pt idx="54">
                  <c:v>24</c:v>
                </c:pt>
                <c:pt idx="55">
                  <c:v>25</c:v>
                </c:pt>
                <c:pt idx="56">
                  <c:v>35</c:v>
                </c:pt>
                <c:pt idx="57">
                  <c:v>24</c:v>
                </c:pt>
                <c:pt idx="58">
                  <c:v>32</c:v>
                </c:pt>
                <c:pt idx="59">
                  <c:v>23</c:v>
                </c:pt>
                <c:pt idx="60">
                  <c:v>42</c:v>
                </c:pt>
                <c:pt idx="61">
                  <c:v>28</c:v>
                </c:pt>
                <c:pt idx="62">
                  <c:v>22</c:v>
                </c:pt>
                <c:pt idx="63">
                  <c:v>32</c:v>
                </c:pt>
                <c:pt idx="64">
                  <c:v>21</c:v>
                </c:pt>
                <c:pt idx="65">
                  <c:v>21</c:v>
                </c:pt>
                <c:pt idx="66">
                  <c:v>23</c:v>
                </c:pt>
                <c:pt idx="67">
                  <c:v>32</c:v>
                </c:pt>
                <c:pt idx="68">
                  <c:v>32</c:v>
                </c:pt>
                <c:pt idx="69">
                  <c:v>25</c:v>
                </c:pt>
                <c:pt idx="70">
                  <c:v>40</c:v>
                </c:pt>
                <c:pt idx="71">
                  <c:v>22</c:v>
                </c:pt>
                <c:pt idx="72">
                  <c:v>21</c:v>
                </c:pt>
                <c:pt idx="73">
                  <c:v>26.3</c:v>
                </c:pt>
                <c:pt idx="74">
                  <c:v>24</c:v>
                </c:pt>
                <c:pt idx="75">
                  <c:v>28</c:v>
                </c:pt>
                <c:pt idx="76">
                  <c:v>11</c:v>
                </c:pt>
                <c:pt idx="77">
                  <c:v>29</c:v>
                </c:pt>
                <c:pt idx="78">
                  <c:v>20</c:v>
                </c:pt>
                <c:pt idx="79">
                  <c:v>20</c:v>
                </c:pt>
                <c:pt idx="80">
                  <c:v>18</c:v>
                </c:pt>
                <c:pt idx="81">
                  <c:v>29</c:v>
                </c:pt>
                <c:pt idx="82">
                  <c:v>24</c:v>
                </c:pt>
                <c:pt idx="83">
                  <c:v>28</c:v>
                </c:pt>
                <c:pt idx="84">
                  <c:v>22</c:v>
                </c:pt>
                <c:pt idx="85">
                  <c:v>28</c:v>
                </c:pt>
                <c:pt idx="86">
                  <c:v>22</c:v>
                </c:pt>
                <c:pt idx="87">
                  <c:v>23</c:v>
                </c:pt>
                <c:pt idx="88">
                  <c:v>33</c:v>
                </c:pt>
                <c:pt idx="89">
                  <c:v>33</c:v>
                </c:pt>
                <c:pt idx="90">
                  <c:v>25</c:v>
                </c:pt>
                <c:pt idx="91">
                  <c:v>27</c:v>
                </c:pt>
                <c:pt idx="92">
                  <c:v>25</c:v>
                </c:pt>
                <c:pt idx="93">
                  <c:v>28</c:v>
                </c:pt>
                <c:pt idx="94">
                  <c:v>24</c:v>
                </c:pt>
                <c:pt idx="95">
                  <c:v>27</c:v>
                </c:pt>
                <c:pt idx="96">
                  <c:v>35</c:v>
                </c:pt>
                <c:pt idx="97">
                  <c:v>26</c:v>
                </c:pt>
                <c:pt idx="98">
                  <c:v>32</c:v>
                </c:pt>
                <c:pt idx="99">
                  <c:v>27</c:v>
                </c:pt>
                <c:pt idx="100">
                  <c:v>29</c:v>
                </c:pt>
                <c:pt idx="101">
                  <c:v>38</c:v>
                </c:pt>
                <c:pt idx="102">
                  <c:v>30</c:v>
                </c:pt>
                <c:pt idx="103">
                  <c:v>33</c:v>
                </c:pt>
                <c:pt idx="104">
                  <c:v>30</c:v>
                </c:pt>
                <c:pt idx="105">
                  <c:v>37</c:v>
                </c:pt>
                <c:pt idx="106">
                  <c:v>30</c:v>
                </c:pt>
                <c:pt idx="107">
                  <c:v>40</c:v>
                </c:pt>
                <c:pt idx="108">
                  <c:v>28</c:v>
                </c:pt>
                <c:pt idx="109">
                  <c:v>34.5</c:v>
                </c:pt>
                <c:pt idx="110">
                  <c:v>30</c:v>
                </c:pt>
                <c:pt idx="111">
                  <c:v>30</c:v>
                </c:pt>
                <c:pt idx="112">
                  <c:v>23</c:v>
                </c:pt>
                <c:pt idx="113">
                  <c:v>20</c:v>
                </c:pt>
                <c:pt idx="114">
                  <c:v>41</c:v>
                </c:pt>
                <c:pt idx="115">
                  <c:v>35</c:v>
                </c:pt>
                <c:pt idx="116">
                  <c:v>30</c:v>
                </c:pt>
                <c:pt idx="117">
                  <c:v>22</c:v>
                </c:pt>
                <c:pt idx="118">
                  <c:v>26</c:v>
                </c:pt>
                <c:pt idx="119">
                  <c:v>25</c:v>
                </c:pt>
                <c:pt idx="120">
                  <c:v>22</c:v>
                </c:pt>
                <c:pt idx="121">
                  <c:v>27.5</c:v>
                </c:pt>
                <c:pt idx="122">
                  <c:v>20</c:v>
                </c:pt>
                <c:pt idx="123">
                  <c:v>23</c:v>
                </c:pt>
                <c:pt idx="124">
                  <c:v>16</c:v>
                </c:pt>
                <c:pt idx="125">
                  <c:v>15</c:v>
                </c:pt>
                <c:pt idx="126">
                  <c:v>35</c:v>
                </c:pt>
                <c:pt idx="127">
                  <c:v>23</c:v>
                </c:pt>
                <c:pt idx="128">
                  <c:v>24</c:v>
                </c:pt>
                <c:pt idx="129">
                  <c:v>30.5</c:v>
                </c:pt>
                <c:pt idx="130">
                  <c:v>30.5</c:v>
                </c:pt>
                <c:pt idx="131">
                  <c:v>28</c:v>
                </c:pt>
                <c:pt idx="132">
                  <c:v>35</c:v>
                </c:pt>
                <c:pt idx="133">
                  <c:v>35</c:v>
                </c:pt>
                <c:pt idx="134">
                  <c:v>20.6</c:v>
                </c:pt>
                <c:pt idx="135">
                  <c:v>20</c:v>
                </c:pt>
                <c:pt idx="136">
                  <c:v>25</c:v>
                </c:pt>
                <c:pt idx="137">
                  <c:v>23</c:v>
                </c:pt>
                <c:pt idx="138">
                  <c:v>40</c:v>
                </c:pt>
                <c:pt idx="139">
                  <c:v>20</c:v>
                </c:pt>
                <c:pt idx="140">
                  <c:v>24.5</c:v>
                </c:pt>
                <c:pt idx="141">
                  <c:v>23</c:v>
                </c:pt>
                <c:pt idx="142">
                  <c:v>28</c:v>
                </c:pt>
                <c:pt idx="143">
                  <c:v>22</c:v>
                </c:pt>
                <c:pt idx="144">
                  <c:v>23</c:v>
                </c:pt>
                <c:pt idx="145">
                  <c:v>42</c:v>
                </c:pt>
                <c:pt idx="146">
                  <c:v>24</c:v>
                </c:pt>
                <c:pt idx="147">
                  <c:v>27</c:v>
                </c:pt>
                <c:pt idx="148">
                  <c:v>27</c:v>
                </c:pt>
                <c:pt idx="149">
                  <c:v>30</c:v>
                </c:pt>
                <c:pt idx="150">
                  <c:v>26</c:v>
                </c:pt>
                <c:pt idx="151">
                  <c:v>24</c:v>
                </c:pt>
                <c:pt idx="152">
                  <c:v>30</c:v>
                </c:pt>
                <c:pt idx="153">
                  <c:v>22</c:v>
                </c:pt>
                <c:pt idx="154">
                  <c:v>31</c:v>
                </c:pt>
                <c:pt idx="155">
                  <c:v>28</c:v>
                </c:pt>
                <c:pt idx="156">
                  <c:v>38</c:v>
                </c:pt>
                <c:pt idx="157">
                  <c:v>20</c:v>
                </c:pt>
                <c:pt idx="158">
                  <c:v>15</c:v>
                </c:pt>
                <c:pt idx="159">
                  <c:v>15</c:v>
                </c:pt>
                <c:pt idx="160">
                  <c:v>15</c:v>
                </c:pt>
                <c:pt idx="161">
                  <c:v>24</c:v>
                </c:pt>
                <c:pt idx="162">
                  <c:v>25</c:v>
                </c:pt>
                <c:pt idx="163">
                  <c:v>24</c:v>
                </c:pt>
              </c:numCache>
            </c:numRef>
          </c:yVal>
          <c:smooth val="1"/>
          <c:extLst>
            <c:ext xmlns:c16="http://schemas.microsoft.com/office/drawing/2014/chart" uri="{C3380CC4-5D6E-409C-BE32-E72D297353CC}">
              <c16:uniqueId val="{00000004-9A26-40D7-9FD4-71704A76ED67}"/>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Stats'!$Y$283</c:f>
              <c:numCache>
                <c:formatCode>0.0</c:formatCode>
                <c:ptCount val="1"/>
                <c:pt idx="0">
                  <c:v>31</c:v>
                </c:pt>
              </c:numCache>
            </c:numRef>
          </c:yVal>
          <c:smooth val="1"/>
          <c:extLst>
            <c:ext xmlns:c16="http://schemas.microsoft.com/office/drawing/2014/chart" uri="{C3380CC4-5D6E-409C-BE32-E72D297353CC}">
              <c16:uniqueId val="{00000005-9A26-40D7-9FD4-71704A76ED67}"/>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Stats'!$Y$284:$Y$294</c:f>
              <c:numCache>
                <c:formatCode>0.0</c:formatCode>
                <c:ptCount val="11"/>
                <c:pt idx="0">
                  <c:v>23.8</c:v>
                </c:pt>
                <c:pt idx="1">
                  <c:v>29</c:v>
                </c:pt>
                <c:pt idx="2">
                  <c:v>22.5</c:v>
                </c:pt>
                <c:pt idx="3">
                  <c:v>25</c:v>
                </c:pt>
                <c:pt idx="4">
                  <c:v>18</c:v>
                </c:pt>
                <c:pt idx="5">
                  <c:v>18</c:v>
                </c:pt>
                <c:pt idx="6">
                  <c:v>30</c:v>
                </c:pt>
                <c:pt idx="7">
                  <c:v>27.5</c:v>
                </c:pt>
                <c:pt idx="8">
                  <c:v>35</c:v>
                </c:pt>
                <c:pt idx="9">
                  <c:v>29</c:v>
                </c:pt>
                <c:pt idx="10">
                  <c:v>28</c:v>
                </c:pt>
              </c:numCache>
            </c:numRef>
          </c:yVal>
          <c:smooth val="1"/>
          <c:extLst>
            <c:ext xmlns:c16="http://schemas.microsoft.com/office/drawing/2014/chart" uri="{C3380CC4-5D6E-409C-BE32-E72D297353CC}">
              <c16:uniqueId val="{00000006-9A26-40D7-9FD4-71704A76ED67}"/>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Stats'!$Y$295:$Y$298</c:f>
              <c:numCache>
                <c:formatCode>0.0</c:formatCode>
                <c:ptCount val="4"/>
                <c:pt idx="0">
                  <c:v>40</c:v>
                </c:pt>
                <c:pt idx="1">
                  <c:v>30</c:v>
                </c:pt>
                <c:pt idx="2">
                  <c:v>32</c:v>
                </c:pt>
                <c:pt idx="3">
                  <c:v>30</c:v>
                </c:pt>
              </c:numCache>
            </c:numRef>
          </c:yVal>
          <c:smooth val="1"/>
          <c:extLst>
            <c:ext xmlns:c16="http://schemas.microsoft.com/office/drawing/2014/chart" uri="{C3380CC4-5D6E-409C-BE32-E72D297353CC}">
              <c16:uniqueId val="{00000007-9A26-40D7-9FD4-71704A76ED67}"/>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Stats'!$Y$299:$Y$300</c:f>
              <c:numCache>
                <c:formatCode>0.0</c:formatCode>
                <c:ptCount val="2"/>
                <c:pt idx="0">
                  <c:v>40</c:v>
                </c:pt>
              </c:numCache>
            </c:numRef>
          </c:yVal>
          <c:smooth val="1"/>
          <c:extLst>
            <c:ext xmlns:c16="http://schemas.microsoft.com/office/drawing/2014/chart" uri="{C3380CC4-5D6E-409C-BE32-E72D297353CC}">
              <c16:uniqueId val="{00000008-9A26-40D7-9FD4-71704A76ED67}"/>
            </c:ext>
          </c:extLst>
        </c:ser>
        <c:dLbls>
          <c:showLegendKey val="0"/>
          <c:showVal val="0"/>
          <c:showCatName val="0"/>
          <c:showSerName val="0"/>
          <c:showPercent val="0"/>
          <c:showBubbleSize val="0"/>
        </c:dLbls>
        <c:axId val="727690280"/>
        <c:axId val="1"/>
      </c:scatterChart>
      <c:valAx>
        <c:axId val="727690280"/>
        <c:scaling>
          <c:orientation val="minMax"/>
          <c:max val="600"/>
          <c:min val="0"/>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Displ (LT)</a:t>
                </a:r>
              </a:p>
            </c:rich>
          </c:tx>
          <c:layout>
            <c:manualLayout>
              <c:xMode val="edge"/>
              <c:yMode val="edge"/>
              <c:x val="0.38401775804661487"/>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1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Max Speed (kts)</a:t>
                </a:r>
              </a:p>
            </c:rich>
          </c:tx>
          <c:layout>
            <c:manualLayout>
              <c:xMode val="edge"/>
              <c:yMode val="edge"/>
              <c:x val="1.3318534961154272E-2"/>
              <c:y val="0.40456769983686786"/>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90280"/>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7469478357380683"/>
          <c:y val="0.44698205546492659"/>
          <c:w val="0.22530521642619317"/>
          <c:h val="0.4323001631321370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Draft vs Displ</a:t>
            </a:r>
          </a:p>
        </c:rich>
      </c:tx>
      <c:layout>
        <c:manualLayout>
          <c:xMode val="edge"/>
          <c:yMode val="edge"/>
          <c:x val="0.43951165371809103"/>
          <c:y val="1.9575856443719411E-2"/>
        </c:manualLayout>
      </c:layout>
      <c:overlay val="0"/>
      <c:spPr>
        <a:noFill/>
        <a:ln w="25400">
          <a:noFill/>
        </a:ln>
      </c:spPr>
    </c:title>
    <c:autoTitleDeleted val="0"/>
    <c:plotArea>
      <c:layout>
        <c:manualLayout>
          <c:layoutTarget val="inner"/>
          <c:xMode val="edge"/>
          <c:yMode val="edge"/>
          <c:x val="6.8812430632630414E-2"/>
          <c:y val="7.3409461663947795E-2"/>
          <c:w val="0.69145394006659266"/>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835276804117032"/>
                  <c:y val="-5.5857186293375938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Stats'!$P$5:$P$276</c:f>
              <c:numCache>
                <c:formatCode>0.0</c:formatCode>
                <c:ptCount val="272"/>
                <c:pt idx="0">
                  <c:v>7.2177600000000011</c:v>
                </c:pt>
                <c:pt idx="1">
                  <c:v>6.8896800000000002</c:v>
                </c:pt>
                <c:pt idx="2">
                  <c:v>7.5458400000000001</c:v>
                </c:pt>
                <c:pt idx="3">
                  <c:v>6.5616000000000003</c:v>
                </c:pt>
                <c:pt idx="4">
                  <c:v>11.909304000000001</c:v>
                </c:pt>
                <c:pt idx="5">
                  <c:v>8.202</c:v>
                </c:pt>
                <c:pt idx="6">
                  <c:v>8.5300799999999999</c:v>
                </c:pt>
                <c:pt idx="7">
                  <c:v>10.170480000000001</c:v>
                </c:pt>
                <c:pt idx="8">
                  <c:v>3.93696</c:v>
                </c:pt>
                <c:pt idx="9">
                  <c:v>2.9527200000000002</c:v>
                </c:pt>
                <c:pt idx="10">
                  <c:v>4.2650399999999999</c:v>
                </c:pt>
                <c:pt idx="11">
                  <c:v>4.2650399999999999</c:v>
                </c:pt>
                <c:pt idx="12">
                  <c:v>4.2650399999999999</c:v>
                </c:pt>
                <c:pt idx="13">
                  <c:v>6.8896800000000002</c:v>
                </c:pt>
                <c:pt idx="14">
                  <c:v>4.9212000000000007</c:v>
                </c:pt>
                <c:pt idx="15">
                  <c:v>5.5773600000000005</c:v>
                </c:pt>
                <c:pt idx="16">
                  <c:v>5.5773600000000005</c:v>
                </c:pt>
                <c:pt idx="17">
                  <c:v>5.5773600000000005</c:v>
                </c:pt>
                <c:pt idx="18">
                  <c:v>5.2492800000000006</c:v>
                </c:pt>
                <c:pt idx="19">
                  <c:v>7.5458400000000001</c:v>
                </c:pt>
                <c:pt idx="20">
                  <c:v>7.87392</c:v>
                </c:pt>
                <c:pt idx="21">
                  <c:v>5.5773600000000005</c:v>
                </c:pt>
                <c:pt idx="22">
                  <c:v>5.2492800000000006</c:v>
                </c:pt>
                <c:pt idx="23">
                  <c:v>5.9054400000000005</c:v>
                </c:pt>
                <c:pt idx="24">
                  <c:v>6.2335200000000004</c:v>
                </c:pt>
                <c:pt idx="25">
                  <c:v>5.9054400000000005</c:v>
                </c:pt>
                <c:pt idx="26">
                  <c:v>4.9212000000000007</c:v>
                </c:pt>
                <c:pt idx="27">
                  <c:v>6.2</c:v>
                </c:pt>
                <c:pt idx="28">
                  <c:v>5.9054400000000005</c:v>
                </c:pt>
                <c:pt idx="29">
                  <c:v>7.87392</c:v>
                </c:pt>
                <c:pt idx="30">
                  <c:v>7.9</c:v>
                </c:pt>
                <c:pt idx="31">
                  <c:v>7.87392</c:v>
                </c:pt>
                <c:pt idx="32">
                  <c:v>8.8581600000000016</c:v>
                </c:pt>
                <c:pt idx="33">
                  <c:v>8.8581600000000016</c:v>
                </c:pt>
                <c:pt idx="34">
                  <c:v>8.8581600000000016</c:v>
                </c:pt>
                <c:pt idx="35">
                  <c:v>8.8581600000000016</c:v>
                </c:pt>
                <c:pt idx="36">
                  <c:v>5.9054400000000005</c:v>
                </c:pt>
                <c:pt idx="37">
                  <c:v>8.8581600000000016</c:v>
                </c:pt>
                <c:pt idx="38">
                  <c:v>8.8581600000000016</c:v>
                </c:pt>
                <c:pt idx="39">
                  <c:v>5.5773600000000005</c:v>
                </c:pt>
                <c:pt idx="40">
                  <c:v>5.9054400000000005</c:v>
                </c:pt>
                <c:pt idx="41">
                  <c:v>9.5</c:v>
                </c:pt>
                <c:pt idx="42">
                  <c:v>7.87392</c:v>
                </c:pt>
                <c:pt idx="43">
                  <c:v>8.202</c:v>
                </c:pt>
                <c:pt idx="44">
                  <c:v>9.5143199999999997</c:v>
                </c:pt>
                <c:pt idx="45">
                  <c:v>8.202</c:v>
                </c:pt>
                <c:pt idx="46">
                  <c:v>8.202</c:v>
                </c:pt>
                <c:pt idx="47">
                  <c:v>8.202</c:v>
                </c:pt>
                <c:pt idx="48">
                  <c:v>8.202</c:v>
                </c:pt>
                <c:pt idx="49">
                  <c:v>7.5458400000000001</c:v>
                </c:pt>
                <c:pt idx="50">
                  <c:v>8.202</c:v>
                </c:pt>
                <c:pt idx="51">
                  <c:v>8.202</c:v>
                </c:pt>
                <c:pt idx="52">
                  <c:v>8.5300799999999999</c:v>
                </c:pt>
                <c:pt idx="53">
                  <c:v>7.2</c:v>
                </c:pt>
                <c:pt idx="54">
                  <c:v>7.2177600000000011</c:v>
                </c:pt>
                <c:pt idx="55">
                  <c:v>12.795120000000001</c:v>
                </c:pt>
                <c:pt idx="56">
                  <c:v>8.8581600000000016</c:v>
                </c:pt>
                <c:pt idx="57">
                  <c:v>8.9</c:v>
                </c:pt>
                <c:pt idx="58">
                  <c:v>8.8581600000000016</c:v>
                </c:pt>
                <c:pt idx="59">
                  <c:v>8.8581600000000016</c:v>
                </c:pt>
                <c:pt idx="60">
                  <c:v>7.87392</c:v>
                </c:pt>
                <c:pt idx="61">
                  <c:v>9.5143199999999997</c:v>
                </c:pt>
                <c:pt idx="62">
                  <c:v>7.5458400000000001</c:v>
                </c:pt>
                <c:pt idx="63">
                  <c:v>8.8581600000000016</c:v>
                </c:pt>
                <c:pt idx="64">
                  <c:v>7.5458400000000001</c:v>
                </c:pt>
                <c:pt idx="65">
                  <c:v>9.5143199999999997</c:v>
                </c:pt>
                <c:pt idx="66">
                  <c:v>7.5458400000000001</c:v>
                </c:pt>
                <c:pt idx="67">
                  <c:v>6.2335200000000004</c:v>
                </c:pt>
                <c:pt idx="68">
                  <c:v>6.5616000000000003</c:v>
                </c:pt>
                <c:pt idx="69">
                  <c:v>6.5616000000000003</c:v>
                </c:pt>
                <c:pt idx="70">
                  <c:v>11.482800000000001</c:v>
                </c:pt>
                <c:pt idx="71">
                  <c:v>9.1862399999999997</c:v>
                </c:pt>
                <c:pt idx="72">
                  <c:v>8.5300799999999999</c:v>
                </c:pt>
                <c:pt idx="73">
                  <c:v>7.2177600000000011</c:v>
                </c:pt>
                <c:pt idx="74">
                  <c:v>8.5300799999999999</c:v>
                </c:pt>
                <c:pt idx="75">
                  <c:v>7.87392</c:v>
                </c:pt>
                <c:pt idx="76">
                  <c:v>7.2177600000000011</c:v>
                </c:pt>
                <c:pt idx="77">
                  <c:v>7.2177600000000011</c:v>
                </c:pt>
                <c:pt idx="78">
                  <c:v>6.8896800000000002</c:v>
                </c:pt>
                <c:pt idx="79">
                  <c:v>8.8581600000000016</c:v>
                </c:pt>
                <c:pt idx="80">
                  <c:v>6.8896800000000002</c:v>
                </c:pt>
                <c:pt idx="81">
                  <c:v>7.87392</c:v>
                </c:pt>
                <c:pt idx="82">
                  <c:v>7.87392</c:v>
                </c:pt>
                <c:pt idx="83">
                  <c:v>8.8581600000000016</c:v>
                </c:pt>
                <c:pt idx="84">
                  <c:v>8.8581600000000016</c:v>
                </c:pt>
                <c:pt idx="85">
                  <c:v>7.87392</c:v>
                </c:pt>
                <c:pt idx="86">
                  <c:v>14.7636</c:v>
                </c:pt>
                <c:pt idx="87">
                  <c:v>7.87392</c:v>
                </c:pt>
                <c:pt idx="88">
                  <c:v>7.87392</c:v>
                </c:pt>
                <c:pt idx="89">
                  <c:v>7.87392</c:v>
                </c:pt>
                <c:pt idx="90">
                  <c:v>8.202</c:v>
                </c:pt>
                <c:pt idx="91">
                  <c:v>8.202</c:v>
                </c:pt>
                <c:pt idx="92">
                  <c:v>8.5300799999999999</c:v>
                </c:pt>
                <c:pt idx="93">
                  <c:v>8.5300799999999999</c:v>
                </c:pt>
                <c:pt idx="94">
                  <c:v>5.5773600000000005</c:v>
                </c:pt>
                <c:pt idx="95">
                  <c:v>7.2177600000000011</c:v>
                </c:pt>
                <c:pt idx="96">
                  <c:v>8.8581600000000016</c:v>
                </c:pt>
                <c:pt idx="97">
                  <c:v>7.87392</c:v>
                </c:pt>
                <c:pt idx="98">
                  <c:v>8.8581600000000016</c:v>
                </c:pt>
                <c:pt idx="99">
                  <c:v>4.9212000000000007</c:v>
                </c:pt>
                <c:pt idx="100">
                  <c:v>6.5616000000000003</c:v>
                </c:pt>
                <c:pt idx="101">
                  <c:v>9.8424000000000014</c:v>
                </c:pt>
                <c:pt idx="102">
                  <c:v>7.5458400000000001</c:v>
                </c:pt>
                <c:pt idx="103">
                  <c:v>7.2177600000000011</c:v>
                </c:pt>
                <c:pt idx="104">
                  <c:v>8.5300799999999999</c:v>
                </c:pt>
                <c:pt idx="105">
                  <c:v>7.87392</c:v>
                </c:pt>
                <c:pt idx="106">
                  <c:v>7.87392</c:v>
                </c:pt>
                <c:pt idx="107">
                  <c:v>8.5300799999999999</c:v>
                </c:pt>
                <c:pt idx="108">
                  <c:v>9.5143199999999997</c:v>
                </c:pt>
                <c:pt idx="109">
                  <c:v>7.2177600000000011</c:v>
                </c:pt>
                <c:pt idx="110">
                  <c:v>8.2676160000000003</c:v>
                </c:pt>
                <c:pt idx="111">
                  <c:v>3.93696</c:v>
                </c:pt>
                <c:pt idx="112">
                  <c:v>3.93696</c:v>
                </c:pt>
                <c:pt idx="113">
                  <c:v>5.9054400000000005</c:v>
                </c:pt>
                <c:pt idx="114">
                  <c:v>6.5616000000000003</c:v>
                </c:pt>
                <c:pt idx="115">
                  <c:v>7.2177600000000011</c:v>
                </c:pt>
                <c:pt idx="116">
                  <c:v>3.93696</c:v>
                </c:pt>
                <c:pt idx="117">
                  <c:v>4.5931199999999999</c:v>
                </c:pt>
                <c:pt idx="118">
                  <c:v>3.6088800000000005</c:v>
                </c:pt>
                <c:pt idx="119">
                  <c:v>4.9212000000000007</c:v>
                </c:pt>
                <c:pt idx="120">
                  <c:v>4.9212000000000007</c:v>
                </c:pt>
                <c:pt idx="121">
                  <c:v>5.9054400000000005</c:v>
                </c:pt>
                <c:pt idx="122">
                  <c:v>5.9054400000000005</c:v>
                </c:pt>
                <c:pt idx="123">
                  <c:v>5.9054400000000005</c:v>
                </c:pt>
                <c:pt idx="124">
                  <c:v>6.5616000000000003</c:v>
                </c:pt>
                <c:pt idx="125">
                  <c:v>4.5931199999999999</c:v>
                </c:pt>
                <c:pt idx="126">
                  <c:v>5.2492800000000006</c:v>
                </c:pt>
                <c:pt idx="127">
                  <c:v>7.2177600000000011</c:v>
                </c:pt>
                <c:pt idx="128">
                  <c:v>5.5773600000000005</c:v>
                </c:pt>
                <c:pt idx="129">
                  <c:v>5.5773600000000005</c:v>
                </c:pt>
                <c:pt idx="130">
                  <c:v>5.2492800000000006</c:v>
                </c:pt>
                <c:pt idx="131">
                  <c:v>6.2335200000000004</c:v>
                </c:pt>
                <c:pt idx="132">
                  <c:v>5.2492800000000006</c:v>
                </c:pt>
                <c:pt idx="133">
                  <c:v>5.9054400000000005</c:v>
                </c:pt>
                <c:pt idx="134">
                  <c:v>5.5773600000000005</c:v>
                </c:pt>
                <c:pt idx="135">
                  <c:v>7.2177600000000011</c:v>
                </c:pt>
                <c:pt idx="136">
                  <c:v>6.8896800000000002</c:v>
                </c:pt>
                <c:pt idx="137">
                  <c:v>6.5616000000000003</c:v>
                </c:pt>
                <c:pt idx="138">
                  <c:v>5.9054400000000005</c:v>
                </c:pt>
                <c:pt idx="139">
                  <c:v>4.5931199999999999</c:v>
                </c:pt>
                <c:pt idx="140">
                  <c:v>6.8896800000000002</c:v>
                </c:pt>
                <c:pt idx="141">
                  <c:v>5.9054400000000005</c:v>
                </c:pt>
                <c:pt idx="142">
                  <c:v>4.5931199999999999</c:v>
                </c:pt>
                <c:pt idx="143">
                  <c:v>6.2335200000000004</c:v>
                </c:pt>
                <c:pt idx="144">
                  <c:v>5.5773600000000005</c:v>
                </c:pt>
                <c:pt idx="145">
                  <c:v>6.2335200000000004</c:v>
                </c:pt>
                <c:pt idx="146">
                  <c:v>5.9054400000000005</c:v>
                </c:pt>
                <c:pt idx="147">
                  <c:v>6.5616000000000003</c:v>
                </c:pt>
                <c:pt idx="148">
                  <c:v>6.5616000000000003</c:v>
                </c:pt>
                <c:pt idx="149">
                  <c:v>5.9054400000000005</c:v>
                </c:pt>
                <c:pt idx="150">
                  <c:v>6.5616000000000003</c:v>
                </c:pt>
                <c:pt idx="151">
                  <c:v>4.9212000000000007</c:v>
                </c:pt>
                <c:pt idx="152">
                  <c:v>6.8896800000000002</c:v>
                </c:pt>
                <c:pt idx="153">
                  <c:v>4.9212000000000007</c:v>
                </c:pt>
                <c:pt idx="154">
                  <c:v>3.93696</c:v>
                </c:pt>
                <c:pt idx="155">
                  <c:v>6.5616000000000003</c:v>
                </c:pt>
                <c:pt idx="156">
                  <c:v>4.9212000000000007</c:v>
                </c:pt>
                <c:pt idx="157">
                  <c:v>6.5616000000000003</c:v>
                </c:pt>
                <c:pt idx="158">
                  <c:v>4.9212000000000007</c:v>
                </c:pt>
                <c:pt idx="159">
                  <c:v>6.8896800000000002</c:v>
                </c:pt>
                <c:pt idx="160">
                  <c:v>4.2650399999999999</c:v>
                </c:pt>
                <c:pt idx="161">
                  <c:v>5.2492800000000006</c:v>
                </c:pt>
                <c:pt idx="162">
                  <c:v>6.8896800000000002</c:v>
                </c:pt>
                <c:pt idx="163">
                  <c:v>6.8896800000000002</c:v>
                </c:pt>
                <c:pt idx="164">
                  <c:v>4.2650399999999999</c:v>
                </c:pt>
                <c:pt idx="165">
                  <c:v>6.8896800000000002</c:v>
                </c:pt>
                <c:pt idx="166">
                  <c:v>4</c:v>
                </c:pt>
                <c:pt idx="167">
                  <c:v>7.2177600000000011</c:v>
                </c:pt>
                <c:pt idx="168">
                  <c:v>5.9054400000000005</c:v>
                </c:pt>
                <c:pt idx="169">
                  <c:v>5.9054400000000005</c:v>
                </c:pt>
                <c:pt idx="170">
                  <c:v>6.5616000000000003</c:v>
                </c:pt>
                <c:pt idx="171">
                  <c:v>6.8896800000000002</c:v>
                </c:pt>
                <c:pt idx="172">
                  <c:v>4.9212000000000007</c:v>
                </c:pt>
                <c:pt idx="173">
                  <c:v>4.9212000000000007</c:v>
                </c:pt>
                <c:pt idx="174">
                  <c:v>7.5458400000000001</c:v>
                </c:pt>
                <c:pt idx="175">
                  <c:v>4.9212000000000007</c:v>
                </c:pt>
                <c:pt idx="176">
                  <c:v>5.9054400000000005</c:v>
                </c:pt>
                <c:pt idx="177">
                  <c:v>6.8896800000000002</c:v>
                </c:pt>
                <c:pt idx="178">
                  <c:v>5.9054400000000005</c:v>
                </c:pt>
                <c:pt idx="179">
                  <c:v>6.2335200000000004</c:v>
                </c:pt>
                <c:pt idx="180">
                  <c:v>7.2177600000000011</c:v>
                </c:pt>
                <c:pt idx="181">
                  <c:v>5.2492800000000006</c:v>
                </c:pt>
                <c:pt idx="182">
                  <c:v>7.2177600000000011</c:v>
                </c:pt>
                <c:pt idx="183">
                  <c:v>6.5616000000000003</c:v>
                </c:pt>
                <c:pt idx="184">
                  <c:v>9.1862399999999997</c:v>
                </c:pt>
                <c:pt idx="185">
                  <c:v>5.5773600000000005</c:v>
                </c:pt>
                <c:pt idx="186">
                  <c:v>6.8896800000000002</c:v>
                </c:pt>
                <c:pt idx="187">
                  <c:v>6.8896800000000002</c:v>
                </c:pt>
                <c:pt idx="188">
                  <c:v>6.8896800000000002</c:v>
                </c:pt>
                <c:pt idx="189">
                  <c:v>7.2177600000000011</c:v>
                </c:pt>
                <c:pt idx="190">
                  <c:v>5.2492800000000006</c:v>
                </c:pt>
                <c:pt idx="191">
                  <c:v>5.9054400000000005</c:v>
                </c:pt>
                <c:pt idx="192">
                  <c:v>5.5773600000000005</c:v>
                </c:pt>
                <c:pt idx="193">
                  <c:v>7.5</c:v>
                </c:pt>
                <c:pt idx="194">
                  <c:v>5.5773600000000005</c:v>
                </c:pt>
                <c:pt idx="195">
                  <c:v>5.5773600000000005</c:v>
                </c:pt>
                <c:pt idx="196">
                  <c:v>6.8896800000000002</c:v>
                </c:pt>
                <c:pt idx="197">
                  <c:v>9.8424000000000014</c:v>
                </c:pt>
                <c:pt idx="198">
                  <c:v>7.5</c:v>
                </c:pt>
                <c:pt idx="199">
                  <c:v>6.8896800000000002</c:v>
                </c:pt>
                <c:pt idx="200">
                  <c:v>6.5616000000000003</c:v>
                </c:pt>
                <c:pt idx="201">
                  <c:v>7.87392</c:v>
                </c:pt>
                <c:pt idx="202">
                  <c:v>5.9054400000000005</c:v>
                </c:pt>
                <c:pt idx="203">
                  <c:v>7.2177600000000011</c:v>
                </c:pt>
                <c:pt idx="204">
                  <c:v>5.6</c:v>
                </c:pt>
                <c:pt idx="205">
                  <c:v>6.23</c:v>
                </c:pt>
                <c:pt idx="206">
                  <c:v>5.5773600000000005</c:v>
                </c:pt>
                <c:pt idx="207">
                  <c:v>5.5773600000000005</c:v>
                </c:pt>
                <c:pt idx="208">
                  <c:v>5.9054400000000005</c:v>
                </c:pt>
                <c:pt idx="209">
                  <c:v>6.2335200000000004</c:v>
                </c:pt>
                <c:pt idx="210">
                  <c:v>5.2492800000000006</c:v>
                </c:pt>
                <c:pt idx="211">
                  <c:v>6.2335200000000004</c:v>
                </c:pt>
                <c:pt idx="212">
                  <c:v>6.2335200000000004</c:v>
                </c:pt>
                <c:pt idx="213">
                  <c:v>8.202</c:v>
                </c:pt>
                <c:pt idx="214">
                  <c:v>5</c:v>
                </c:pt>
                <c:pt idx="215">
                  <c:v>7.5458400000000001</c:v>
                </c:pt>
                <c:pt idx="216">
                  <c:v>5.2</c:v>
                </c:pt>
                <c:pt idx="217">
                  <c:v>7.87392</c:v>
                </c:pt>
                <c:pt idx="218">
                  <c:v>5.9054400000000005</c:v>
                </c:pt>
                <c:pt idx="219">
                  <c:v>5.9054400000000005</c:v>
                </c:pt>
                <c:pt idx="220">
                  <c:v>7.5458400000000001</c:v>
                </c:pt>
                <c:pt idx="221">
                  <c:v>7.5458400000000001</c:v>
                </c:pt>
                <c:pt idx="222">
                  <c:v>7.5</c:v>
                </c:pt>
                <c:pt idx="223">
                  <c:v>6.6</c:v>
                </c:pt>
                <c:pt idx="224">
                  <c:v>8.1999999999999993</c:v>
                </c:pt>
                <c:pt idx="225">
                  <c:v>7.5458400000000001</c:v>
                </c:pt>
                <c:pt idx="226">
                  <c:v>7.5458400000000001</c:v>
                </c:pt>
                <c:pt idx="227">
                  <c:v>8.8581600000000016</c:v>
                </c:pt>
                <c:pt idx="228">
                  <c:v>5.9054400000000005</c:v>
                </c:pt>
                <c:pt idx="229">
                  <c:v>4.9212000000000007</c:v>
                </c:pt>
                <c:pt idx="230">
                  <c:v>7.2177600000000011</c:v>
                </c:pt>
                <c:pt idx="231">
                  <c:v>6.2</c:v>
                </c:pt>
                <c:pt idx="232">
                  <c:v>8.202</c:v>
                </c:pt>
                <c:pt idx="233">
                  <c:v>6.8896800000000002</c:v>
                </c:pt>
                <c:pt idx="234">
                  <c:v>7.87392</c:v>
                </c:pt>
                <c:pt idx="235">
                  <c:v>9.1862399999999997</c:v>
                </c:pt>
                <c:pt idx="236">
                  <c:v>8.5300799999999999</c:v>
                </c:pt>
                <c:pt idx="237">
                  <c:v>7.2177600000000011</c:v>
                </c:pt>
                <c:pt idx="238">
                  <c:v>6.5616000000000003</c:v>
                </c:pt>
                <c:pt idx="239">
                  <c:v>6.8896800000000002</c:v>
                </c:pt>
                <c:pt idx="240">
                  <c:v>8.202</c:v>
                </c:pt>
                <c:pt idx="241">
                  <c:v>8.202</c:v>
                </c:pt>
                <c:pt idx="242">
                  <c:v>9.1999999999999993</c:v>
                </c:pt>
                <c:pt idx="243">
                  <c:v>9.1862399999999997</c:v>
                </c:pt>
                <c:pt idx="244">
                  <c:v>6.5616000000000003</c:v>
                </c:pt>
                <c:pt idx="245">
                  <c:v>7.2177600000000011</c:v>
                </c:pt>
                <c:pt idx="246">
                  <c:v>7.87392</c:v>
                </c:pt>
                <c:pt idx="247">
                  <c:v>11.810880000000001</c:v>
                </c:pt>
                <c:pt idx="248">
                  <c:v>8.202</c:v>
                </c:pt>
                <c:pt idx="249">
                  <c:v>9</c:v>
                </c:pt>
                <c:pt idx="250">
                  <c:v>9.1862399999999997</c:v>
                </c:pt>
                <c:pt idx="251">
                  <c:v>8.8581600000000016</c:v>
                </c:pt>
                <c:pt idx="252">
                  <c:v>7.87392</c:v>
                </c:pt>
                <c:pt idx="253">
                  <c:v>10.170480000000001</c:v>
                </c:pt>
                <c:pt idx="254">
                  <c:v>8.202</c:v>
                </c:pt>
                <c:pt idx="255">
                  <c:v>9.1862399999999997</c:v>
                </c:pt>
                <c:pt idx="256">
                  <c:v>9.1862399999999997</c:v>
                </c:pt>
                <c:pt idx="257">
                  <c:v>8.5300799999999999</c:v>
                </c:pt>
                <c:pt idx="258">
                  <c:v>8.1999999999999993</c:v>
                </c:pt>
                <c:pt idx="259">
                  <c:v>8.8581600000000016</c:v>
                </c:pt>
                <c:pt idx="260">
                  <c:v>8.202</c:v>
                </c:pt>
                <c:pt idx="261">
                  <c:v>9.1862399999999997</c:v>
                </c:pt>
                <c:pt idx="262">
                  <c:v>8.202</c:v>
                </c:pt>
                <c:pt idx="263">
                  <c:v>7.2177600000000011</c:v>
                </c:pt>
                <c:pt idx="264">
                  <c:v>6.5616000000000003</c:v>
                </c:pt>
                <c:pt idx="265">
                  <c:v>8.8581600000000016</c:v>
                </c:pt>
                <c:pt idx="266">
                  <c:v>14.10744</c:v>
                </c:pt>
                <c:pt idx="267">
                  <c:v>12.467040000000001</c:v>
                </c:pt>
                <c:pt idx="268">
                  <c:v>12.795120000000001</c:v>
                </c:pt>
                <c:pt idx="269">
                  <c:v>8.8581600000000016</c:v>
                </c:pt>
                <c:pt idx="270">
                  <c:v>8.5300799999999999</c:v>
                </c:pt>
                <c:pt idx="271">
                  <c:v>9.8424000000000014</c:v>
                </c:pt>
              </c:numCache>
            </c:numRef>
          </c:yVal>
          <c:smooth val="1"/>
          <c:extLst>
            <c:ext xmlns:c16="http://schemas.microsoft.com/office/drawing/2014/chart" uri="{C3380CC4-5D6E-409C-BE32-E72D297353CC}">
              <c16:uniqueId val="{00000000-C1FC-4CAE-83B7-22CA7158B067}"/>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8796719206542123"/>
                  <c:y val="-0.28642541188592507"/>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Stats'!$P$5:$P$12</c:f>
              <c:numCache>
                <c:formatCode>0.0</c:formatCode>
                <c:ptCount val="8"/>
                <c:pt idx="0">
                  <c:v>7.2177600000000011</c:v>
                </c:pt>
                <c:pt idx="1">
                  <c:v>6.8896800000000002</c:v>
                </c:pt>
                <c:pt idx="2">
                  <c:v>7.5458400000000001</c:v>
                </c:pt>
                <c:pt idx="3">
                  <c:v>6.5616000000000003</c:v>
                </c:pt>
                <c:pt idx="4">
                  <c:v>11.909304000000001</c:v>
                </c:pt>
                <c:pt idx="5">
                  <c:v>8.202</c:v>
                </c:pt>
                <c:pt idx="6">
                  <c:v>8.5300799999999999</c:v>
                </c:pt>
                <c:pt idx="7">
                  <c:v>10.170480000000001</c:v>
                </c:pt>
              </c:numCache>
            </c:numRef>
          </c:yVal>
          <c:smooth val="1"/>
          <c:extLst>
            <c:ext xmlns:c16="http://schemas.microsoft.com/office/drawing/2014/chart" uri="{C3380CC4-5D6E-409C-BE32-E72D297353CC}">
              <c16:uniqueId val="{00000001-C1FC-4CAE-83B7-22CA7158B067}"/>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8730423650909633"/>
                  <c:y val="-0.22758781256593141"/>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Stats'!$P$13:$P$98</c:f>
              <c:numCache>
                <c:formatCode>0.0</c:formatCode>
                <c:ptCount val="86"/>
                <c:pt idx="0">
                  <c:v>3.93696</c:v>
                </c:pt>
                <c:pt idx="1">
                  <c:v>2.9527200000000002</c:v>
                </c:pt>
                <c:pt idx="2">
                  <c:v>4.2650399999999999</c:v>
                </c:pt>
                <c:pt idx="3">
                  <c:v>4.2650399999999999</c:v>
                </c:pt>
                <c:pt idx="4">
                  <c:v>4.2650399999999999</c:v>
                </c:pt>
                <c:pt idx="5">
                  <c:v>6.8896800000000002</c:v>
                </c:pt>
                <c:pt idx="6">
                  <c:v>4.9212000000000007</c:v>
                </c:pt>
                <c:pt idx="7">
                  <c:v>5.5773600000000005</c:v>
                </c:pt>
                <c:pt idx="8">
                  <c:v>5.5773600000000005</c:v>
                </c:pt>
                <c:pt idx="9">
                  <c:v>5.5773600000000005</c:v>
                </c:pt>
                <c:pt idx="10">
                  <c:v>5.2492800000000006</c:v>
                </c:pt>
                <c:pt idx="11">
                  <c:v>7.5458400000000001</c:v>
                </c:pt>
                <c:pt idx="12">
                  <c:v>7.87392</c:v>
                </c:pt>
                <c:pt idx="13">
                  <c:v>5.5773600000000005</c:v>
                </c:pt>
                <c:pt idx="14">
                  <c:v>5.2492800000000006</c:v>
                </c:pt>
                <c:pt idx="15">
                  <c:v>5.9054400000000005</c:v>
                </c:pt>
                <c:pt idx="16">
                  <c:v>6.2335200000000004</c:v>
                </c:pt>
                <c:pt idx="17">
                  <c:v>5.9054400000000005</c:v>
                </c:pt>
                <c:pt idx="18">
                  <c:v>4.9212000000000007</c:v>
                </c:pt>
                <c:pt idx="19">
                  <c:v>6.2</c:v>
                </c:pt>
                <c:pt idx="20">
                  <c:v>5.9054400000000005</c:v>
                </c:pt>
                <c:pt idx="21">
                  <c:v>7.87392</c:v>
                </c:pt>
                <c:pt idx="22">
                  <c:v>7.9</c:v>
                </c:pt>
                <c:pt idx="23">
                  <c:v>7.87392</c:v>
                </c:pt>
                <c:pt idx="24">
                  <c:v>8.8581600000000016</c:v>
                </c:pt>
                <c:pt idx="25">
                  <c:v>8.8581600000000016</c:v>
                </c:pt>
                <c:pt idx="26">
                  <c:v>8.8581600000000016</c:v>
                </c:pt>
                <c:pt idx="27">
                  <c:v>8.8581600000000016</c:v>
                </c:pt>
                <c:pt idx="28">
                  <c:v>5.9054400000000005</c:v>
                </c:pt>
                <c:pt idx="29">
                  <c:v>8.8581600000000016</c:v>
                </c:pt>
                <c:pt idx="30">
                  <c:v>8.8581600000000016</c:v>
                </c:pt>
                <c:pt idx="31">
                  <c:v>5.5773600000000005</c:v>
                </c:pt>
                <c:pt idx="32">
                  <c:v>5.9054400000000005</c:v>
                </c:pt>
                <c:pt idx="33">
                  <c:v>9.5</c:v>
                </c:pt>
                <c:pt idx="34">
                  <c:v>7.87392</c:v>
                </c:pt>
                <c:pt idx="35">
                  <c:v>8.202</c:v>
                </c:pt>
                <c:pt idx="36">
                  <c:v>9.5143199999999997</c:v>
                </c:pt>
                <c:pt idx="37">
                  <c:v>8.202</c:v>
                </c:pt>
                <c:pt idx="38">
                  <c:v>8.202</c:v>
                </c:pt>
                <c:pt idx="39">
                  <c:v>8.202</c:v>
                </c:pt>
                <c:pt idx="40">
                  <c:v>8.202</c:v>
                </c:pt>
                <c:pt idx="41">
                  <c:v>7.5458400000000001</c:v>
                </c:pt>
                <c:pt idx="42">
                  <c:v>8.202</c:v>
                </c:pt>
                <c:pt idx="43">
                  <c:v>8.202</c:v>
                </c:pt>
                <c:pt idx="44">
                  <c:v>8.5300799999999999</c:v>
                </c:pt>
                <c:pt idx="45">
                  <c:v>7.2</c:v>
                </c:pt>
                <c:pt idx="46">
                  <c:v>7.2177600000000011</c:v>
                </c:pt>
                <c:pt idx="47">
                  <c:v>12.795120000000001</c:v>
                </c:pt>
                <c:pt idx="48">
                  <c:v>8.8581600000000016</c:v>
                </c:pt>
                <c:pt idx="49">
                  <c:v>8.9</c:v>
                </c:pt>
                <c:pt idx="50">
                  <c:v>8.8581600000000016</c:v>
                </c:pt>
                <c:pt idx="51">
                  <c:v>8.8581600000000016</c:v>
                </c:pt>
                <c:pt idx="52">
                  <c:v>7.87392</c:v>
                </c:pt>
                <c:pt idx="53">
                  <c:v>9.5143199999999997</c:v>
                </c:pt>
                <c:pt idx="54">
                  <c:v>7.5458400000000001</c:v>
                </c:pt>
                <c:pt idx="55">
                  <c:v>8.8581600000000016</c:v>
                </c:pt>
                <c:pt idx="56">
                  <c:v>7.5458400000000001</c:v>
                </c:pt>
                <c:pt idx="57">
                  <c:v>9.5143199999999997</c:v>
                </c:pt>
                <c:pt idx="58">
                  <c:v>7.5458400000000001</c:v>
                </c:pt>
                <c:pt idx="59">
                  <c:v>6.2335200000000004</c:v>
                </c:pt>
                <c:pt idx="60">
                  <c:v>6.5616000000000003</c:v>
                </c:pt>
                <c:pt idx="61">
                  <c:v>6.5616000000000003</c:v>
                </c:pt>
                <c:pt idx="62">
                  <c:v>11.482800000000001</c:v>
                </c:pt>
                <c:pt idx="63">
                  <c:v>9.1862399999999997</c:v>
                </c:pt>
                <c:pt idx="64">
                  <c:v>8.5300799999999999</c:v>
                </c:pt>
                <c:pt idx="65">
                  <c:v>7.2177600000000011</c:v>
                </c:pt>
                <c:pt idx="66">
                  <c:v>8.5300799999999999</c:v>
                </c:pt>
                <c:pt idx="67">
                  <c:v>7.87392</c:v>
                </c:pt>
                <c:pt idx="68">
                  <c:v>7.2177600000000011</c:v>
                </c:pt>
                <c:pt idx="69">
                  <c:v>7.2177600000000011</c:v>
                </c:pt>
                <c:pt idx="70">
                  <c:v>6.8896800000000002</c:v>
                </c:pt>
                <c:pt idx="71">
                  <c:v>8.8581600000000016</c:v>
                </c:pt>
                <c:pt idx="72">
                  <c:v>6.8896800000000002</c:v>
                </c:pt>
                <c:pt idx="73">
                  <c:v>7.87392</c:v>
                </c:pt>
                <c:pt idx="74">
                  <c:v>7.87392</c:v>
                </c:pt>
                <c:pt idx="75">
                  <c:v>8.8581600000000016</c:v>
                </c:pt>
                <c:pt idx="76">
                  <c:v>8.8581600000000016</c:v>
                </c:pt>
                <c:pt idx="77">
                  <c:v>7.87392</c:v>
                </c:pt>
                <c:pt idx="78">
                  <c:v>14.7636</c:v>
                </c:pt>
                <c:pt idx="79">
                  <c:v>7.87392</c:v>
                </c:pt>
                <c:pt idx="80">
                  <c:v>7.87392</c:v>
                </c:pt>
                <c:pt idx="81">
                  <c:v>7.87392</c:v>
                </c:pt>
                <c:pt idx="82">
                  <c:v>8.202</c:v>
                </c:pt>
                <c:pt idx="83">
                  <c:v>8.202</c:v>
                </c:pt>
                <c:pt idx="84">
                  <c:v>8.5300799999999999</c:v>
                </c:pt>
                <c:pt idx="85">
                  <c:v>8.5300799999999999</c:v>
                </c:pt>
              </c:numCache>
            </c:numRef>
          </c:yVal>
          <c:smooth val="1"/>
          <c:extLst>
            <c:ext xmlns:c16="http://schemas.microsoft.com/office/drawing/2014/chart" uri="{C3380CC4-5D6E-409C-BE32-E72D297353CC}">
              <c16:uniqueId val="{00000002-C1FC-4CAE-83B7-22CA7158B067}"/>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524582940444281"/>
                  <c:y val="-0.24272763546979353"/>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Stats'!$P$99:$P$112</c:f>
              <c:numCache>
                <c:formatCode>0.0</c:formatCode>
                <c:ptCount val="14"/>
                <c:pt idx="0">
                  <c:v>5.5773600000000005</c:v>
                </c:pt>
                <c:pt idx="1">
                  <c:v>7.2177600000000011</c:v>
                </c:pt>
                <c:pt idx="2">
                  <c:v>8.8581600000000016</c:v>
                </c:pt>
                <c:pt idx="3">
                  <c:v>7.87392</c:v>
                </c:pt>
                <c:pt idx="4">
                  <c:v>8.8581600000000016</c:v>
                </c:pt>
                <c:pt idx="5">
                  <c:v>4.9212000000000007</c:v>
                </c:pt>
                <c:pt idx="6">
                  <c:v>6.5616000000000003</c:v>
                </c:pt>
                <c:pt idx="7">
                  <c:v>9.8424000000000014</c:v>
                </c:pt>
                <c:pt idx="8">
                  <c:v>7.5458400000000001</c:v>
                </c:pt>
                <c:pt idx="9">
                  <c:v>7.2177600000000011</c:v>
                </c:pt>
                <c:pt idx="10">
                  <c:v>8.5300799999999999</c:v>
                </c:pt>
                <c:pt idx="11">
                  <c:v>7.87392</c:v>
                </c:pt>
                <c:pt idx="12">
                  <c:v>7.87392</c:v>
                </c:pt>
                <c:pt idx="13">
                  <c:v>8.5300799999999999</c:v>
                </c:pt>
              </c:numCache>
            </c:numRef>
          </c:yVal>
          <c:smooth val="1"/>
          <c:extLst>
            <c:ext xmlns:c16="http://schemas.microsoft.com/office/drawing/2014/chart" uri="{C3380CC4-5D6E-409C-BE32-E72D297353CC}">
              <c16:uniqueId val="{00000003-C1FC-4CAE-83B7-22CA7158B067}"/>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330724191228832"/>
                  <c:y val="-0.1466041350154512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Stats'!$P$113:$P$276</c:f>
              <c:numCache>
                <c:formatCode>0.0</c:formatCode>
                <c:ptCount val="164"/>
                <c:pt idx="0">
                  <c:v>9.5143199999999997</c:v>
                </c:pt>
                <c:pt idx="1">
                  <c:v>7.2177600000000011</c:v>
                </c:pt>
                <c:pt idx="2">
                  <c:v>8.2676160000000003</c:v>
                </c:pt>
                <c:pt idx="3">
                  <c:v>3.93696</c:v>
                </c:pt>
                <c:pt idx="4">
                  <c:v>3.93696</c:v>
                </c:pt>
                <c:pt idx="5">
                  <c:v>5.9054400000000005</c:v>
                </c:pt>
                <c:pt idx="6">
                  <c:v>6.5616000000000003</c:v>
                </c:pt>
                <c:pt idx="7">
                  <c:v>7.2177600000000011</c:v>
                </c:pt>
                <c:pt idx="8">
                  <c:v>3.93696</c:v>
                </c:pt>
                <c:pt idx="9">
                  <c:v>4.5931199999999999</c:v>
                </c:pt>
                <c:pt idx="10">
                  <c:v>3.6088800000000005</c:v>
                </c:pt>
                <c:pt idx="11">
                  <c:v>4.9212000000000007</c:v>
                </c:pt>
                <c:pt idx="12">
                  <c:v>4.9212000000000007</c:v>
                </c:pt>
                <c:pt idx="13">
                  <c:v>5.9054400000000005</c:v>
                </c:pt>
                <c:pt idx="14">
                  <c:v>5.9054400000000005</c:v>
                </c:pt>
                <c:pt idx="15">
                  <c:v>5.9054400000000005</c:v>
                </c:pt>
                <c:pt idx="16">
                  <c:v>6.5616000000000003</c:v>
                </c:pt>
                <c:pt idx="17">
                  <c:v>4.5931199999999999</c:v>
                </c:pt>
                <c:pt idx="18">
                  <c:v>5.2492800000000006</c:v>
                </c:pt>
                <c:pt idx="19">
                  <c:v>7.2177600000000011</c:v>
                </c:pt>
                <c:pt idx="20">
                  <c:v>5.5773600000000005</c:v>
                </c:pt>
                <c:pt idx="21">
                  <c:v>5.5773600000000005</c:v>
                </c:pt>
                <c:pt idx="22">
                  <c:v>5.2492800000000006</c:v>
                </c:pt>
                <c:pt idx="23">
                  <c:v>6.2335200000000004</c:v>
                </c:pt>
                <c:pt idx="24">
                  <c:v>5.2492800000000006</c:v>
                </c:pt>
                <c:pt idx="25">
                  <c:v>5.9054400000000005</c:v>
                </c:pt>
                <c:pt idx="26">
                  <c:v>5.5773600000000005</c:v>
                </c:pt>
                <c:pt idx="27">
                  <c:v>7.2177600000000011</c:v>
                </c:pt>
                <c:pt idx="28">
                  <c:v>6.8896800000000002</c:v>
                </c:pt>
                <c:pt idx="29">
                  <c:v>6.5616000000000003</c:v>
                </c:pt>
                <c:pt idx="30">
                  <c:v>5.9054400000000005</c:v>
                </c:pt>
                <c:pt idx="31">
                  <c:v>4.5931199999999999</c:v>
                </c:pt>
                <c:pt idx="32">
                  <c:v>6.8896800000000002</c:v>
                </c:pt>
                <c:pt idx="33">
                  <c:v>5.9054400000000005</c:v>
                </c:pt>
                <c:pt idx="34">
                  <c:v>4.5931199999999999</c:v>
                </c:pt>
                <c:pt idx="35">
                  <c:v>6.2335200000000004</c:v>
                </c:pt>
                <c:pt idx="36">
                  <c:v>5.5773600000000005</c:v>
                </c:pt>
                <c:pt idx="37">
                  <c:v>6.2335200000000004</c:v>
                </c:pt>
                <c:pt idx="38">
                  <c:v>5.9054400000000005</c:v>
                </c:pt>
                <c:pt idx="39">
                  <c:v>6.5616000000000003</c:v>
                </c:pt>
                <c:pt idx="40">
                  <c:v>6.5616000000000003</c:v>
                </c:pt>
                <c:pt idx="41">
                  <c:v>5.9054400000000005</c:v>
                </c:pt>
                <c:pt idx="42">
                  <c:v>6.5616000000000003</c:v>
                </c:pt>
                <c:pt idx="43">
                  <c:v>4.9212000000000007</c:v>
                </c:pt>
                <c:pt idx="44">
                  <c:v>6.8896800000000002</c:v>
                </c:pt>
                <c:pt idx="45">
                  <c:v>4.9212000000000007</c:v>
                </c:pt>
                <c:pt idx="46">
                  <c:v>3.93696</c:v>
                </c:pt>
                <c:pt idx="47">
                  <c:v>6.5616000000000003</c:v>
                </c:pt>
                <c:pt idx="48">
                  <c:v>4.9212000000000007</c:v>
                </c:pt>
                <c:pt idx="49">
                  <c:v>6.5616000000000003</c:v>
                </c:pt>
                <c:pt idx="50">
                  <c:v>4.9212000000000007</c:v>
                </c:pt>
                <c:pt idx="51">
                  <c:v>6.8896800000000002</c:v>
                </c:pt>
                <c:pt idx="52">
                  <c:v>4.2650399999999999</c:v>
                </c:pt>
                <c:pt idx="53">
                  <c:v>5.2492800000000006</c:v>
                </c:pt>
                <c:pt idx="54">
                  <c:v>6.8896800000000002</c:v>
                </c:pt>
                <c:pt idx="55">
                  <c:v>6.8896800000000002</c:v>
                </c:pt>
                <c:pt idx="56">
                  <c:v>4.2650399999999999</c:v>
                </c:pt>
                <c:pt idx="57">
                  <c:v>6.8896800000000002</c:v>
                </c:pt>
                <c:pt idx="58">
                  <c:v>4</c:v>
                </c:pt>
                <c:pt idx="59">
                  <c:v>7.2177600000000011</c:v>
                </c:pt>
                <c:pt idx="60">
                  <c:v>5.9054400000000005</c:v>
                </c:pt>
                <c:pt idx="61">
                  <c:v>5.9054400000000005</c:v>
                </c:pt>
                <c:pt idx="62">
                  <c:v>6.5616000000000003</c:v>
                </c:pt>
                <c:pt idx="63">
                  <c:v>6.8896800000000002</c:v>
                </c:pt>
                <c:pt idx="64">
                  <c:v>4.9212000000000007</c:v>
                </c:pt>
                <c:pt idx="65">
                  <c:v>4.9212000000000007</c:v>
                </c:pt>
                <c:pt idx="66">
                  <c:v>7.5458400000000001</c:v>
                </c:pt>
                <c:pt idx="67">
                  <c:v>4.9212000000000007</c:v>
                </c:pt>
                <c:pt idx="68">
                  <c:v>5.9054400000000005</c:v>
                </c:pt>
                <c:pt idx="69">
                  <c:v>6.8896800000000002</c:v>
                </c:pt>
                <c:pt idx="70">
                  <c:v>5.9054400000000005</c:v>
                </c:pt>
                <c:pt idx="71">
                  <c:v>6.2335200000000004</c:v>
                </c:pt>
                <c:pt idx="72">
                  <c:v>7.2177600000000011</c:v>
                </c:pt>
                <c:pt idx="73">
                  <c:v>5.2492800000000006</c:v>
                </c:pt>
                <c:pt idx="74">
                  <c:v>7.2177600000000011</c:v>
                </c:pt>
                <c:pt idx="75">
                  <c:v>6.5616000000000003</c:v>
                </c:pt>
                <c:pt idx="76">
                  <c:v>9.1862399999999997</c:v>
                </c:pt>
                <c:pt idx="77">
                  <c:v>5.5773600000000005</c:v>
                </c:pt>
                <c:pt idx="78">
                  <c:v>6.8896800000000002</c:v>
                </c:pt>
                <c:pt idx="79">
                  <c:v>6.8896800000000002</c:v>
                </c:pt>
                <c:pt idx="80">
                  <c:v>6.8896800000000002</c:v>
                </c:pt>
                <c:pt idx="81">
                  <c:v>7.2177600000000011</c:v>
                </c:pt>
                <c:pt idx="82">
                  <c:v>5.2492800000000006</c:v>
                </c:pt>
                <c:pt idx="83">
                  <c:v>5.9054400000000005</c:v>
                </c:pt>
                <c:pt idx="84">
                  <c:v>5.5773600000000005</c:v>
                </c:pt>
                <c:pt idx="85">
                  <c:v>7.5</c:v>
                </c:pt>
                <c:pt idx="86">
                  <c:v>5.5773600000000005</c:v>
                </c:pt>
                <c:pt idx="87">
                  <c:v>5.5773600000000005</c:v>
                </c:pt>
                <c:pt idx="88">
                  <c:v>6.8896800000000002</c:v>
                </c:pt>
                <c:pt idx="89">
                  <c:v>9.8424000000000014</c:v>
                </c:pt>
                <c:pt idx="90">
                  <c:v>7.5</c:v>
                </c:pt>
                <c:pt idx="91">
                  <c:v>6.8896800000000002</c:v>
                </c:pt>
                <c:pt idx="92">
                  <c:v>6.5616000000000003</c:v>
                </c:pt>
                <c:pt idx="93">
                  <c:v>7.87392</c:v>
                </c:pt>
                <c:pt idx="94">
                  <c:v>5.9054400000000005</c:v>
                </c:pt>
                <c:pt idx="95">
                  <c:v>7.2177600000000011</c:v>
                </c:pt>
                <c:pt idx="96">
                  <c:v>5.6</c:v>
                </c:pt>
                <c:pt idx="97">
                  <c:v>6.23</c:v>
                </c:pt>
                <c:pt idx="98">
                  <c:v>5.5773600000000005</c:v>
                </c:pt>
                <c:pt idx="99">
                  <c:v>5.5773600000000005</c:v>
                </c:pt>
                <c:pt idx="100">
                  <c:v>5.9054400000000005</c:v>
                </c:pt>
                <c:pt idx="101">
                  <c:v>6.2335200000000004</c:v>
                </c:pt>
                <c:pt idx="102">
                  <c:v>5.2492800000000006</c:v>
                </c:pt>
                <c:pt idx="103">
                  <c:v>6.2335200000000004</c:v>
                </c:pt>
                <c:pt idx="104">
                  <c:v>6.2335200000000004</c:v>
                </c:pt>
                <c:pt idx="105">
                  <c:v>8.202</c:v>
                </c:pt>
                <c:pt idx="106">
                  <c:v>5</c:v>
                </c:pt>
                <c:pt idx="107">
                  <c:v>7.5458400000000001</c:v>
                </c:pt>
                <c:pt idx="108">
                  <c:v>5.2</c:v>
                </c:pt>
                <c:pt idx="109">
                  <c:v>7.87392</c:v>
                </c:pt>
                <c:pt idx="110">
                  <c:v>5.9054400000000005</c:v>
                </c:pt>
                <c:pt idx="111">
                  <c:v>5.9054400000000005</c:v>
                </c:pt>
                <c:pt idx="112">
                  <c:v>7.5458400000000001</c:v>
                </c:pt>
                <c:pt idx="113">
                  <c:v>7.5458400000000001</c:v>
                </c:pt>
                <c:pt idx="114">
                  <c:v>7.5</c:v>
                </c:pt>
                <c:pt idx="115">
                  <c:v>6.6</c:v>
                </c:pt>
                <c:pt idx="116">
                  <c:v>8.1999999999999993</c:v>
                </c:pt>
                <c:pt idx="117">
                  <c:v>7.5458400000000001</c:v>
                </c:pt>
                <c:pt idx="118">
                  <c:v>7.5458400000000001</c:v>
                </c:pt>
                <c:pt idx="119">
                  <c:v>8.8581600000000016</c:v>
                </c:pt>
                <c:pt idx="120">
                  <c:v>5.9054400000000005</c:v>
                </c:pt>
                <c:pt idx="121">
                  <c:v>4.9212000000000007</c:v>
                </c:pt>
                <c:pt idx="122">
                  <c:v>7.2177600000000011</c:v>
                </c:pt>
                <c:pt idx="123">
                  <c:v>6.2</c:v>
                </c:pt>
                <c:pt idx="124">
                  <c:v>8.202</c:v>
                </c:pt>
                <c:pt idx="125">
                  <c:v>6.8896800000000002</c:v>
                </c:pt>
                <c:pt idx="126">
                  <c:v>7.87392</c:v>
                </c:pt>
                <c:pt idx="127">
                  <c:v>9.1862399999999997</c:v>
                </c:pt>
                <c:pt idx="128">
                  <c:v>8.5300799999999999</c:v>
                </c:pt>
                <c:pt idx="129">
                  <c:v>7.2177600000000011</c:v>
                </c:pt>
                <c:pt idx="130">
                  <c:v>6.5616000000000003</c:v>
                </c:pt>
                <c:pt idx="131">
                  <c:v>6.8896800000000002</c:v>
                </c:pt>
                <c:pt idx="132">
                  <c:v>8.202</c:v>
                </c:pt>
                <c:pt idx="133">
                  <c:v>8.202</c:v>
                </c:pt>
                <c:pt idx="134">
                  <c:v>9.1999999999999993</c:v>
                </c:pt>
                <c:pt idx="135">
                  <c:v>9.1862399999999997</c:v>
                </c:pt>
                <c:pt idx="136">
                  <c:v>6.5616000000000003</c:v>
                </c:pt>
                <c:pt idx="137">
                  <c:v>7.2177600000000011</c:v>
                </c:pt>
                <c:pt idx="138">
                  <c:v>7.87392</c:v>
                </c:pt>
                <c:pt idx="139">
                  <c:v>11.810880000000001</c:v>
                </c:pt>
                <c:pt idx="140">
                  <c:v>8.202</c:v>
                </c:pt>
                <c:pt idx="141">
                  <c:v>9</c:v>
                </c:pt>
                <c:pt idx="142">
                  <c:v>9.1862399999999997</c:v>
                </c:pt>
                <c:pt idx="143">
                  <c:v>8.8581600000000016</c:v>
                </c:pt>
                <c:pt idx="144">
                  <c:v>7.87392</c:v>
                </c:pt>
                <c:pt idx="145">
                  <c:v>10.170480000000001</c:v>
                </c:pt>
                <c:pt idx="146">
                  <c:v>8.202</c:v>
                </c:pt>
                <c:pt idx="147">
                  <c:v>9.1862399999999997</c:v>
                </c:pt>
                <c:pt idx="148">
                  <c:v>9.1862399999999997</c:v>
                </c:pt>
                <c:pt idx="149">
                  <c:v>8.5300799999999999</c:v>
                </c:pt>
                <c:pt idx="150">
                  <c:v>8.1999999999999993</c:v>
                </c:pt>
                <c:pt idx="151">
                  <c:v>8.8581600000000016</c:v>
                </c:pt>
                <c:pt idx="152">
                  <c:v>8.202</c:v>
                </c:pt>
                <c:pt idx="153">
                  <c:v>9.1862399999999997</c:v>
                </c:pt>
                <c:pt idx="154">
                  <c:v>8.202</c:v>
                </c:pt>
                <c:pt idx="155">
                  <c:v>7.2177600000000011</c:v>
                </c:pt>
                <c:pt idx="156">
                  <c:v>6.5616000000000003</c:v>
                </c:pt>
                <c:pt idx="157">
                  <c:v>8.8581600000000016</c:v>
                </c:pt>
                <c:pt idx="158">
                  <c:v>14.10744</c:v>
                </c:pt>
                <c:pt idx="159">
                  <c:v>12.467040000000001</c:v>
                </c:pt>
                <c:pt idx="160">
                  <c:v>12.795120000000001</c:v>
                </c:pt>
                <c:pt idx="161">
                  <c:v>8.8581600000000016</c:v>
                </c:pt>
                <c:pt idx="162">
                  <c:v>8.5300799999999999</c:v>
                </c:pt>
                <c:pt idx="163">
                  <c:v>9.8424000000000014</c:v>
                </c:pt>
              </c:numCache>
            </c:numRef>
          </c:yVal>
          <c:smooth val="1"/>
          <c:extLst>
            <c:ext xmlns:c16="http://schemas.microsoft.com/office/drawing/2014/chart" uri="{C3380CC4-5D6E-409C-BE32-E72D297353CC}">
              <c16:uniqueId val="{00000004-C1FC-4CAE-83B7-22CA7158B067}"/>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Stats'!$P$283</c:f>
              <c:numCache>
                <c:formatCode>0.0</c:formatCode>
                <c:ptCount val="1"/>
                <c:pt idx="0">
                  <c:v>7.13</c:v>
                </c:pt>
              </c:numCache>
            </c:numRef>
          </c:yVal>
          <c:smooth val="1"/>
          <c:extLst>
            <c:ext xmlns:c16="http://schemas.microsoft.com/office/drawing/2014/chart" uri="{C3380CC4-5D6E-409C-BE32-E72D297353CC}">
              <c16:uniqueId val="{00000005-C1FC-4CAE-83B7-22CA7158B067}"/>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Stats'!$P$284:$P$294</c:f>
              <c:numCache>
                <c:formatCode>0.0</c:formatCode>
                <c:ptCount val="11"/>
                <c:pt idx="0">
                  <c:v>9.5143199999999997</c:v>
                </c:pt>
                <c:pt idx="1">
                  <c:v>7.2177600000000011</c:v>
                </c:pt>
                <c:pt idx="2">
                  <c:v>8.2676160000000003</c:v>
                </c:pt>
                <c:pt idx="3">
                  <c:v>8.8581600000000016</c:v>
                </c:pt>
                <c:pt idx="4">
                  <c:v>6.5616000000000003</c:v>
                </c:pt>
                <c:pt idx="5">
                  <c:v>6.5616000000000003</c:v>
                </c:pt>
                <c:pt idx="6">
                  <c:v>5.9054400000000005</c:v>
                </c:pt>
                <c:pt idx="7">
                  <c:v>4.9212000000000007</c:v>
                </c:pt>
                <c:pt idx="8">
                  <c:v>7.87392</c:v>
                </c:pt>
                <c:pt idx="9">
                  <c:v>7.2177600000000011</c:v>
                </c:pt>
                <c:pt idx="10">
                  <c:v>7.5</c:v>
                </c:pt>
              </c:numCache>
            </c:numRef>
          </c:yVal>
          <c:smooth val="1"/>
          <c:extLst>
            <c:ext xmlns:c16="http://schemas.microsoft.com/office/drawing/2014/chart" uri="{C3380CC4-5D6E-409C-BE32-E72D297353CC}">
              <c16:uniqueId val="{00000006-C1FC-4CAE-83B7-22CA7158B067}"/>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Stats'!$P$295:$P$298</c:f>
              <c:numCache>
                <c:formatCode>0.0</c:formatCode>
                <c:ptCount val="4"/>
                <c:pt idx="0">
                  <c:v>7.5458400000000001</c:v>
                </c:pt>
                <c:pt idx="1">
                  <c:v>4.9212000000000007</c:v>
                </c:pt>
                <c:pt idx="2">
                  <c:v>6.5616000000000003</c:v>
                </c:pt>
                <c:pt idx="3">
                  <c:v>9.8424000000000014</c:v>
                </c:pt>
              </c:numCache>
            </c:numRef>
          </c:yVal>
          <c:smooth val="1"/>
          <c:extLst>
            <c:ext xmlns:c16="http://schemas.microsoft.com/office/drawing/2014/chart" uri="{C3380CC4-5D6E-409C-BE32-E72D297353CC}">
              <c16:uniqueId val="{00000007-C1FC-4CAE-83B7-22CA7158B067}"/>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Stats'!$P$299:$P$300</c:f>
              <c:numCache>
                <c:formatCode>0.0</c:formatCode>
                <c:ptCount val="2"/>
                <c:pt idx="0">
                  <c:v>7.2177600000000011</c:v>
                </c:pt>
              </c:numCache>
            </c:numRef>
          </c:yVal>
          <c:smooth val="1"/>
          <c:extLst>
            <c:ext xmlns:c16="http://schemas.microsoft.com/office/drawing/2014/chart" uri="{C3380CC4-5D6E-409C-BE32-E72D297353CC}">
              <c16:uniqueId val="{00000008-C1FC-4CAE-83B7-22CA7158B067}"/>
            </c:ext>
          </c:extLst>
        </c:ser>
        <c:dLbls>
          <c:showLegendKey val="0"/>
          <c:showVal val="0"/>
          <c:showCatName val="0"/>
          <c:showSerName val="0"/>
          <c:showPercent val="0"/>
          <c:showBubbleSize val="0"/>
        </c:dLbls>
        <c:axId val="727685688"/>
        <c:axId val="1"/>
      </c:scatterChart>
      <c:valAx>
        <c:axId val="727685688"/>
        <c:scaling>
          <c:orientation val="minMax"/>
          <c:max val="600"/>
          <c:min val="0"/>
        </c:scaling>
        <c:delete val="0"/>
        <c:axPos val="b"/>
        <c:majorGridlines>
          <c:spPr>
            <a:ln w="3175">
              <a:solidFill>
                <a:schemeClr val="tx1"/>
              </a:solidFill>
              <a:prstDash val="sysDot"/>
            </a:ln>
          </c:spPr>
        </c:majorGridlines>
        <c:title>
          <c:tx>
            <c:rich>
              <a:bodyPr/>
              <a:lstStyle/>
              <a:p>
                <a:pPr>
                  <a:defRPr sz="975" b="1" i="0" u="none" strike="noStrike" baseline="0">
                    <a:solidFill>
                      <a:srgbClr val="000000"/>
                    </a:solidFill>
                    <a:latin typeface="Arial"/>
                    <a:ea typeface="Arial"/>
                    <a:cs typeface="Arial"/>
                  </a:defRPr>
                </a:pPr>
                <a:r>
                  <a:rPr lang="en-US"/>
                  <a:t>Displ (LT)</a:t>
                </a:r>
              </a:p>
            </c:rich>
          </c:tx>
          <c:layout>
            <c:manualLayout>
              <c:xMode val="edge"/>
              <c:yMode val="edge"/>
              <c:x val="0.37957824639289678"/>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2"/>
        </c:scaling>
        <c:delete val="0"/>
        <c:axPos val="l"/>
        <c:majorGridlines>
          <c:spPr>
            <a:ln w="3175">
              <a:solidFill>
                <a:schemeClr val="tx1"/>
              </a:solidFill>
              <a:prstDash val="sysDot"/>
            </a:ln>
          </c:spPr>
        </c:majorGridlines>
        <c:title>
          <c:tx>
            <c:rich>
              <a:bodyPr/>
              <a:lstStyle/>
              <a:p>
                <a:pPr>
                  <a:defRPr sz="975" b="1" i="0" u="none" strike="noStrike" baseline="0">
                    <a:solidFill>
                      <a:srgbClr val="000000"/>
                    </a:solidFill>
                    <a:latin typeface="Arial"/>
                    <a:ea typeface="Arial"/>
                    <a:cs typeface="Arial"/>
                  </a:defRPr>
                </a:pPr>
                <a:r>
                  <a:rPr lang="en-US"/>
                  <a:t>Draft (ft)</a:t>
                </a:r>
              </a:p>
            </c:rich>
          </c:tx>
          <c:layout>
            <c:manualLayout>
              <c:xMode val="edge"/>
              <c:yMode val="edge"/>
              <c:x val="1.4428412874583796E-2"/>
              <c:y val="0.43882544861337686"/>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85688"/>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69256381798002"/>
          <c:y val="0.46655791190864598"/>
          <c:w val="0.22530521642619306"/>
          <c:h val="0.4371941272430668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Beam vs Displ</a:t>
            </a:r>
          </a:p>
        </c:rich>
      </c:tx>
      <c:layout>
        <c:manualLayout>
          <c:xMode val="edge"/>
          <c:yMode val="edge"/>
          <c:x val="0.43618201997780243"/>
          <c:y val="1.9575856443719411E-2"/>
        </c:manualLayout>
      </c:layout>
      <c:overlay val="0"/>
      <c:spPr>
        <a:noFill/>
        <a:ln w="25400">
          <a:noFill/>
        </a:ln>
      </c:spPr>
    </c:title>
    <c:autoTitleDeleted val="0"/>
    <c:plotArea>
      <c:layout>
        <c:manualLayout>
          <c:layoutTarget val="inner"/>
          <c:xMode val="edge"/>
          <c:yMode val="edge"/>
          <c:x val="6.6592674805771371E-2"/>
          <c:y val="7.177814029363784E-2"/>
          <c:w val="0.69145394006659266"/>
          <c:h val="0.82218597063621535"/>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8907708238638854"/>
                  <c:y val="6.7272899287122767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Stats'!$N$5:$N$276</c:f>
              <c:numCache>
                <c:formatCode>0.0</c:formatCode>
                <c:ptCount val="272"/>
                <c:pt idx="0">
                  <c:v>28.542960000000001</c:v>
                </c:pt>
                <c:pt idx="1">
                  <c:v>24.606000000000002</c:v>
                </c:pt>
                <c:pt idx="2">
                  <c:v>27.886800000000001</c:v>
                </c:pt>
                <c:pt idx="3">
                  <c:v>26.246400000000001</c:v>
                </c:pt>
                <c:pt idx="4">
                  <c:v>33.46416</c:v>
                </c:pt>
                <c:pt idx="5">
                  <c:v>37.729199999999999</c:v>
                </c:pt>
                <c:pt idx="6">
                  <c:v>27.886800000000001</c:v>
                </c:pt>
                <c:pt idx="7">
                  <c:v>27.886800000000001</c:v>
                </c:pt>
                <c:pt idx="8">
                  <c:v>18.0444</c:v>
                </c:pt>
                <c:pt idx="9">
                  <c:v>18.700560000000003</c:v>
                </c:pt>
                <c:pt idx="10">
                  <c:v>20.669039999999999</c:v>
                </c:pt>
                <c:pt idx="11">
                  <c:v>20.669039999999999</c:v>
                </c:pt>
                <c:pt idx="12">
                  <c:v>20.012879999999999</c:v>
                </c:pt>
                <c:pt idx="13">
                  <c:v>20.669039999999999</c:v>
                </c:pt>
                <c:pt idx="14">
                  <c:v>22.637520000000002</c:v>
                </c:pt>
                <c:pt idx="15">
                  <c:v>17.716320000000003</c:v>
                </c:pt>
                <c:pt idx="16">
                  <c:v>17.716320000000003</c:v>
                </c:pt>
                <c:pt idx="17">
                  <c:v>17.716320000000003</c:v>
                </c:pt>
                <c:pt idx="18">
                  <c:v>17.716320000000003</c:v>
                </c:pt>
                <c:pt idx="19">
                  <c:v>21.981360000000002</c:v>
                </c:pt>
                <c:pt idx="20">
                  <c:v>22.637520000000002</c:v>
                </c:pt>
                <c:pt idx="21">
                  <c:v>22.637520000000002</c:v>
                </c:pt>
                <c:pt idx="22">
                  <c:v>17.716320000000003</c:v>
                </c:pt>
                <c:pt idx="23">
                  <c:v>20.340960000000003</c:v>
                </c:pt>
                <c:pt idx="24">
                  <c:v>25.262160000000002</c:v>
                </c:pt>
                <c:pt idx="25">
                  <c:v>23.293679999999998</c:v>
                </c:pt>
                <c:pt idx="26">
                  <c:v>21.981360000000002</c:v>
                </c:pt>
                <c:pt idx="27">
                  <c:v>23.3</c:v>
                </c:pt>
                <c:pt idx="28">
                  <c:v>21.981360000000002</c:v>
                </c:pt>
                <c:pt idx="29">
                  <c:v>23.621760000000002</c:v>
                </c:pt>
                <c:pt idx="30">
                  <c:v>23.6</c:v>
                </c:pt>
                <c:pt idx="31">
                  <c:v>22.965600000000002</c:v>
                </c:pt>
                <c:pt idx="32">
                  <c:v>24.934080000000002</c:v>
                </c:pt>
                <c:pt idx="33">
                  <c:v>24.934080000000002</c:v>
                </c:pt>
                <c:pt idx="34">
                  <c:v>24.934080000000002</c:v>
                </c:pt>
                <c:pt idx="35">
                  <c:v>22.309440000000002</c:v>
                </c:pt>
                <c:pt idx="36">
                  <c:v>23.621760000000002</c:v>
                </c:pt>
                <c:pt idx="37">
                  <c:v>24.934080000000002</c:v>
                </c:pt>
                <c:pt idx="38">
                  <c:v>24.934080000000002</c:v>
                </c:pt>
                <c:pt idx="39">
                  <c:v>20.997120000000002</c:v>
                </c:pt>
                <c:pt idx="40">
                  <c:v>24.934080000000002</c:v>
                </c:pt>
                <c:pt idx="41">
                  <c:v>23.8</c:v>
                </c:pt>
                <c:pt idx="42">
                  <c:v>23.293679999999998</c:v>
                </c:pt>
                <c:pt idx="43">
                  <c:v>22.965600000000002</c:v>
                </c:pt>
                <c:pt idx="44">
                  <c:v>23.949840000000002</c:v>
                </c:pt>
                <c:pt idx="45">
                  <c:v>25.918320000000001</c:v>
                </c:pt>
                <c:pt idx="46">
                  <c:v>22.965600000000002</c:v>
                </c:pt>
                <c:pt idx="47">
                  <c:v>23.293679999999998</c:v>
                </c:pt>
                <c:pt idx="48">
                  <c:v>22.965600000000002</c:v>
                </c:pt>
                <c:pt idx="49">
                  <c:v>22.965600000000002</c:v>
                </c:pt>
                <c:pt idx="50">
                  <c:v>22.965600000000002</c:v>
                </c:pt>
                <c:pt idx="51">
                  <c:v>22.965600000000002</c:v>
                </c:pt>
                <c:pt idx="52">
                  <c:v>27.558720000000001</c:v>
                </c:pt>
                <c:pt idx="53">
                  <c:v>23</c:v>
                </c:pt>
                <c:pt idx="54">
                  <c:v>22.965600000000002</c:v>
                </c:pt>
                <c:pt idx="55">
                  <c:v>22.965600000000002</c:v>
                </c:pt>
                <c:pt idx="56">
                  <c:v>22.965600000000002</c:v>
                </c:pt>
                <c:pt idx="57">
                  <c:v>23</c:v>
                </c:pt>
                <c:pt idx="58">
                  <c:v>22.965600000000002</c:v>
                </c:pt>
                <c:pt idx="59">
                  <c:v>22.965600000000002</c:v>
                </c:pt>
                <c:pt idx="60">
                  <c:v>24.277920000000002</c:v>
                </c:pt>
                <c:pt idx="61">
                  <c:v>23.949840000000002</c:v>
                </c:pt>
                <c:pt idx="62">
                  <c:v>24.277920000000002</c:v>
                </c:pt>
                <c:pt idx="63">
                  <c:v>22.965600000000002</c:v>
                </c:pt>
                <c:pt idx="64">
                  <c:v>23.949840000000002</c:v>
                </c:pt>
                <c:pt idx="65">
                  <c:v>23.949840000000002</c:v>
                </c:pt>
                <c:pt idx="66">
                  <c:v>24.606000000000002</c:v>
                </c:pt>
                <c:pt idx="67">
                  <c:v>23.293679999999998</c:v>
                </c:pt>
                <c:pt idx="68">
                  <c:v>23.293679999999998</c:v>
                </c:pt>
                <c:pt idx="69">
                  <c:v>24.606000000000002</c:v>
                </c:pt>
                <c:pt idx="70">
                  <c:v>30.18336</c:v>
                </c:pt>
                <c:pt idx="71">
                  <c:v>24.934080000000002</c:v>
                </c:pt>
                <c:pt idx="72">
                  <c:v>25.590240000000001</c:v>
                </c:pt>
                <c:pt idx="73">
                  <c:v>23.621760000000002</c:v>
                </c:pt>
                <c:pt idx="74">
                  <c:v>24.934080000000002</c:v>
                </c:pt>
                <c:pt idx="75">
                  <c:v>26.902559999999998</c:v>
                </c:pt>
                <c:pt idx="76">
                  <c:v>26.902559999999998</c:v>
                </c:pt>
                <c:pt idx="77">
                  <c:v>26.902559999999998</c:v>
                </c:pt>
                <c:pt idx="78">
                  <c:v>26.246400000000001</c:v>
                </c:pt>
                <c:pt idx="79">
                  <c:v>24.934080000000002</c:v>
                </c:pt>
                <c:pt idx="80">
                  <c:v>24.934080000000002</c:v>
                </c:pt>
                <c:pt idx="81">
                  <c:v>26.902559999999998</c:v>
                </c:pt>
                <c:pt idx="82">
                  <c:v>25.590240000000001</c:v>
                </c:pt>
                <c:pt idx="83">
                  <c:v>24.934080000000002</c:v>
                </c:pt>
                <c:pt idx="84">
                  <c:v>24.934080000000002</c:v>
                </c:pt>
                <c:pt idx="85">
                  <c:v>25.590240000000001</c:v>
                </c:pt>
                <c:pt idx="86">
                  <c:v>28.871040000000004</c:v>
                </c:pt>
                <c:pt idx="87">
                  <c:v>23.621760000000002</c:v>
                </c:pt>
                <c:pt idx="88">
                  <c:v>23.621760000000002</c:v>
                </c:pt>
                <c:pt idx="89">
                  <c:v>23.621760000000002</c:v>
                </c:pt>
                <c:pt idx="90">
                  <c:v>24.934080000000002</c:v>
                </c:pt>
                <c:pt idx="91">
                  <c:v>24.934080000000002</c:v>
                </c:pt>
                <c:pt idx="92">
                  <c:v>27.230640000000005</c:v>
                </c:pt>
                <c:pt idx="93">
                  <c:v>31.1676</c:v>
                </c:pt>
                <c:pt idx="94">
                  <c:v>20.669039999999999</c:v>
                </c:pt>
                <c:pt idx="95">
                  <c:v>22.965600000000002</c:v>
                </c:pt>
                <c:pt idx="96">
                  <c:v>24.934080000000002</c:v>
                </c:pt>
                <c:pt idx="97">
                  <c:v>23.293679999999998</c:v>
                </c:pt>
                <c:pt idx="98">
                  <c:v>24.934080000000002</c:v>
                </c:pt>
                <c:pt idx="99">
                  <c:v>26.246400000000001</c:v>
                </c:pt>
                <c:pt idx="100">
                  <c:v>27.230640000000005</c:v>
                </c:pt>
                <c:pt idx="101">
                  <c:v>29.199120000000004</c:v>
                </c:pt>
                <c:pt idx="102">
                  <c:v>24.934080000000002</c:v>
                </c:pt>
                <c:pt idx="103">
                  <c:v>23.621760000000002</c:v>
                </c:pt>
                <c:pt idx="104">
                  <c:v>25.590240000000001</c:v>
                </c:pt>
                <c:pt idx="105">
                  <c:v>25.590240000000001</c:v>
                </c:pt>
                <c:pt idx="106">
                  <c:v>27.558720000000001</c:v>
                </c:pt>
                <c:pt idx="107">
                  <c:v>27.558720000000001</c:v>
                </c:pt>
                <c:pt idx="108">
                  <c:v>26.607288</c:v>
                </c:pt>
                <c:pt idx="109">
                  <c:v>23.621760000000002</c:v>
                </c:pt>
                <c:pt idx="110">
                  <c:v>23.326488000000001</c:v>
                </c:pt>
                <c:pt idx="111">
                  <c:v>16.404</c:v>
                </c:pt>
                <c:pt idx="112">
                  <c:v>16.404</c:v>
                </c:pt>
                <c:pt idx="113">
                  <c:v>19.028639999999999</c:v>
                </c:pt>
                <c:pt idx="114">
                  <c:v>16.075920000000004</c:v>
                </c:pt>
                <c:pt idx="115">
                  <c:v>18.700560000000003</c:v>
                </c:pt>
                <c:pt idx="116">
                  <c:v>13.123200000000001</c:v>
                </c:pt>
                <c:pt idx="117">
                  <c:v>21.325200000000002</c:v>
                </c:pt>
                <c:pt idx="118">
                  <c:v>18.372479999999999</c:v>
                </c:pt>
                <c:pt idx="119">
                  <c:v>18.0444</c:v>
                </c:pt>
                <c:pt idx="120">
                  <c:v>18.372479999999999</c:v>
                </c:pt>
                <c:pt idx="121">
                  <c:v>17.06016</c:v>
                </c:pt>
                <c:pt idx="122">
                  <c:v>17.38824</c:v>
                </c:pt>
                <c:pt idx="123">
                  <c:v>17.06016</c:v>
                </c:pt>
                <c:pt idx="124">
                  <c:v>26.902559999999998</c:v>
                </c:pt>
                <c:pt idx="125">
                  <c:v>15.419760000000002</c:v>
                </c:pt>
                <c:pt idx="126">
                  <c:v>19.028639999999999</c:v>
                </c:pt>
                <c:pt idx="127">
                  <c:v>20.669039999999999</c:v>
                </c:pt>
                <c:pt idx="128">
                  <c:v>19.356720000000003</c:v>
                </c:pt>
                <c:pt idx="129">
                  <c:v>16.404</c:v>
                </c:pt>
                <c:pt idx="130">
                  <c:v>20.997120000000002</c:v>
                </c:pt>
                <c:pt idx="131">
                  <c:v>20.340960000000003</c:v>
                </c:pt>
                <c:pt idx="132">
                  <c:v>19.028639999999999</c:v>
                </c:pt>
                <c:pt idx="133">
                  <c:v>18.372479999999999</c:v>
                </c:pt>
                <c:pt idx="134">
                  <c:v>16.404</c:v>
                </c:pt>
                <c:pt idx="135">
                  <c:v>21.653279999999999</c:v>
                </c:pt>
                <c:pt idx="136">
                  <c:v>20.669039999999999</c:v>
                </c:pt>
                <c:pt idx="137">
                  <c:v>26.902559999999998</c:v>
                </c:pt>
                <c:pt idx="138">
                  <c:v>23.949840000000002</c:v>
                </c:pt>
                <c:pt idx="139">
                  <c:v>19.356720000000003</c:v>
                </c:pt>
                <c:pt idx="140">
                  <c:v>20.669039999999999</c:v>
                </c:pt>
                <c:pt idx="141">
                  <c:v>19.028639999999999</c:v>
                </c:pt>
                <c:pt idx="142">
                  <c:v>21.981360000000002</c:v>
                </c:pt>
                <c:pt idx="143">
                  <c:v>16.404</c:v>
                </c:pt>
                <c:pt idx="144">
                  <c:v>19.684800000000003</c:v>
                </c:pt>
                <c:pt idx="145">
                  <c:v>20.340960000000003</c:v>
                </c:pt>
                <c:pt idx="146">
                  <c:v>19.028639999999999</c:v>
                </c:pt>
                <c:pt idx="147">
                  <c:v>20.340960000000003</c:v>
                </c:pt>
                <c:pt idx="148">
                  <c:v>20.340960000000003</c:v>
                </c:pt>
                <c:pt idx="149">
                  <c:v>21.325200000000002</c:v>
                </c:pt>
                <c:pt idx="150">
                  <c:v>24.606000000000002</c:v>
                </c:pt>
                <c:pt idx="151">
                  <c:v>20.997120000000002</c:v>
                </c:pt>
                <c:pt idx="152">
                  <c:v>20.997120000000002</c:v>
                </c:pt>
                <c:pt idx="153">
                  <c:v>18.700560000000003</c:v>
                </c:pt>
                <c:pt idx="154">
                  <c:v>22.965600000000002</c:v>
                </c:pt>
                <c:pt idx="155">
                  <c:v>19.028639999999999</c:v>
                </c:pt>
                <c:pt idx="156">
                  <c:v>17.06016</c:v>
                </c:pt>
                <c:pt idx="157">
                  <c:v>20.997120000000002</c:v>
                </c:pt>
                <c:pt idx="158">
                  <c:v>17.06016</c:v>
                </c:pt>
                <c:pt idx="159">
                  <c:v>21.981360000000002</c:v>
                </c:pt>
                <c:pt idx="160">
                  <c:v>20.669039999999999</c:v>
                </c:pt>
                <c:pt idx="161">
                  <c:v>19.028639999999999</c:v>
                </c:pt>
                <c:pt idx="162">
                  <c:v>20.012879999999999</c:v>
                </c:pt>
                <c:pt idx="163">
                  <c:v>21.981360000000002</c:v>
                </c:pt>
                <c:pt idx="164">
                  <c:v>21.981360000000002</c:v>
                </c:pt>
                <c:pt idx="165">
                  <c:v>20.012879999999999</c:v>
                </c:pt>
                <c:pt idx="166">
                  <c:v>22.3</c:v>
                </c:pt>
                <c:pt idx="167">
                  <c:v>19.684800000000003</c:v>
                </c:pt>
                <c:pt idx="168">
                  <c:v>19.028639999999999</c:v>
                </c:pt>
                <c:pt idx="169">
                  <c:v>17.716320000000003</c:v>
                </c:pt>
                <c:pt idx="170">
                  <c:v>21.653279999999999</c:v>
                </c:pt>
                <c:pt idx="171">
                  <c:v>23.949840000000002</c:v>
                </c:pt>
                <c:pt idx="172">
                  <c:v>20.997120000000002</c:v>
                </c:pt>
                <c:pt idx="173">
                  <c:v>20.997120000000002</c:v>
                </c:pt>
                <c:pt idx="174">
                  <c:v>21.653279999999999</c:v>
                </c:pt>
                <c:pt idx="175">
                  <c:v>20.012879999999999</c:v>
                </c:pt>
                <c:pt idx="176">
                  <c:v>20.340960000000003</c:v>
                </c:pt>
                <c:pt idx="177">
                  <c:v>24.934080000000002</c:v>
                </c:pt>
                <c:pt idx="178">
                  <c:v>29.527200000000001</c:v>
                </c:pt>
                <c:pt idx="179">
                  <c:v>19.028639999999999</c:v>
                </c:pt>
                <c:pt idx="180">
                  <c:v>20.012879999999999</c:v>
                </c:pt>
                <c:pt idx="181">
                  <c:v>19.356720000000003</c:v>
                </c:pt>
                <c:pt idx="182">
                  <c:v>28.542960000000001</c:v>
                </c:pt>
                <c:pt idx="183">
                  <c:v>21.325200000000002</c:v>
                </c:pt>
                <c:pt idx="184">
                  <c:v>19.684800000000003</c:v>
                </c:pt>
                <c:pt idx="185">
                  <c:v>22.637520000000002</c:v>
                </c:pt>
                <c:pt idx="186">
                  <c:v>26.574480000000001</c:v>
                </c:pt>
                <c:pt idx="187">
                  <c:v>26.574480000000001</c:v>
                </c:pt>
                <c:pt idx="188">
                  <c:v>26.574480000000001</c:v>
                </c:pt>
                <c:pt idx="189">
                  <c:v>20.997120000000002</c:v>
                </c:pt>
                <c:pt idx="190">
                  <c:v>26.902559999999998</c:v>
                </c:pt>
                <c:pt idx="191">
                  <c:v>19.684800000000003</c:v>
                </c:pt>
                <c:pt idx="192">
                  <c:v>20.997120000000002</c:v>
                </c:pt>
                <c:pt idx="193">
                  <c:v>20.997120000000002</c:v>
                </c:pt>
                <c:pt idx="194">
                  <c:v>20.997120000000002</c:v>
                </c:pt>
                <c:pt idx="195">
                  <c:v>21.981360000000002</c:v>
                </c:pt>
                <c:pt idx="196">
                  <c:v>21.981360000000002</c:v>
                </c:pt>
                <c:pt idx="197">
                  <c:v>28.214880000000001</c:v>
                </c:pt>
                <c:pt idx="198">
                  <c:v>24.3</c:v>
                </c:pt>
                <c:pt idx="199">
                  <c:v>22.637520000000002</c:v>
                </c:pt>
                <c:pt idx="200">
                  <c:v>23.621760000000002</c:v>
                </c:pt>
                <c:pt idx="201">
                  <c:v>22.309440000000002</c:v>
                </c:pt>
                <c:pt idx="202">
                  <c:v>20.669039999999999</c:v>
                </c:pt>
                <c:pt idx="203">
                  <c:v>23.293679999999998</c:v>
                </c:pt>
                <c:pt idx="204">
                  <c:v>24.6</c:v>
                </c:pt>
                <c:pt idx="205">
                  <c:v>23</c:v>
                </c:pt>
                <c:pt idx="206">
                  <c:v>26.246400000000001</c:v>
                </c:pt>
                <c:pt idx="207">
                  <c:v>22.637520000000002</c:v>
                </c:pt>
                <c:pt idx="208">
                  <c:v>24.606000000000002</c:v>
                </c:pt>
                <c:pt idx="209">
                  <c:v>26.246400000000001</c:v>
                </c:pt>
                <c:pt idx="210">
                  <c:v>21.981360000000002</c:v>
                </c:pt>
                <c:pt idx="211">
                  <c:v>28.214880000000001</c:v>
                </c:pt>
                <c:pt idx="212">
                  <c:v>24.606000000000002</c:v>
                </c:pt>
                <c:pt idx="213">
                  <c:v>25.918320000000001</c:v>
                </c:pt>
                <c:pt idx="214">
                  <c:v>23</c:v>
                </c:pt>
                <c:pt idx="215">
                  <c:v>24.277920000000002</c:v>
                </c:pt>
                <c:pt idx="216">
                  <c:v>24.3</c:v>
                </c:pt>
                <c:pt idx="217">
                  <c:v>23.293679999999998</c:v>
                </c:pt>
                <c:pt idx="218">
                  <c:v>23.293679999999998</c:v>
                </c:pt>
                <c:pt idx="219">
                  <c:v>26.902559999999998</c:v>
                </c:pt>
                <c:pt idx="220">
                  <c:v>23.293679999999998</c:v>
                </c:pt>
                <c:pt idx="221">
                  <c:v>23.293679999999998</c:v>
                </c:pt>
                <c:pt idx="222">
                  <c:v>23</c:v>
                </c:pt>
                <c:pt idx="223">
                  <c:v>24.6</c:v>
                </c:pt>
                <c:pt idx="224">
                  <c:v>24.6</c:v>
                </c:pt>
                <c:pt idx="225">
                  <c:v>24.606000000000002</c:v>
                </c:pt>
                <c:pt idx="226">
                  <c:v>24.606000000000002</c:v>
                </c:pt>
                <c:pt idx="227">
                  <c:v>31.758144000000001</c:v>
                </c:pt>
                <c:pt idx="228">
                  <c:v>23.949840000000002</c:v>
                </c:pt>
                <c:pt idx="229">
                  <c:v>24.277920000000002</c:v>
                </c:pt>
                <c:pt idx="230">
                  <c:v>25.262160000000002</c:v>
                </c:pt>
                <c:pt idx="231">
                  <c:v>24.6</c:v>
                </c:pt>
                <c:pt idx="232">
                  <c:v>21.653279999999999</c:v>
                </c:pt>
                <c:pt idx="233">
                  <c:v>22.965600000000002</c:v>
                </c:pt>
                <c:pt idx="234">
                  <c:v>25.918320000000001</c:v>
                </c:pt>
                <c:pt idx="235">
                  <c:v>32.808</c:v>
                </c:pt>
                <c:pt idx="236">
                  <c:v>29.199120000000004</c:v>
                </c:pt>
                <c:pt idx="237">
                  <c:v>23.621760000000002</c:v>
                </c:pt>
                <c:pt idx="238">
                  <c:v>23.621760000000002</c:v>
                </c:pt>
                <c:pt idx="239">
                  <c:v>24.934080000000002</c:v>
                </c:pt>
                <c:pt idx="240">
                  <c:v>29.527200000000001</c:v>
                </c:pt>
                <c:pt idx="241">
                  <c:v>29.527200000000001</c:v>
                </c:pt>
                <c:pt idx="242">
                  <c:v>24.6</c:v>
                </c:pt>
                <c:pt idx="243">
                  <c:v>34.448399999999999</c:v>
                </c:pt>
                <c:pt idx="244">
                  <c:v>23.621760000000002</c:v>
                </c:pt>
                <c:pt idx="245">
                  <c:v>32.808</c:v>
                </c:pt>
                <c:pt idx="246">
                  <c:v>26.902559999999998</c:v>
                </c:pt>
                <c:pt idx="247">
                  <c:v>24.606000000000002</c:v>
                </c:pt>
                <c:pt idx="248">
                  <c:v>26.246400000000001</c:v>
                </c:pt>
                <c:pt idx="249">
                  <c:v>32.200000000000003</c:v>
                </c:pt>
                <c:pt idx="250">
                  <c:v>24.934080000000002</c:v>
                </c:pt>
                <c:pt idx="251">
                  <c:v>24.934080000000002</c:v>
                </c:pt>
                <c:pt idx="252">
                  <c:v>26.574480000000001</c:v>
                </c:pt>
                <c:pt idx="253">
                  <c:v>24.934080000000002</c:v>
                </c:pt>
                <c:pt idx="254">
                  <c:v>26.246400000000001</c:v>
                </c:pt>
                <c:pt idx="255">
                  <c:v>24.934080000000002</c:v>
                </c:pt>
                <c:pt idx="256">
                  <c:v>24.934080000000002</c:v>
                </c:pt>
                <c:pt idx="257">
                  <c:v>29.527200000000001</c:v>
                </c:pt>
                <c:pt idx="258">
                  <c:v>22.3</c:v>
                </c:pt>
                <c:pt idx="259">
                  <c:v>26.246400000000001</c:v>
                </c:pt>
                <c:pt idx="260">
                  <c:v>29.527200000000001</c:v>
                </c:pt>
                <c:pt idx="261">
                  <c:v>26.902559999999998</c:v>
                </c:pt>
                <c:pt idx="262">
                  <c:v>24.934080000000002</c:v>
                </c:pt>
                <c:pt idx="263">
                  <c:v>23.621760000000002</c:v>
                </c:pt>
                <c:pt idx="264">
                  <c:v>26.574480000000001</c:v>
                </c:pt>
                <c:pt idx="265">
                  <c:v>28.214880000000001</c:v>
                </c:pt>
                <c:pt idx="266">
                  <c:v>27.230640000000005</c:v>
                </c:pt>
                <c:pt idx="267">
                  <c:v>27.886800000000001</c:v>
                </c:pt>
                <c:pt idx="268">
                  <c:v>28.214880000000001</c:v>
                </c:pt>
                <c:pt idx="269">
                  <c:v>32.808</c:v>
                </c:pt>
                <c:pt idx="270">
                  <c:v>34.448399999999999</c:v>
                </c:pt>
                <c:pt idx="271">
                  <c:v>37.401120000000006</c:v>
                </c:pt>
              </c:numCache>
            </c:numRef>
          </c:yVal>
          <c:smooth val="1"/>
          <c:extLst>
            <c:ext xmlns:c16="http://schemas.microsoft.com/office/drawing/2014/chart" uri="{C3380CC4-5D6E-409C-BE32-E72D297353CC}">
              <c16:uniqueId val="{00000000-1B90-4006-8DF1-FF06362ACE58}"/>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0572525108783135"/>
                  <c:y val="-0.17675509544521781"/>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Stats'!$N$5:$N$12</c:f>
              <c:numCache>
                <c:formatCode>0.0</c:formatCode>
                <c:ptCount val="8"/>
                <c:pt idx="0">
                  <c:v>28.542960000000001</c:v>
                </c:pt>
                <c:pt idx="1">
                  <c:v>24.606000000000002</c:v>
                </c:pt>
                <c:pt idx="2">
                  <c:v>27.886800000000001</c:v>
                </c:pt>
                <c:pt idx="3">
                  <c:v>26.246400000000001</c:v>
                </c:pt>
                <c:pt idx="4">
                  <c:v>33.46416</c:v>
                </c:pt>
                <c:pt idx="5">
                  <c:v>37.729199999999999</c:v>
                </c:pt>
                <c:pt idx="6">
                  <c:v>27.886800000000001</c:v>
                </c:pt>
                <c:pt idx="7">
                  <c:v>27.886800000000001</c:v>
                </c:pt>
              </c:numCache>
            </c:numRef>
          </c:yVal>
          <c:smooth val="1"/>
          <c:extLst>
            <c:ext xmlns:c16="http://schemas.microsoft.com/office/drawing/2014/chart" uri="{C3380CC4-5D6E-409C-BE32-E72D297353CC}">
              <c16:uniqueId val="{00000001-1B90-4006-8DF1-FF06362ACE58}"/>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0440603345412145"/>
                  <c:y val="-0.20495189311276257"/>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Stats'!$N$13:$N$98</c:f>
              <c:numCache>
                <c:formatCode>0.0</c:formatCode>
                <c:ptCount val="86"/>
                <c:pt idx="0">
                  <c:v>18.0444</c:v>
                </c:pt>
                <c:pt idx="1">
                  <c:v>18.700560000000003</c:v>
                </c:pt>
                <c:pt idx="2">
                  <c:v>20.669039999999999</c:v>
                </c:pt>
                <c:pt idx="3">
                  <c:v>20.669039999999999</c:v>
                </c:pt>
                <c:pt idx="4">
                  <c:v>20.012879999999999</c:v>
                </c:pt>
                <c:pt idx="5">
                  <c:v>20.669039999999999</c:v>
                </c:pt>
                <c:pt idx="6">
                  <c:v>22.637520000000002</c:v>
                </c:pt>
                <c:pt idx="7">
                  <c:v>17.716320000000003</c:v>
                </c:pt>
                <c:pt idx="8">
                  <c:v>17.716320000000003</c:v>
                </c:pt>
                <c:pt idx="9">
                  <c:v>17.716320000000003</c:v>
                </c:pt>
                <c:pt idx="10">
                  <c:v>17.716320000000003</c:v>
                </c:pt>
                <c:pt idx="11">
                  <c:v>21.981360000000002</c:v>
                </c:pt>
                <c:pt idx="12">
                  <c:v>22.637520000000002</c:v>
                </c:pt>
                <c:pt idx="13">
                  <c:v>22.637520000000002</c:v>
                </c:pt>
                <c:pt idx="14">
                  <c:v>17.716320000000003</c:v>
                </c:pt>
                <c:pt idx="15">
                  <c:v>20.340960000000003</c:v>
                </c:pt>
                <c:pt idx="16">
                  <c:v>25.262160000000002</c:v>
                </c:pt>
                <c:pt idx="17">
                  <c:v>23.293679999999998</c:v>
                </c:pt>
                <c:pt idx="18">
                  <c:v>21.981360000000002</c:v>
                </c:pt>
                <c:pt idx="19">
                  <c:v>23.3</c:v>
                </c:pt>
                <c:pt idx="20">
                  <c:v>21.981360000000002</c:v>
                </c:pt>
                <c:pt idx="21">
                  <c:v>23.621760000000002</c:v>
                </c:pt>
                <c:pt idx="22">
                  <c:v>23.6</c:v>
                </c:pt>
                <c:pt idx="23">
                  <c:v>22.965600000000002</c:v>
                </c:pt>
                <c:pt idx="24">
                  <c:v>24.934080000000002</c:v>
                </c:pt>
                <c:pt idx="25">
                  <c:v>24.934080000000002</c:v>
                </c:pt>
                <c:pt idx="26">
                  <c:v>24.934080000000002</c:v>
                </c:pt>
                <c:pt idx="27">
                  <c:v>22.309440000000002</c:v>
                </c:pt>
                <c:pt idx="28">
                  <c:v>23.621760000000002</c:v>
                </c:pt>
                <c:pt idx="29">
                  <c:v>24.934080000000002</c:v>
                </c:pt>
                <c:pt idx="30">
                  <c:v>24.934080000000002</c:v>
                </c:pt>
                <c:pt idx="31">
                  <c:v>20.997120000000002</c:v>
                </c:pt>
                <c:pt idx="32">
                  <c:v>24.934080000000002</c:v>
                </c:pt>
                <c:pt idx="33">
                  <c:v>23.8</c:v>
                </c:pt>
                <c:pt idx="34">
                  <c:v>23.293679999999998</c:v>
                </c:pt>
                <c:pt idx="35">
                  <c:v>22.965600000000002</c:v>
                </c:pt>
                <c:pt idx="36">
                  <c:v>23.949840000000002</c:v>
                </c:pt>
                <c:pt idx="37">
                  <c:v>25.918320000000001</c:v>
                </c:pt>
                <c:pt idx="38">
                  <c:v>22.965600000000002</c:v>
                </c:pt>
                <c:pt idx="39">
                  <c:v>23.293679999999998</c:v>
                </c:pt>
                <c:pt idx="40">
                  <c:v>22.965600000000002</c:v>
                </c:pt>
                <c:pt idx="41">
                  <c:v>22.965600000000002</c:v>
                </c:pt>
                <c:pt idx="42">
                  <c:v>22.965600000000002</c:v>
                </c:pt>
                <c:pt idx="43">
                  <c:v>22.965600000000002</c:v>
                </c:pt>
                <c:pt idx="44">
                  <c:v>27.558720000000001</c:v>
                </c:pt>
                <c:pt idx="45">
                  <c:v>23</c:v>
                </c:pt>
                <c:pt idx="46">
                  <c:v>22.965600000000002</c:v>
                </c:pt>
                <c:pt idx="47">
                  <c:v>22.965600000000002</c:v>
                </c:pt>
                <c:pt idx="48">
                  <c:v>22.965600000000002</c:v>
                </c:pt>
                <c:pt idx="49">
                  <c:v>23</c:v>
                </c:pt>
                <c:pt idx="50">
                  <c:v>22.965600000000002</c:v>
                </c:pt>
                <c:pt idx="51">
                  <c:v>22.965600000000002</c:v>
                </c:pt>
                <c:pt idx="52">
                  <c:v>24.277920000000002</c:v>
                </c:pt>
                <c:pt idx="53">
                  <c:v>23.949840000000002</c:v>
                </c:pt>
                <c:pt idx="54">
                  <c:v>24.277920000000002</c:v>
                </c:pt>
                <c:pt idx="55">
                  <c:v>22.965600000000002</c:v>
                </c:pt>
                <c:pt idx="56">
                  <c:v>23.949840000000002</c:v>
                </c:pt>
                <c:pt idx="57">
                  <c:v>23.949840000000002</c:v>
                </c:pt>
                <c:pt idx="58">
                  <c:v>24.606000000000002</c:v>
                </c:pt>
                <c:pt idx="59">
                  <c:v>23.293679999999998</c:v>
                </c:pt>
                <c:pt idx="60">
                  <c:v>23.293679999999998</c:v>
                </c:pt>
                <c:pt idx="61">
                  <c:v>24.606000000000002</c:v>
                </c:pt>
                <c:pt idx="62">
                  <c:v>30.18336</c:v>
                </c:pt>
                <c:pt idx="63">
                  <c:v>24.934080000000002</c:v>
                </c:pt>
                <c:pt idx="64">
                  <c:v>25.590240000000001</c:v>
                </c:pt>
                <c:pt idx="65">
                  <c:v>23.621760000000002</c:v>
                </c:pt>
                <c:pt idx="66">
                  <c:v>24.934080000000002</c:v>
                </c:pt>
                <c:pt idx="67">
                  <c:v>26.902559999999998</c:v>
                </c:pt>
                <c:pt idx="68">
                  <c:v>26.902559999999998</c:v>
                </c:pt>
                <c:pt idx="69">
                  <c:v>26.902559999999998</c:v>
                </c:pt>
                <c:pt idx="70">
                  <c:v>26.246400000000001</c:v>
                </c:pt>
                <c:pt idx="71">
                  <c:v>24.934080000000002</c:v>
                </c:pt>
                <c:pt idx="72">
                  <c:v>24.934080000000002</c:v>
                </c:pt>
                <c:pt idx="73">
                  <c:v>26.902559999999998</c:v>
                </c:pt>
                <c:pt idx="74">
                  <c:v>25.590240000000001</c:v>
                </c:pt>
                <c:pt idx="75">
                  <c:v>24.934080000000002</c:v>
                </c:pt>
                <c:pt idx="76">
                  <c:v>24.934080000000002</c:v>
                </c:pt>
                <c:pt idx="77">
                  <c:v>25.590240000000001</c:v>
                </c:pt>
                <c:pt idx="78">
                  <c:v>28.871040000000004</c:v>
                </c:pt>
                <c:pt idx="79">
                  <c:v>23.621760000000002</c:v>
                </c:pt>
                <c:pt idx="80">
                  <c:v>23.621760000000002</c:v>
                </c:pt>
                <c:pt idx="81">
                  <c:v>23.621760000000002</c:v>
                </c:pt>
                <c:pt idx="82">
                  <c:v>24.934080000000002</c:v>
                </c:pt>
                <c:pt idx="83">
                  <c:v>24.934080000000002</c:v>
                </c:pt>
                <c:pt idx="84">
                  <c:v>27.230640000000005</c:v>
                </c:pt>
                <c:pt idx="85">
                  <c:v>31.1676</c:v>
                </c:pt>
              </c:numCache>
            </c:numRef>
          </c:yVal>
          <c:smooth val="1"/>
          <c:extLst>
            <c:ext xmlns:c16="http://schemas.microsoft.com/office/drawing/2014/chart" uri="{C3380CC4-5D6E-409C-BE32-E72D297353CC}">
              <c16:uniqueId val="{00000002-1B90-4006-8DF1-FF06362ACE58}"/>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3189401051342362"/>
                  <c:y val="-0.12085318782592275"/>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Stats'!$N$99:$N$112</c:f>
              <c:numCache>
                <c:formatCode>0.0</c:formatCode>
                <c:ptCount val="14"/>
                <c:pt idx="0">
                  <c:v>20.669039999999999</c:v>
                </c:pt>
                <c:pt idx="1">
                  <c:v>22.965600000000002</c:v>
                </c:pt>
                <c:pt idx="2">
                  <c:v>24.934080000000002</c:v>
                </c:pt>
                <c:pt idx="3">
                  <c:v>23.293679999999998</c:v>
                </c:pt>
                <c:pt idx="4">
                  <c:v>24.934080000000002</c:v>
                </c:pt>
                <c:pt idx="5">
                  <c:v>26.246400000000001</c:v>
                </c:pt>
                <c:pt idx="6">
                  <c:v>27.230640000000005</c:v>
                </c:pt>
                <c:pt idx="7">
                  <c:v>29.199120000000004</c:v>
                </c:pt>
                <c:pt idx="8">
                  <c:v>24.934080000000002</c:v>
                </c:pt>
                <c:pt idx="9">
                  <c:v>23.621760000000002</c:v>
                </c:pt>
                <c:pt idx="10">
                  <c:v>25.590240000000001</c:v>
                </c:pt>
                <c:pt idx="11">
                  <c:v>25.590240000000001</c:v>
                </c:pt>
                <c:pt idx="12">
                  <c:v>27.558720000000001</c:v>
                </c:pt>
                <c:pt idx="13">
                  <c:v>27.558720000000001</c:v>
                </c:pt>
              </c:numCache>
            </c:numRef>
          </c:yVal>
          <c:smooth val="1"/>
          <c:extLst>
            <c:ext xmlns:c16="http://schemas.microsoft.com/office/drawing/2014/chart" uri="{C3380CC4-5D6E-409C-BE32-E72D297353CC}">
              <c16:uniqueId val="{00000003-1B90-4006-8DF1-FF06362ACE58}"/>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0995542302126913"/>
                  <c:y val="2.9270535087833061E-3"/>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Stats'!$N$113:$N$276</c:f>
              <c:numCache>
                <c:formatCode>0.0</c:formatCode>
                <c:ptCount val="164"/>
                <c:pt idx="0">
                  <c:v>26.607288</c:v>
                </c:pt>
                <c:pt idx="1">
                  <c:v>23.621760000000002</c:v>
                </c:pt>
                <c:pt idx="2">
                  <c:v>23.326488000000001</c:v>
                </c:pt>
                <c:pt idx="3">
                  <c:v>16.404</c:v>
                </c:pt>
                <c:pt idx="4">
                  <c:v>16.404</c:v>
                </c:pt>
                <c:pt idx="5">
                  <c:v>19.028639999999999</c:v>
                </c:pt>
                <c:pt idx="6">
                  <c:v>16.075920000000004</c:v>
                </c:pt>
                <c:pt idx="7">
                  <c:v>18.700560000000003</c:v>
                </c:pt>
                <c:pt idx="8">
                  <c:v>13.123200000000001</c:v>
                </c:pt>
                <c:pt idx="9">
                  <c:v>21.325200000000002</c:v>
                </c:pt>
                <c:pt idx="10">
                  <c:v>18.372479999999999</c:v>
                </c:pt>
                <c:pt idx="11">
                  <c:v>18.0444</c:v>
                </c:pt>
                <c:pt idx="12">
                  <c:v>18.372479999999999</c:v>
                </c:pt>
                <c:pt idx="13">
                  <c:v>17.06016</c:v>
                </c:pt>
                <c:pt idx="14">
                  <c:v>17.38824</c:v>
                </c:pt>
                <c:pt idx="15">
                  <c:v>17.06016</c:v>
                </c:pt>
                <c:pt idx="16">
                  <c:v>26.902559999999998</c:v>
                </c:pt>
                <c:pt idx="17">
                  <c:v>15.419760000000002</c:v>
                </c:pt>
                <c:pt idx="18">
                  <c:v>19.028639999999999</c:v>
                </c:pt>
                <c:pt idx="19">
                  <c:v>20.669039999999999</c:v>
                </c:pt>
                <c:pt idx="20">
                  <c:v>19.356720000000003</c:v>
                </c:pt>
                <c:pt idx="21">
                  <c:v>16.404</c:v>
                </c:pt>
                <c:pt idx="22">
                  <c:v>20.997120000000002</c:v>
                </c:pt>
                <c:pt idx="23">
                  <c:v>20.340960000000003</c:v>
                </c:pt>
                <c:pt idx="24">
                  <c:v>19.028639999999999</c:v>
                </c:pt>
                <c:pt idx="25">
                  <c:v>18.372479999999999</c:v>
                </c:pt>
                <c:pt idx="26">
                  <c:v>16.404</c:v>
                </c:pt>
                <c:pt idx="27">
                  <c:v>21.653279999999999</c:v>
                </c:pt>
                <c:pt idx="28">
                  <c:v>20.669039999999999</c:v>
                </c:pt>
                <c:pt idx="29">
                  <c:v>26.902559999999998</c:v>
                </c:pt>
                <c:pt idx="30">
                  <c:v>23.949840000000002</c:v>
                </c:pt>
                <c:pt idx="31">
                  <c:v>19.356720000000003</c:v>
                </c:pt>
                <c:pt idx="32">
                  <c:v>20.669039999999999</c:v>
                </c:pt>
                <c:pt idx="33">
                  <c:v>19.028639999999999</c:v>
                </c:pt>
                <c:pt idx="34">
                  <c:v>21.981360000000002</c:v>
                </c:pt>
                <c:pt idx="35">
                  <c:v>16.404</c:v>
                </c:pt>
                <c:pt idx="36">
                  <c:v>19.684800000000003</c:v>
                </c:pt>
                <c:pt idx="37">
                  <c:v>20.340960000000003</c:v>
                </c:pt>
                <c:pt idx="38">
                  <c:v>19.028639999999999</c:v>
                </c:pt>
                <c:pt idx="39">
                  <c:v>20.340960000000003</c:v>
                </c:pt>
                <c:pt idx="40">
                  <c:v>20.340960000000003</c:v>
                </c:pt>
                <c:pt idx="41">
                  <c:v>21.325200000000002</c:v>
                </c:pt>
                <c:pt idx="42">
                  <c:v>24.606000000000002</c:v>
                </c:pt>
                <c:pt idx="43">
                  <c:v>20.997120000000002</c:v>
                </c:pt>
                <c:pt idx="44">
                  <c:v>20.997120000000002</c:v>
                </c:pt>
                <c:pt idx="45">
                  <c:v>18.700560000000003</c:v>
                </c:pt>
                <c:pt idx="46">
                  <c:v>22.965600000000002</c:v>
                </c:pt>
                <c:pt idx="47">
                  <c:v>19.028639999999999</c:v>
                </c:pt>
                <c:pt idx="48">
                  <c:v>17.06016</c:v>
                </c:pt>
                <c:pt idx="49">
                  <c:v>20.997120000000002</c:v>
                </c:pt>
                <c:pt idx="50">
                  <c:v>17.06016</c:v>
                </c:pt>
                <c:pt idx="51">
                  <c:v>21.981360000000002</c:v>
                </c:pt>
                <c:pt idx="52">
                  <c:v>20.669039999999999</c:v>
                </c:pt>
                <c:pt idx="53">
                  <c:v>19.028639999999999</c:v>
                </c:pt>
                <c:pt idx="54">
                  <c:v>20.012879999999999</c:v>
                </c:pt>
                <c:pt idx="55">
                  <c:v>21.981360000000002</c:v>
                </c:pt>
                <c:pt idx="56">
                  <c:v>21.981360000000002</c:v>
                </c:pt>
                <c:pt idx="57">
                  <c:v>20.012879999999999</c:v>
                </c:pt>
                <c:pt idx="58">
                  <c:v>22.3</c:v>
                </c:pt>
                <c:pt idx="59">
                  <c:v>19.684800000000003</c:v>
                </c:pt>
                <c:pt idx="60">
                  <c:v>19.028639999999999</c:v>
                </c:pt>
                <c:pt idx="61">
                  <c:v>17.716320000000003</c:v>
                </c:pt>
                <c:pt idx="62">
                  <c:v>21.653279999999999</c:v>
                </c:pt>
                <c:pt idx="63">
                  <c:v>23.949840000000002</c:v>
                </c:pt>
                <c:pt idx="64">
                  <c:v>20.997120000000002</c:v>
                </c:pt>
                <c:pt idx="65">
                  <c:v>20.997120000000002</c:v>
                </c:pt>
                <c:pt idx="66">
                  <c:v>21.653279999999999</c:v>
                </c:pt>
                <c:pt idx="67">
                  <c:v>20.012879999999999</c:v>
                </c:pt>
                <c:pt idx="68">
                  <c:v>20.340960000000003</c:v>
                </c:pt>
                <c:pt idx="69">
                  <c:v>24.934080000000002</c:v>
                </c:pt>
                <c:pt idx="70">
                  <c:v>29.527200000000001</c:v>
                </c:pt>
                <c:pt idx="71">
                  <c:v>19.028639999999999</c:v>
                </c:pt>
                <c:pt idx="72">
                  <c:v>20.012879999999999</c:v>
                </c:pt>
                <c:pt idx="73">
                  <c:v>19.356720000000003</c:v>
                </c:pt>
                <c:pt idx="74">
                  <c:v>28.542960000000001</c:v>
                </c:pt>
                <c:pt idx="75">
                  <c:v>21.325200000000002</c:v>
                </c:pt>
                <c:pt idx="76">
                  <c:v>19.684800000000003</c:v>
                </c:pt>
                <c:pt idx="77">
                  <c:v>22.637520000000002</c:v>
                </c:pt>
                <c:pt idx="78">
                  <c:v>26.574480000000001</c:v>
                </c:pt>
                <c:pt idx="79">
                  <c:v>26.574480000000001</c:v>
                </c:pt>
                <c:pt idx="80">
                  <c:v>26.574480000000001</c:v>
                </c:pt>
                <c:pt idx="81">
                  <c:v>20.997120000000002</c:v>
                </c:pt>
                <c:pt idx="82">
                  <c:v>26.902559999999998</c:v>
                </c:pt>
                <c:pt idx="83">
                  <c:v>19.684800000000003</c:v>
                </c:pt>
                <c:pt idx="84">
                  <c:v>20.997120000000002</c:v>
                </c:pt>
                <c:pt idx="85">
                  <c:v>20.997120000000002</c:v>
                </c:pt>
                <c:pt idx="86">
                  <c:v>20.997120000000002</c:v>
                </c:pt>
                <c:pt idx="87">
                  <c:v>21.981360000000002</c:v>
                </c:pt>
                <c:pt idx="88">
                  <c:v>21.981360000000002</c:v>
                </c:pt>
                <c:pt idx="89">
                  <c:v>28.214880000000001</c:v>
                </c:pt>
                <c:pt idx="90">
                  <c:v>24.3</c:v>
                </c:pt>
                <c:pt idx="91">
                  <c:v>22.637520000000002</c:v>
                </c:pt>
                <c:pt idx="92">
                  <c:v>23.621760000000002</c:v>
                </c:pt>
                <c:pt idx="93">
                  <c:v>22.309440000000002</c:v>
                </c:pt>
                <c:pt idx="94">
                  <c:v>20.669039999999999</c:v>
                </c:pt>
                <c:pt idx="95">
                  <c:v>23.293679999999998</c:v>
                </c:pt>
                <c:pt idx="96">
                  <c:v>24.6</c:v>
                </c:pt>
                <c:pt idx="97">
                  <c:v>23</c:v>
                </c:pt>
                <c:pt idx="98">
                  <c:v>26.246400000000001</c:v>
                </c:pt>
                <c:pt idx="99">
                  <c:v>22.637520000000002</c:v>
                </c:pt>
                <c:pt idx="100">
                  <c:v>24.606000000000002</c:v>
                </c:pt>
                <c:pt idx="101">
                  <c:v>26.246400000000001</c:v>
                </c:pt>
                <c:pt idx="102">
                  <c:v>21.981360000000002</c:v>
                </c:pt>
                <c:pt idx="103">
                  <c:v>28.214880000000001</c:v>
                </c:pt>
                <c:pt idx="104">
                  <c:v>24.606000000000002</c:v>
                </c:pt>
                <c:pt idx="105">
                  <c:v>25.918320000000001</c:v>
                </c:pt>
                <c:pt idx="106">
                  <c:v>23</c:v>
                </c:pt>
                <c:pt idx="107">
                  <c:v>24.277920000000002</c:v>
                </c:pt>
                <c:pt idx="108">
                  <c:v>24.3</c:v>
                </c:pt>
                <c:pt idx="109">
                  <c:v>23.293679999999998</c:v>
                </c:pt>
                <c:pt idx="110">
                  <c:v>23.293679999999998</c:v>
                </c:pt>
                <c:pt idx="111">
                  <c:v>26.902559999999998</c:v>
                </c:pt>
                <c:pt idx="112">
                  <c:v>23.293679999999998</c:v>
                </c:pt>
                <c:pt idx="113">
                  <c:v>23.293679999999998</c:v>
                </c:pt>
                <c:pt idx="114">
                  <c:v>23</c:v>
                </c:pt>
                <c:pt idx="115">
                  <c:v>24.6</c:v>
                </c:pt>
                <c:pt idx="116">
                  <c:v>24.6</c:v>
                </c:pt>
                <c:pt idx="117">
                  <c:v>24.606000000000002</c:v>
                </c:pt>
                <c:pt idx="118">
                  <c:v>24.606000000000002</c:v>
                </c:pt>
                <c:pt idx="119">
                  <c:v>31.758144000000001</c:v>
                </c:pt>
                <c:pt idx="120">
                  <c:v>23.949840000000002</c:v>
                </c:pt>
                <c:pt idx="121">
                  <c:v>24.277920000000002</c:v>
                </c:pt>
                <c:pt idx="122">
                  <c:v>25.262160000000002</c:v>
                </c:pt>
                <c:pt idx="123">
                  <c:v>24.6</c:v>
                </c:pt>
                <c:pt idx="124">
                  <c:v>21.653279999999999</c:v>
                </c:pt>
                <c:pt idx="125">
                  <c:v>22.965600000000002</c:v>
                </c:pt>
                <c:pt idx="126">
                  <c:v>25.918320000000001</c:v>
                </c:pt>
                <c:pt idx="127">
                  <c:v>32.808</c:v>
                </c:pt>
                <c:pt idx="128">
                  <c:v>29.199120000000004</c:v>
                </c:pt>
                <c:pt idx="129">
                  <c:v>23.621760000000002</c:v>
                </c:pt>
                <c:pt idx="130">
                  <c:v>23.621760000000002</c:v>
                </c:pt>
                <c:pt idx="131">
                  <c:v>24.934080000000002</c:v>
                </c:pt>
                <c:pt idx="132">
                  <c:v>29.527200000000001</c:v>
                </c:pt>
                <c:pt idx="133">
                  <c:v>29.527200000000001</c:v>
                </c:pt>
                <c:pt idx="134">
                  <c:v>24.6</c:v>
                </c:pt>
                <c:pt idx="135">
                  <c:v>34.448399999999999</c:v>
                </c:pt>
                <c:pt idx="136">
                  <c:v>23.621760000000002</c:v>
                </c:pt>
                <c:pt idx="137">
                  <c:v>32.808</c:v>
                </c:pt>
                <c:pt idx="138">
                  <c:v>26.902559999999998</c:v>
                </c:pt>
                <c:pt idx="139">
                  <c:v>24.606000000000002</c:v>
                </c:pt>
                <c:pt idx="140">
                  <c:v>26.246400000000001</c:v>
                </c:pt>
                <c:pt idx="141">
                  <c:v>32.200000000000003</c:v>
                </c:pt>
                <c:pt idx="142">
                  <c:v>24.934080000000002</c:v>
                </c:pt>
                <c:pt idx="143">
                  <c:v>24.934080000000002</c:v>
                </c:pt>
                <c:pt idx="144">
                  <c:v>26.574480000000001</c:v>
                </c:pt>
                <c:pt idx="145">
                  <c:v>24.934080000000002</c:v>
                </c:pt>
                <c:pt idx="146">
                  <c:v>26.246400000000001</c:v>
                </c:pt>
                <c:pt idx="147">
                  <c:v>24.934080000000002</c:v>
                </c:pt>
                <c:pt idx="148">
                  <c:v>24.934080000000002</c:v>
                </c:pt>
                <c:pt idx="149">
                  <c:v>29.527200000000001</c:v>
                </c:pt>
                <c:pt idx="150">
                  <c:v>22.3</c:v>
                </c:pt>
                <c:pt idx="151">
                  <c:v>26.246400000000001</c:v>
                </c:pt>
                <c:pt idx="152">
                  <c:v>29.527200000000001</c:v>
                </c:pt>
                <c:pt idx="153">
                  <c:v>26.902559999999998</c:v>
                </c:pt>
                <c:pt idx="154">
                  <c:v>24.934080000000002</c:v>
                </c:pt>
                <c:pt idx="155">
                  <c:v>23.621760000000002</c:v>
                </c:pt>
                <c:pt idx="156">
                  <c:v>26.574480000000001</c:v>
                </c:pt>
                <c:pt idx="157">
                  <c:v>28.214880000000001</c:v>
                </c:pt>
                <c:pt idx="158">
                  <c:v>27.230640000000005</c:v>
                </c:pt>
                <c:pt idx="159">
                  <c:v>27.886800000000001</c:v>
                </c:pt>
                <c:pt idx="160">
                  <c:v>28.214880000000001</c:v>
                </c:pt>
                <c:pt idx="161">
                  <c:v>32.808</c:v>
                </c:pt>
                <c:pt idx="162">
                  <c:v>34.448399999999999</c:v>
                </c:pt>
                <c:pt idx="163">
                  <c:v>37.401120000000006</c:v>
                </c:pt>
              </c:numCache>
            </c:numRef>
          </c:yVal>
          <c:smooth val="1"/>
          <c:extLst>
            <c:ext xmlns:c16="http://schemas.microsoft.com/office/drawing/2014/chart" uri="{C3380CC4-5D6E-409C-BE32-E72D297353CC}">
              <c16:uniqueId val="{00000004-1B90-4006-8DF1-FF06362ACE58}"/>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Stats'!$N$283</c:f>
              <c:numCache>
                <c:formatCode>0.0</c:formatCode>
                <c:ptCount val="1"/>
                <c:pt idx="0">
                  <c:v>28.900000000000002</c:v>
                </c:pt>
              </c:numCache>
            </c:numRef>
          </c:yVal>
          <c:smooth val="1"/>
          <c:extLst>
            <c:ext xmlns:c16="http://schemas.microsoft.com/office/drawing/2014/chart" uri="{C3380CC4-5D6E-409C-BE32-E72D297353CC}">
              <c16:uniqueId val="{00000005-1B90-4006-8DF1-FF06362ACE58}"/>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Stats'!$N$284:$N$294</c:f>
              <c:numCache>
                <c:formatCode>0.0</c:formatCode>
                <c:ptCount val="11"/>
                <c:pt idx="0">
                  <c:v>26.607288</c:v>
                </c:pt>
                <c:pt idx="1">
                  <c:v>23.621760000000002</c:v>
                </c:pt>
                <c:pt idx="2">
                  <c:v>23.326488000000001</c:v>
                </c:pt>
                <c:pt idx="3">
                  <c:v>31.758144000000001</c:v>
                </c:pt>
                <c:pt idx="4">
                  <c:v>26.902559999999998</c:v>
                </c:pt>
                <c:pt idx="5">
                  <c:v>26.902559999999998</c:v>
                </c:pt>
                <c:pt idx="6">
                  <c:v>23.293679999999998</c:v>
                </c:pt>
                <c:pt idx="7">
                  <c:v>24.277920000000002</c:v>
                </c:pt>
                <c:pt idx="8">
                  <c:v>25.918320000000001</c:v>
                </c:pt>
                <c:pt idx="9">
                  <c:v>20.997120000000002</c:v>
                </c:pt>
                <c:pt idx="10">
                  <c:v>20.997120000000002</c:v>
                </c:pt>
              </c:numCache>
            </c:numRef>
          </c:yVal>
          <c:smooth val="1"/>
          <c:extLst>
            <c:ext xmlns:c16="http://schemas.microsoft.com/office/drawing/2014/chart" uri="{C3380CC4-5D6E-409C-BE32-E72D297353CC}">
              <c16:uniqueId val="{00000006-1B90-4006-8DF1-FF06362ACE58}"/>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Stats'!$N$295:$N$298</c:f>
              <c:numCache>
                <c:formatCode>0.0</c:formatCode>
                <c:ptCount val="4"/>
                <c:pt idx="0">
                  <c:v>24.934080000000002</c:v>
                </c:pt>
                <c:pt idx="1">
                  <c:v>26.246400000000001</c:v>
                </c:pt>
                <c:pt idx="2">
                  <c:v>27.230640000000005</c:v>
                </c:pt>
                <c:pt idx="3">
                  <c:v>29.199120000000004</c:v>
                </c:pt>
              </c:numCache>
            </c:numRef>
          </c:yVal>
          <c:smooth val="1"/>
          <c:extLst>
            <c:ext xmlns:c16="http://schemas.microsoft.com/office/drawing/2014/chart" uri="{C3380CC4-5D6E-409C-BE32-E72D297353CC}">
              <c16:uniqueId val="{00000007-1B90-4006-8DF1-FF06362ACE58}"/>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Stats'!$N$299:$N$300</c:f>
              <c:numCache>
                <c:formatCode>0.0</c:formatCode>
                <c:ptCount val="2"/>
                <c:pt idx="0">
                  <c:v>22.965600000000002</c:v>
                </c:pt>
              </c:numCache>
            </c:numRef>
          </c:yVal>
          <c:smooth val="1"/>
          <c:extLst>
            <c:ext xmlns:c16="http://schemas.microsoft.com/office/drawing/2014/chart" uri="{C3380CC4-5D6E-409C-BE32-E72D297353CC}">
              <c16:uniqueId val="{00000008-1B90-4006-8DF1-FF06362ACE58}"/>
            </c:ext>
          </c:extLst>
        </c:ser>
        <c:dLbls>
          <c:showLegendKey val="0"/>
          <c:showVal val="0"/>
          <c:showCatName val="0"/>
          <c:showSerName val="0"/>
          <c:showPercent val="0"/>
          <c:showBubbleSize val="0"/>
        </c:dLbls>
        <c:axId val="727664696"/>
        <c:axId val="1"/>
      </c:scatterChart>
      <c:valAx>
        <c:axId val="727664696"/>
        <c:scaling>
          <c:orientation val="minMax"/>
          <c:max val="600"/>
          <c:min val="0"/>
        </c:scaling>
        <c:delete val="0"/>
        <c:axPos val="b"/>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Displ (LT)</a:t>
                </a:r>
              </a:p>
            </c:rich>
          </c:tx>
          <c:layout>
            <c:manualLayout>
              <c:xMode val="edge"/>
              <c:yMode val="edge"/>
              <c:x val="0.38068812430632631"/>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1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Beam (ft)</a:t>
                </a:r>
              </a:p>
            </c:rich>
          </c:tx>
          <c:layout>
            <c:manualLayout>
              <c:xMode val="edge"/>
              <c:yMode val="edge"/>
              <c:x val="1.3318534961154272E-2"/>
              <c:y val="0.43719412724306689"/>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64696"/>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5915649278579356"/>
          <c:y val="0.51549755301794453"/>
          <c:w val="0.24084350721420644"/>
          <c:h val="0.3849918433931484"/>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Length vs Displacement</a:t>
            </a:r>
          </a:p>
        </c:rich>
      </c:tx>
      <c:layout>
        <c:manualLayout>
          <c:xMode val="edge"/>
          <c:yMode val="edge"/>
          <c:x val="0.39400664905711091"/>
          <c:y val="1.9575780483930164E-2"/>
        </c:manualLayout>
      </c:layout>
      <c:overlay val="0"/>
      <c:spPr>
        <a:noFill/>
        <a:ln w="25400">
          <a:noFill/>
        </a:ln>
      </c:spPr>
    </c:title>
    <c:autoTitleDeleted val="0"/>
    <c:plotArea>
      <c:layout>
        <c:manualLayout>
          <c:layoutTarget val="inner"/>
          <c:xMode val="edge"/>
          <c:yMode val="edge"/>
          <c:x val="7.6581576026637066E-2"/>
          <c:y val="7.5040783034257749E-2"/>
          <c:w val="0.68146503884572696"/>
          <c:h val="0.8189233278955954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7350166746962759"/>
                  <c:y val="0.25409170111286727"/>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Stats'!$J$5:$J$276</c:f>
              <c:numCache>
                <c:formatCode>0.0</c:formatCode>
                <c:ptCount val="272"/>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yVal>
          <c:smooth val="1"/>
          <c:extLst>
            <c:ext xmlns:c16="http://schemas.microsoft.com/office/drawing/2014/chart" uri="{C3380CC4-5D6E-409C-BE32-E72D297353CC}">
              <c16:uniqueId val="{00000000-3A64-43D1-885C-2F4E18029859}"/>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8994718992972981"/>
                  <c:y val="-2.5298413393923525E-2"/>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yVal>
          <c:smooth val="1"/>
          <c:extLst>
            <c:ext xmlns:c16="http://schemas.microsoft.com/office/drawing/2014/chart" uri="{C3380CC4-5D6E-409C-BE32-E72D297353CC}">
              <c16:uniqueId val="{00000001-3A64-43D1-885C-2F4E18029859}"/>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9408420193306997"/>
                  <c:y val="0.10508520092315987"/>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yVal>
          <c:smooth val="1"/>
          <c:extLst>
            <c:ext xmlns:c16="http://schemas.microsoft.com/office/drawing/2014/chart" uri="{C3380CC4-5D6E-409C-BE32-E72D297353CC}">
              <c16:uniqueId val="{00000002-3A64-43D1-885C-2F4E18029859}"/>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901937641541469"/>
                  <c:y val="0.1930429961070787"/>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yVal>
          <c:smooth val="1"/>
          <c:extLst>
            <c:ext xmlns:c16="http://schemas.microsoft.com/office/drawing/2014/chart" uri="{C3380CC4-5D6E-409C-BE32-E72D297353CC}">
              <c16:uniqueId val="{00000003-3A64-43D1-885C-2F4E18029859}"/>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408420193306997"/>
                  <c:y val="0.14375923313579414"/>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yVal>
          <c:smooth val="1"/>
          <c:extLst>
            <c:ext xmlns:c16="http://schemas.microsoft.com/office/drawing/2014/chart" uri="{C3380CC4-5D6E-409C-BE32-E72D297353CC}">
              <c16:uniqueId val="{00000004-3A64-43D1-885C-2F4E18029859}"/>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Stats'!$J$283</c:f>
              <c:numCache>
                <c:formatCode>0.0</c:formatCode>
                <c:ptCount val="1"/>
                <c:pt idx="0">
                  <c:v>134.1</c:v>
                </c:pt>
              </c:numCache>
            </c:numRef>
          </c:yVal>
          <c:smooth val="1"/>
          <c:extLst>
            <c:ext xmlns:c16="http://schemas.microsoft.com/office/drawing/2014/chart" uri="{C3380CC4-5D6E-409C-BE32-E72D297353CC}">
              <c16:uniqueId val="{00000005-3A64-43D1-885C-2F4E18029859}"/>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yVal>
          <c:smooth val="1"/>
          <c:extLst>
            <c:ext xmlns:c16="http://schemas.microsoft.com/office/drawing/2014/chart" uri="{C3380CC4-5D6E-409C-BE32-E72D297353CC}">
              <c16:uniqueId val="{00000006-3A64-43D1-885C-2F4E18029859}"/>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Stats'!$J$295:$J$298</c:f>
              <c:numCache>
                <c:formatCode>0.0</c:formatCode>
                <c:ptCount val="4"/>
                <c:pt idx="0">
                  <c:v>170.60160000000002</c:v>
                </c:pt>
                <c:pt idx="1">
                  <c:v>157.47840000000002</c:v>
                </c:pt>
                <c:pt idx="2">
                  <c:v>166.66463999999999</c:v>
                </c:pt>
                <c:pt idx="3">
                  <c:v>147.636</c:v>
                </c:pt>
              </c:numCache>
            </c:numRef>
          </c:yVal>
          <c:smooth val="1"/>
          <c:extLst>
            <c:ext xmlns:c16="http://schemas.microsoft.com/office/drawing/2014/chart" uri="{C3380CC4-5D6E-409C-BE32-E72D297353CC}">
              <c16:uniqueId val="{00000007-3A64-43D1-885C-2F4E18029859}"/>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c:f>
              <c:numCache>
                <c:formatCode>0</c:formatCode>
                <c:ptCount val="1"/>
                <c:pt idx="0">
                  <c:v>260</c:v>
                </c:pt>
              </c:numCache>
            </c:numRef>
          </c:xVal>
          <c:yVal>
            <c:numRef>
              <c:f>'Task 1 Converted AMI PDF Stats'!$J$299</c:f>
              <c:numCache>
                <c:formatCode>0.0</c:formatCode>
                <c:ptCount val="1"/>
                <c:pt idx="0">
                  <c:v>147.30792</c:v>
                </c:pt>
              </c:numCache>
            </c:numRef>
          </c:yVal>
          <c:smooth val="1"/>
          <c:extLst>
            <c:ext xmlns:c16="http://schemas.microsoft.com/office/drawing/2014/chart" uri="{C3380CC4-5D6E-409C-BE32-E72D297353CC}">
              <c16:uniqueId val="{00000008-3A64-43D1-885C-2F4E18029859}"/>
            </c:ext>
          </c:extLst>
        </c:ser>
        <c:dLbls>
          <c:showLegendKey val="0"/>
          <c:showVal val="0"/>
          <c:showCatName val="0"/>
          <c:showSerName val="0"/>
          <c:showPercent val="0"/>
          <c:showBubbleSize val="0"/>
        </c:dLbls>
        <c:axId val="727674864"/>
        <c:axId val="1"/>
      </c:scatterChart>
      <c:valAx>
        <c:axId val="727674864"/>
        <c:scaling>
          <c:orientation val="minMax"/>
          <c:max val="600"/>
          <c:min val="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Displ (LT)</a:t>
                </a:r>
              </a:p>
            </c:rich>
          </c:tx>
          <c:layout>
            <c:manualLayout>
              <c:xMode val="edge"/>
              <c:yMode val="edge"/>
              <c:x val="0.38290792433503901"/>
              <c:y val="0.9445350033142150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50"/>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Length (ft)</a:t>
                </a:r>
              </a:p>
            </c:rich>
          </c:tx>
          <c:layout>
            <c:manualLayout>
              <c:xMode val="edge"/>
              <c:yMode val="edge"/>
              <c:x val="1.4428377073667264E-2"/>
              <c:y val="0.42903745336817373"/>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486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470584810296682"/>
          <c:y val="0.4861337080313563"/>
          <c:w val="0.2341842677798347"/>
          <c:h val="0.4061989857406585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Displacement vs Length</a:t>
            </a:r>
          </a:p>
        </c:rich>
      </c:tx>
      <c:layout>
        <c:manualLayout>
          <c:xMode val="edge"/>
          <c:yMode val="edge"/>
          <c:x val="0.39400665926748057"/>
          <c:y val="1.9575856443719411E-2"/>
        </c:manualLayout>
      </c:layout>
      <c:overlay val="0"/>
      <c:spPr>
        <a:noFill/>
        <a:ln w="25400">
          <a:noFill/>
        </a:ln>
      </c:spPr>
    </c:title>
    <c:autoTitleDeleted val="0"/>
    <c:plotArea>
      <c:layout>
        <c:manualLayout>
          <c:layoutTarget val="inner"/>
          <c:xMode val="edge"/>
          <c:yMode val="edge"/>
          <c:x val="7.5471698113207544E-2"/>
          <c:y val="7.01468189233279E-2"/>
          <c:w val="0.68368479467258603"/>
          <c:h val="0.82218597063621535"/>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109188970671565"/>
                  <c:y val="0.3027410678305578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Stats'!$J$5:$J$276</c:f>
              <c:numCache>
                <c:formatCode>0.0</c:formatCode>
                <c:ptCount val="272"/>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xVal>
          <c:y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yVal>
          <c:smooth val="1"/>
          <c:extLst>
            <c:ext xmlns:c16="http://schemas.microsoft.com/office/drawing/2014/chart" uri="{C3380CC4-5D6E-409C-BE32-E72D297353CC}">
              <c16:uniqueId val="{00000000-D673-44A1-82FF-392655C55131}"/>
            </c:ext>
          </c:extLst>
        </c:ser>
        <c:ser>
          <c:idx val="4"/>
          <c:order val="1"/>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092395375355367"/>
                  <c:y val="0.22280632068537021"/>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xVal>
          <c:y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yVal>
          <c:smooth val="1"/>
          <c:extLst>
            <c:ext xmlns:c16="http://schemas.microsoft.com/office/drawing/2014/chart" uri="{C3380CC4-5D6E-409C-BE32-E72D297353CC}">
              <c16:uniqueId val="{00000001-D673-44A1-82FF-392655C55131}"/>
            </c:ext>
          </c:extLst>
        </c:ser>
        <c:ser>
          <c:idx val="3"/>
          <c:order val="2"/>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18184387600863128"/>
                  <c:y val="7.6896199482688027E-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xVal>
          <c:y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yVal>
          <c:smooth val="1"/>
          <c:extLst>
            <c:ext xmlns:c16="http://schemas.microsoft.com/office/drawing/2014/chart" uri="{C3380CC4-5D6E-409C-BE32-E72D297353CC}">
              <c16:uniqueId val="{00000002-D673-44A1-82FF-392655C55131}"/>
            </c:ext>
          </c:extLst>
        </c:ser>
        <c:ser>
          <c:idx val="2"/>
          <c:order val="3"/>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264313218980728"/>
                  <c:y val="-8.2424883060580045E-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xVal>
          <c:y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yVal>
          <c:smooth val="1"/>
          <c:extLst>
            <c:ext xmlns:c16="http://schemas.microsoft.com/office/drawing/2014/chart" uri="{C3380CC4-5D6E-409C-BE32-E72D297353CC}">
              <c16:uniqueId val="{00000003-D673-44A1-82FF-392655C55131}"/>
            </c:ext>
          </c:extLst>
        </c:ser>
        <c:ser>
          <c:idx val="1"/>
          <c:order val="4"/>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331487593849797"/>
                  <c:y val="3.846700584034575E-2"/>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xVal>
          <c:y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yVal>
          <c:smooth val="1"/>
          <c:extLst>
            <c:ext xmlns:c16="http://schemas.microsoft.com/office/drawing/2014/chart" uri="{C3380CC4-5D6E-409C-BE32-E72D297353CC}">
              <c16:uniqueId val="{00000004-D673-44A1-82FF-392655C55131}"/>
            </c:ext>
          </c:extLst>
        </c:ser>
        <c:ser>
          <c:idx val="5"/>
          <c:order val="5"/>
          <c:tx>
            <c:v>FRC</c:v>
          </c:tx>
          <c:spPr>
            <a:ln w="19050">
              <a:noFill/>
            </a:ln>
          </c:spPr>
          <c:marker>
            <c:symbol val="plus"/>
            <c:size val="5"/>
            <c:spPr>
              <a:solidFill>
                <a:srgbClr val="993300"/>
              </a:solidFill>
              <a:ln>
                <a:solidFill>
                  <a:srgbClr val="FFCC99"/>
                </a:solidFill>
                <a:prstDash val="solid"/>
              </a:ln>
            </c:spPr>
          </c:marker>
          <c:xVal>
            <c:numRef>
              <c:f>'Task 1 Converted AMI PDF Stats'!$J$283</c:f>
              <c:numCache>
                <c:formatCode>0.0</c:formatCode>
                <c:ptCount val="1"/>
                <c:pt idx="0">
                  <c:v>134.1</c:v>
                </c:pt>
              </c:numCache>
            </c:numRef>
          </c:xVal>
          <c:yVal>
            <c:numRef>
              <c:f>'Task 1 Converted AMI PDF Stats'!$I$283</c:f>
              <c:numCache>
                <c:formatCode>0</c:formatCode>
                <c:ptCount val="1"/>
                <c:pt idx="0">
                  <c:v>325</c:v>
                </c:pt>
              </c:numCache>
            </c:numRef>
          </c:yVal>
          <c:smooth val="1"/>
          <c:extLst>
            <c:ext xmlns:c16="http://schemas.microsoft.com/office/drawing/2014/chart" uri="{C3380CC4-5D6E-409C-BE32-E72D297353CC}">
              <c16:uniqueId val="{00000005-D673-44A1-82FF-392655C55131}"/>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xVal>
          <c:yVal>
            <c:numRef>
              <c:f>'Task 1 Converted AMI PDF Stats'!$I$284:$I$294</c:f>
              <c:numCache>
                <c:formatCode>0</c:formatCode>
                <c:ptCount val="11"/>
                <c:pt idx="3">
                  <c:v>265.73303571428573</c:v>
                </c:pt>
                <c:pt idx="6">
                  <c:v>245</c:v>
                </c:pt>
                <c:pt idx="7">
                  <c:v>279</c:v>
                </c:pt>
                <c:pt idx="8">
                  <c:v>334</c:v>
                </c:pt>
                <c:pt idx="9">
                  <c:v>168</c:v>
                </c:pt>
                <c:pt idx="10">
                  <c:v>180</c:v>
                </c:pt>
              </c:numCache>
            </c:numRef>
          </c:yVal>
          <c:smooth val="1"/>
          <c:extLst>
            <c:ext xmlns:c16="http://schemas.microsoft.com/office/drawing/2014/chart" uri="{C3380CC4-5D6E-409C-BE32-E72D297353CC}">
              <c16:uniqueId val="{00000006-D673-44A1-82FF-392655C55131}"/>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Stats'!$J$295:$J$298</c:f>
              <c:numCache>
                <c:formatCode>0.0</c:formatCode>
                <c:ptCount val="4"/>
                <c:pt idx="0">
                  <c:v>170.60160000000002</c:v>
                </c:pt>
                <c:pt idx="1">
                  <c:v>157.47840000000002</c:v>
                </c:pt>
                <c:pt idx="2">
                  <c:v>166.66463999999999</c:v>
                </c:pt>
                <c:pt idx="3">
                  <c:v>147.636</c:v>
                </c:pt>
              </c:numCache>
            </c:numRef>
          </c:xVal>
          <c:yVal>
            <c:numRef>
              <c:f>'Task 1 Converted AMI PDF Stats'!$I$295:$I$298</c:f>
              <c:numCache>
                <c:formatCode>0</c:formatCode>
                <c:ptCount val="4"/>
                <c:pt idx="0">
                  <c:v>307</c:v>
                </c:pt>
                <c:pt idx="1">
                  <c:v>248</c:v>
                </c:pt>
                <c:pt idx="2">
                  <c:v>270</c:v>
                </c:pt>
                <c:pt idx="3">
                  <c:v>300</c:v>
                </c:pt>
              </c:numCache>
            </c:numRef>
          </c:yVal>
          <c:smooth val="1"/>
          <c:extLst>
            <c:ext xmlns:c16="http://schemas.microsoft.com/office/drawing/2014/chart" uri="{C3380CC4-5D6E-409C-BE32-E72D297353CC}">
              <c16:uniqueId val="{00000007-D673-44A1-82FF-392655C55131}"/>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Stats'!$J$299:$J$300</c:f>
              <c:numCache>
                <c:formatCode>0.0</c:formatCode>
                <c:ptCount val="2"/>
                <c:pt idx="0">
                  <c:v>147.30792</c:v>
                </c:pt>
              </c:numCache>
            </c:numRef>
          </c:xVal>
          <c:yVal>
            <c:numRef>
              <c:f>'Task 1 Converted AMI PDF Stats'!$I$299:$I$300</c:f>
              <c:numCache>
                <c:formatCode>0</c:formatCode>
                <c:ptCount val="2"/>
                <c:pt idx="0">
                  <c:v>260</c:v>
                </c:pt>
              </c:numCache>
            </c:numRef>
          </c:yVal>
          <c:smooth val="1"/>
          <c:extLst>
            <c:ext xmlns:c16="http://schemas.microsoft.com/office/drawing/2014/chart" uri="{C3380CC4-5D6E-409C-BE32-E72D297353CC}">
              <c16:uniqueId val="{00000008-D673-44A1-82FF-392655C55131}"/>
            </c:ext>
          </c:extLst>
        </c:ser>
        <c:dLbls>
          <c:showLegendKey val="0"/>
          <c:showVal val="0"/>
          <c:showCatName val="0"/>
          <c:showSerName val="0"/>
          <c:showPercent val="0"/>
          <c:showBubbleSize val="0"/>
        </c:dLbls>
        <c:axId val="570090584"/>
        <c:axId val="1"/>
      </c:scatterChart>
      <c:valAx>
        <c:axId val="570090584"/>
        <c:scaling>
          <c:orientation val="minMax"/>
          <c:max val="220"/>
          <c:min val="6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 (ft)</a:t>
                </a:r>
              </a:p>
            </c:rich>
          </c:tx>
          <c:layout>
            <c:manualLayout>
              <c:xMode val="edge"/>
              <c:yMode val="edge"/>
              <c:x val="0.3995560488346282"/>
              <c:y val="0.94290375203915167"/>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majorUnit val="20"/>
      </c:valAx>
      <c:valAx>
        <c:axId val="1"/>
        <c:scaling>
          <c:orientation val="minMax"/>
          <c:max val="600"/>
          <c:min val="0"/>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Dsipl (LT)</a:t>
                </a:r>
              </a:p>
            </c:rich>
          </c:tx>
          <c:layout>
            <c:manualLayout>
              <c:xMode val="edge"/>
              <c:yMode val="edge"/>
              <c:x val="1.3318534961154272E-2"/>
              <c:y val="0.43066884176182707"/>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9058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914539400665927"/>
          <c:y val="0.48450244698205547"/>
          <c:w val="0.22530521642619306"/>
          <c:h val="0.4257748776508972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DLR vs</a:t>
            </a:r>
            <a:r>
              <a:rPr lang="en-US" baseline="0"/>
              <a:t> SLR</a:t>
            </a:r>
            <a:endParaRPr lang="en-US"/>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circle"/>
            <c:size val="5"/>
            <c:spPr>
              <a:solidFill>
                <a:schemeClr val="accent1"/>
              </a:solidFill>
              <a:ln w="9525">
                <a:solidFill>
                  <a:schemeClr val="accent1"/>
                </a:solidFill>
              </a:ln>
              <a:effectLst/>
            </c:spPr>
          </c:marker>
          <c:xVal>
            <c:numRef>
              <c:f>'Comp Data'!$BF$2:$BF$15</c:f>
              <c:numCache>
                <c:formatCode>General</c:formatCode>
                <c:ptCount val="14"/>
                <c:pt idx="3">
                  <c:v>3.2015621187164234</c:v>
                </c:pt>
                <c:pt idx="13">
                  <c:v>2.1752841650548032</c:v>
                </c:pt>
              </c:numCache>
            </c:numRef>
          </c:xVal>
          <c:yVal>
            <c:numRef>
              <c:f>'Comp Data'!$AB$2:$AB$15</c:f>
              <c:numCache>
                <c:formatCode>0.0</c:formatCode>
                <c:ptCount val="14"/>
                <c:pt idx="0">
                  <c:v>84.293527505338233</c:v>
                </c:pt>
                <c:pt idx="1">
                  <c:v>84.61623482581912</c:v>
                </c:pt>
                <c:pt idx="2">
                  <c:v>103.3662196568081</c:v>
                </c:pt>
                <c:pt idx="3">
                  <c:v>101.79226940990388</c:v>
                </c:pt>
                <c:pt idx="4">
                  <c:v>61.2358566005027</c:v>
                </c:pt>
                <c:pt idx="5">
                  <c:v>88.409612980140196</c:v>
                </c:pt>
                <c:pt idx="6">
                  <c:v>64.181580936872976</c:v>
                </c:pt>
                <c:pt idx="7">
                  <c:v>94.629849494243985</c:v>
                </c:pt>
                <c:pt idx="8">
                  <c:v>75.269970845481197</c:v>
                </c:pt>
                <c:pt idx="9">
                  <c:v>90.429508247880122</c:v>
                </c:pt>
                <c:pt idx="10">
                  <c:v>76.187383646874281</c:v>
                </c:pt>
                <c:pt idx="11">
                  <c:v>76.137690145502603</c:v>
                </c:pt>
                <c:pt idx="12">
                  <c:v>66.233155603690562</c:v>
                </c:pt>
                <c:pt idx="13">
                  <c:v>69.760518453476209</c:v>
                </c:pt>
              </c:numCache>
            </c:numRef>
          </c:yVal>
          <c:smooth val="0"/>
          <c:extLst>
            <c:ext xmlns:c16="http://schemas.microsoft.com/office/drawing/2014/chart" uri="{C3380CC4-5D6E-409C-BE32-E72D297353CC}">
              <c16:uniqueId val="{00000000-9AD2-4F44-8AF0-B820A5C69739}"/>
            </c:ext>
          </c:extLst>
        </c:ser>
        <c:ser>
          <c:idx val="1"/>
          <c:order val="1"/>
          <c:tx>
            <c:v>OPV</c:v>
          </c:tx>
          <c:spPr>
            <a:ln w="19050" cap="rnd">
              <a:noFill/>
              <a:round/>
            </a:ln>
            <a:effectLst/>
          </c:spPr>
          <c:marker>
            <c:symbol val="circle"/>
            <c:size val="5"/>
            <c:spPr>
              <a:solidFill>
                <a:schemeClr val="accent2"/>
              </a:solidFill>
              <a:ln w="9525">
                <a:solidFill>
                  <a:schemeClr val="accent2"/>
                </a:solidFill>
              </a:ln>
              <a:effectLst/>
            </c:spPr>
          </c:marker>
          <c:xVal>
            <c:numRef>
              <c:f>'Comp Data'!$BF$17:$BF$29</c:f>
              <c:numCache>
                <c:formatCode>General</c:formatCode>
                <c:ptCount val="13"/>
                <c:pt idx="0">
                  <c:v>1.2020795934218418</c:v>
                </c:pt>
                <c:pt idx="1">
                  <c:v>1.947591535953626</c:v>
                </c:pt>
                <c:pt idx="2">
                  <c:v>1.4838684512636591</c:v>
                </c:pt>
                <c:pt idx="3">
                  <c:v>1.2687570983029122</c:v>
                </c:pt>
                <c:pt idx="6">
                  <c:v>1.2812347617012532</c:v>
                </c:pt>
              </c:numCache>
            </c:numRef>
          </c:xVal>
          <c:yVal>
            <c:numRef>
              <c:f>'Comp Data'!$AB$17:$AB$29</c:f>
              <c:numCache>
                <c:formatCode>0.0</c:formatCode>
                <c:ptCount val="13"/>
                <c:pt idx="0">
                  <c:v>214.1640675887451</c:v>
                </c:pt>
                <c:pt idx="1">
                  <c:v>73.786830717417644</c:v>
                </c:pt>
                <c:pt idx="2">
                  <c:v>101.93205806805344</c:v>
                </c:pt>
                <c:pt idx="3">
                  <c:v>108.27121960355596</c:v>
                </c:pt>
                <c:pt idx="4">
                  <c:v>108.34504219007422</c:v>
                </c:pt>
                <c:pt idx="5">
                  <c:v>95.416833602357542</c:v>
                </c:pt>
                <c:pt idx="6">
                  <c:v>107.37642326834904</c:v>
                </c:pt>
                <c:pt idx="7">
                  <c:v>90.12289485662258</c:v>
                </c:pt>
                <c:pt idx="8">
                  <c:v>101.60512344519863</c:v>
                </c:pt>
                <c:pt idx="9">
                  <c:v>93.634266118195669</c:v>
                </c:pt>
                <c:pt idx="11">
                  <c:v>120.08527422990228</c:v>
                </c:pt>
                <c:pt idx="12">
                  <c:v>90.040914422245621</c:v>
                </c:pt>
              </c:numCache>
            </c:numRef>
          </c:yVal>
          <c:smooth val="0"/>
          <c:extLst>
            <c:ext xmlns:c16="http://schemas.microsoft.com/office/drawing/2014/chart" uri="{C3380CC4-5D6E-409C-BE32-E72D297353CC}">
              <c16:uniqueId val="{00000001-9AD2-4F44-8AF0-B820A5C69739}"/>
            </c:ext>
          </c:extLst>
        </c:ser>
        <c:ser>
          <c:idx val="2"/>
          <c:order val="2"/>
          <c:tx>
            <c:v>MCM</c:v>
          </c:tx>
          <c:spPr>
            <a:ln w="19050" cap="rnd">
              <a:noFill/>
              <a:round/>
            </a:ln>
            <a:effectLst/>
          </c:spPr>
          <c:marker>
            <c:symbol val="square"/>
            <c:size val="5"/>
            <c:spPr>
              <a:solidFill>
                <a:srgbClr val="FFC000"/>
              </a:solidFill>
              <a:ln w="9525">
                <a:noFill/>
              </a:ln>
              <a:effectLst/>
            </c:spPr>
          </c:marker>
          <c:xVal>
            <c:numRef>
              <c:f>'Comp Data'!$BF$31:$BF$38</c:f>
              <c:numCache>
                <c:formatCode>General</c:formatCode>
                <c:ptCount val="8"/>
                <c:pt idx="0">
                  <c:v>1.3103666965625669</c:v>
                </c:pt>
                <c:pt idx="1">
                  <c:v>1.3341111932577332</c:v>
                </c:pt>
                <c:pt idx="2">
                  <c:v>1.2951663259502277</c:v>
                </c:pt>
                <c:pt idx="3">
                  <c:v>1.0774675665587807</c:v>
                </c:pt>
                <c:pt idx="4">
                  <c:v>1.8553945455047531</c:v>
                </c:pt>
                <c:pt idx="5">
                  <c:v>0.96220272448232358</c:v>
                </c:pt>
                <c:pt idx="6">
                  <c:v>1.1919562039882652</c:v>
                </c:pt>
                <c:pt idx="7">
                  <c:v>0.97848836301992759</c:v>
                </c:pt>
              </c:numCache>
            </c:numRef>
          </c:xVal>
          <c:yVal>
            <c:numRef>
              <c:f>'Comp Data'!$AB$31:$AB$38</c:f>
              <c:numCache>
                <c:formatCode>0.0</c:formatCode>
                <c:ptCount val="8"/>
                <c:pt idx="0">
                  <c:v>115.80733897570639</c:v>
                </c:pt>
                <c:pt idx="1">
                  <c:v>159.77252023271848</c:v>
                </c:pt>
                <c:pt idx="2">
                  <c:v>144.03682986829097</c:v>
                </c:pt>
                <c:pt idx="3">
                  <c:v>107.02216697270214</c:v>
                </c:pt>
                <c:pt idx="4">
                  <c:v>126.06172278750034</c:v>
                </c:pt>
                <c:pt idx="5">
                  <c:v>170.32564676432145</c:v>
                </c:pt>
                <c:pt idx="6">
                  <c:v>105.3455000336522</c:v>
                </c:pt>
                <c:pt idx="7">
                  <c:v>134.35418263157143</c:v>
                </c:pt>
              </c:numCache>
            </c:numRef>
          </c:yVal>
          <c:smooth val="0"/>
          <c:extLst>
            <c:ext xmlns:c16="http://schemas.microsoft.com/office/drawing/2014/chart" uri="{C3380CC4-5D6E-409C-BE32-E72D297353CC}">
              <c16:uniqueId val="{00000002-9AD2-4F44-8AF0-B820A5C69739}"/>
            </c:ext>
          </c:extLst>
        </c:ser>
        <c:ser>
          <c:idx val="3"/>
          <c:order val="3"/>
          <c:tx>
            <c:v>FF</c:v>
          </c:tx>
          <c:spPr>
            <a:ln w="19050" cap="rnd">
              <a:noFill/>
              <a:round/>
            </a:ln>
            <a:effectLst/>
          </c:spPr>
          <c:marker>
            <c:symbol val="circle"/>
            <c:size val="5"/>
            <c:spPr>
              <a:solidFill>
                <a:schemeClr val="accent4"/>
              </a:solidFill>
              <a:ln w="9525">
                <a:solidFill>
                  <a:schemeClr val="accent4"/>
                </a:solidFill>
              </a:ln>
              <a:effectLst/>
            </c:spPr>
          </c:marker>
          <c:xVal>
            <c:numRef>
              <c:f>'Comp Data'!$BF$40:$BF$51</c:f>
              <c:numCache>
                <c:formatCode>General</c:formatCode>
                <c:ptCount val="12"/>
                <c:pt idx="9">
                  <c:v>1.5301786346075716</c:v>
                </c:pt>
              </c:numCache>
            </c:numRef>
          </c:xVal>
          <c:yVal>
            <c:numRef>
              <c:f>'Comp Data'!$AB$40:$AB$51</c:f>
              <c:numCache>
                <c:formatCode>0.0</c:formatCode>
                <c:ptCount val="12"/>
                <c:pt idx="0">
                  <c:v>79.057570744466787</c:v>
                </c:pt>
                <c:pt idx="1">
                  <c:v>73.25488721311909</c:v>
                </c:pt>
                <c:pt idx="2">
                  <c:v>66.18000026832668</c:v>
                </c:pt>
                <c:pt idx="3">
                  <c:v>55.716352193873327</c:v>
                </c:pt>
                <c:pt idx="4">
                  <c:v>62.661035545695214</c:v>
                </c:pt>
                <c:pt idx="5">
                  <c:v>63.61181233914315</c:v>
                </c:pt>
                <c:pt idx="9">
                  <c:v>48.25879868772293</c:v>
                </c:pt>
                <c:pt idx="10">
                  <c:v>61.530786973264995</c:v>
                </c:pt>
                <c:pt idx="11">
                  <c:v>84.481784152365975</c:v>
                </c:pt>
              </c:numCache>
            </c:numRef>
          </c:yVal>
          <c:smooth val="0"/>
          <c:extLst>
            <c:ext xmlns:c16="http://schemas.microsoft.com/office/drawing/2014/chart" uri="{C3380CC4-5D6E-409C-BE32-E72D297353CC}">
              <c16:uniqueId val="{00000003-9AD2-4F44-8AF0-B820A5C69739}"/>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r>
                  <a:rPr lang="en-US"/>
                  <a:t>Speed-Length Ratio</a:t>
                </a:r>
              </a:p>
            </c:rich>
          </c:tx>
          <c:overlay val="0"/>
          <c:spPr>
            <a:noFill/>
            <a:ln>
              <a:noFill/>
            </a:ln>
            <a:effectLst/>
          </c:spPr>
          <c:txPr>
            <a:bodyPr rot="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r>
                  <a:rPr lang="en-US"/>
                  <a:t>Displacement-Length Ratio</a:t>
                </a:r>
              </a:p>
            </c:rich>
          </c:tx>
          <c:overlay val="0"/>
          <c:spPr>
            <a:noFill/>
            <a:ln>
              <a:noFill/>
            </a:ln>
            <a:effectLst/>
          </c:spPr>
          <c:txPr>
            <a:bodyPr rot="-540000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endParaRPr lang="en-US"/>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a:noFill/>
        </a:ln>
        <a:effectLst/>
      </c:spPr>
    </c:plotArea>
    <c:legend>
      <c:legendPos val="t"/>
      <c:overlay val="0"/>
      <c:spPr>
        <a:noFill/>
        <a:ln>
          <a:noFill/>
        </a:ln>
        <a:effectLst/>
      </c:spPr>
      <c:txPr>
        <a:bodyPr rot="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Block Coefficent vs Froude Number</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circle"/>
            <c:size val="5"/>
            <c:spPr>
              <a:solidFill>
                <a:schemeClr val="accent1"/>
              </a:solidFill>
              <a:ln w="9525">
                <a:solidFill>
                  <a:schemeClr val="accent1"/>
                </a:solidFill>
              </a:ln>
              <a:effectLst/>
            </c:spPr>
          </c:marker>
          <c:xVal>
            <c:numRef>
              <c:f>'Comp Data'!$BG$2:$BG$15</c:f>
              <c:numCache>
                <c:formatCode>General</c:formatCode>
                <c:ptCount val="14"/>
                <c:pt idx="3">
                  <c:v>0.95264345161588759</c:v>
                </c:pt>
                <c:pt idx="13">
                  <c:v>0.64726847032848156</c:v>
                </c:pt>
              </c:numCache>
            </c:numRef>
          </c:xVal>
          <c:yVal>
            <c:numRef>
              <c:f>'Comp Data'!$R$2:$R$15</c:f>
              <c:numCache>
                <c:formatCode>General</c:formatCode>
                <c:ptCount val="14"/>
                <c:pt idx="3" formatCode="0.000">
                  <c:v>0.45500000000000002</c:v>
                </c:pt>
                <c:pt idx="6">
                  <c:v>0.48</c:v>
                </c:pt>
                <c:pt idx="8">
                  <c:v>0.48</c:v>
                </c:pt>
                <c:pt idx="9" formatCode="0.000">
                  <c:v>0.47</c:v>
                </c:pt>
                <c:pt idx="10">
                  <c:v>0.48</c:v>
                </c:pt>
                <c:pt idx="11">
                  <c:v>0.48</c:v>
                </c:pt>
                <c:pt idx="13" formatCode="0.000">
                  <c:v>0.45400000000000001</c:v>
                </c:pt>
              </c:numCache>
            </c:numRef>
          </c:yVal>
          <c:smooth val="0"/>
          <c:extLst>
            <c:ext xmlns:c16="http://schemas.microsoft.com/office/drawing/2014/chart" uri="{C3380CC4-5D6E-409C-BE32-E72D297353CC}">
              <c16:uniqueId val="{00000000-A8B5-4BA8-A7DC-D165F1E9168E}"/>
            </c:ext>
          </c:extLst>
        </c:ser>
        <c:ser>
          <c:idx val="1"/>
          <c:order val="1"/>
          <c:tx>
            <c:v>OPV</c:v>
          </c:tx>
          <c:spPr>
            <a:ln w="19050" cap="rnd">
              <a:noFill/>
              <a:round/>
            </a:ln>
            <a:effectLst/>
          </c:spPr>
          <c:marker>
            <c:symbol val="circle"/>
            <c:size val="5"/>
            <c:spPr>
              <a:solidFill>
                <a:schemeClr val="accent2"/>
              </a:solidFill>
              <a:ln w="9525">
                <a:solidFill>
                  <a:schemeClr val="accent2"/>
                </a:solidFill>
              </a:ln>
              <a:effectLst/>
            </c:spPr>
          </c:marker>
          <c:xVal>
            <c:numRef>
              <c:f>'Comp Data'!$BG$17:$BG$29</c:f>
              <c:numCache>
                <c:formatCode>General</c:formatCode>
                <c:ptCount val="13"/>
                <c:pt idx="0">
                  <c:v>0.35768578291822223</c:v>
                </c:pt>
                <c:pt idx="1">
                  <c:v>0.57951720265000051</c:v>
                </c:pt>
                <c:pt idx="2">
                  <c:v>0.44153369846919488</c:v>
                </c:pt>
                <c:pt idx="3">
                  <c:v>0.37752606276901729</c:v>
                </c:pt>
                <c:pt idx="6">
                  <c:v>0.38123886417255914</c:v>
                </c:pt>
              </c:numCache>
            </c:numRef>
          </c:xVal>
          <c:yVal>
            <c:numRef>
              <c:f>'Comp Data'!$R$17:$R$29</c:f>
              <c:numCache>
                <c:formatCode>0.000</c:formatCode>
                <c:ptCount val="13"/>
                <c:pt idx="0">
                  <c:v>0.47250000000000003</c:v>
                </c:pt>
                <c:pt idx="1">
                  <c:v>0.40019999999999994</c:v>
                </c:pt>
                <c:pt idx="2">
                  <c:v>0.48799999999999999</c:v>
                </c:pt>
                <c:pt idx="3">
                  <c:v>0.4864</c:v>
                </c:pt>
                <c:pt idx="4">
                  <c:v>0.44541199999999997</c:v>
                </c:pt>
                <c:pt idx="5">
                  <c:v>0.44573635826789737</c:v>
                </c:pt>
                <c:pt idx="6">
                  <c:v>0.54270000000000007</c:v>
                </c:pt>
                <c:pt idx="9" formatCode="General">
                  <c:v>0.55700000000000005</c:v>
                </c:pt>
                <c:pt idx="12">
                  <c:v>0.52058727773259894</c:v>
                </c:pt>
              </c:numCache>
            </c:numRef>
          </c:yVal>
          <c:smooth val="0"/>
          <c:extLst>
            <c:ext xmlns:c16="http://schemas.microsoft.com/office/drawing/2014/chart" uri="{C3380CC4-5D6E-409C-BE32-E72D297353CC}">
              <c16:uniqueId val="{00000001-A8B5-4BA8-A7DC-D165F1E9168E}"/>
            </c:ext>
          </c:extLst>
        </c:ser>
        <c:ser>
          <c:idx val="2"/>
          <c:order val="2"/>
          <c:tx>
            <c:v>MCM</c:v>
          </c:tx>
          <c:spPr>
            <a:ln w="19050" cap="rnd">
              <a:noFill/>
              <a:round/>
            </a:ln>
            <a:effectLst/>
          </c:spPr>
          <c:marker>
            <c:symbol val="circle"/>
            <c:size val="5"/>
            <c:spPr>
              <a:solidFill>
                <a:schemeClr val="accent3"/>
              </a:solidFill>
              <a:ln w="9525">
                <a:solidFill>
                  <a:schemeClr val="accent3"/>
                </a:solidFill>
              </a:ln>
              <a:effectLst/>
            </c:spPr>
          </c:marker>
          <c:xVal>
            <c:numRef>
              <c:f>'Comp Data'!$BG$31:$BG$38</c:f>
              <c:numCache>
                <c:formatCode>General</c:formatCode>
                <c:ptCount val="8"/>
                <c:pt idx="0">
                  <c:v>0.38990724103030933</c:v>
                </c:pt>
                <c:pt idx="1">
                  <c:v>0.39697255428983591</c:v>
                </c:pt>
                <c:pt idx="2">
                  <c:v>0.3853842822404967</c:v>
                </c:pt>
                <c:pt idx="3">
                  <c:v>0.32060674868999617</c:v>
                </c:pt>
                <c:pt idx="4">
                  <c:v>0.55208345126459102</c:v>
                </c:pt>
                <c:pt idx="5">
                  <c:v>0.28630902372512806</c:v>
                </c:pt>
                <c:pt idx="6">
                  <c:v>0.35467350944219772</c:v>
                </c:pt>
                <c:pt idx="7">
                  <c:v>0.29115491030578633</c:v>
                </c:pt>
              </c:numCache>
            </c:numRef>
          </c:xVal>
          <c:yVal>
            <c:numRef>
              <c:f>'Comp Data'!$R$31:$R$38</c:f>
              <c:numCache>
                <c:formatCode>0.000</c:formatCode>
                <c:ptCount val="8"/>
              </c:numCache>
            </c:numRef>
          </c:yVal>
          <c:smooth val="0"/>
          <c:extLst>
            <c:ext xmlns:c16="http://schemas.microsoft.com/office/drawing/2014/chart" uri="{C3380CC4-5D6E-409C-BE32-E72D297353CC}">
              <c16:uniqueId val="{00000002-A8B5-4BA8-A7DC-D165F1E9168E}"/>
            </c:ext>
          </c:extLst>
        </c:ser>
        <c:ser>
          <c:idx val="3"/>
          <c:order val="3"/>
          <c:tx>
            <c:v>FF</c:v>
          </c:tx>
          <c:spPr>
            <a:ln w="19050" cap="rnd">
              <a:noFill/>
              <a:round/>
            </a:ln>
            <a:effectLst/>
          </c:spPr>
          <c:marker>
            <c:symbol val="circle"/>
            <c:size val="5"/>
            <c:spPr>
              <a:solidFill>
                <a:schemeClr val="accent4"/>
              </a:solidFill>
              <a:ln w="9525">
                <a:solidFill>
                  <a:schemeClr val="accent4"/>
                </a:solidFill>
              </a:ln>
              <a:effectLst/>
            </c:spPr>
          </c:marker>
          <c:xVal>
            <c:numRef>
              <c:f>'Comp Data'!$BG$40:$BG$51</c:f>
              <c:numCache>
                <c:formatCode>General</c:formatCode>
                <c:ptCount val="12"/>
                <c:pt idx="9">
                  <c:v>0.45531356319454236</c:v>
                </c:pt>
              </c:numCache>
            </c:numRef>
          </c:xVal>
          <c:yVal>
            <c:numRef>
              <c:f>'Comp Data'!$R$40:$R$51</c:f>
              <c:numCache>
                <c:formatCode>General</c:formatCode>
                <c:ptCount val="12"/>
                <c:pt idx="2">
                  <c:v>0.47</c:v>
                </c:pt>
                <c:pt idx="9" formatCode="0.000">
                  <c:v>0.4582</c:v>
                </c:pt>
                <c:pt idx="10" formatCode="0.000">
                  <c:v>0.42129909759039297</c:v>
                </c:pt>
              </c:numCache>
            </c:numRef>
          </c:yVal>
          <c:smooth val="0"/>
          <c:extLst>
            <c:ext xmlns:c16="http://schemas.microsoft.com/office/drawing/2014/chart" uri="{C3380CC4-5D6E-409C-BE32-E72D297353CC}">
              <c16:uniqueId val="{00000003-A8B5-4BA8-A7DC-D165F1E9168E}"/>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r>
                  <a:rPr lang="en-US"/>
                  <a:t>Froude Number</a:t>
                </a:r>
              </a:p>
            </c:rich>
          </c:tx>
          <c:overlay val="0"/>
          <c:spPr>
            <a:noFill/>
            <a:ln>
              <a:noFill/>
            </a:ln>
            <a:effectLst/>
          </c:spPr>
          <c:txPr>
            <a:bodyPr rot="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r>
                  <a:rPr lang="en-US"/>
                  <a:t>Block Coefficient</a:t>
                </a:r>
              </a:p>
            </c:rich>
          </c:tx>
          <c:overlay val="0"/>
          <c:spPr>
            <a:noFill/>
            <a:ln>
              <a:noFill/>
            </a:ln>
            <a:effectLst/>
          </c:spPr>
          <c:txPr>
            <a:bodyPr rot="-540000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9050">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Length/Depth vs Length/Beam</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Data'!$W$2:$W$15</c:f>
              <c:numCache>
                <c:formatCode>0.00</c:formatCode>
                <c:ptCount val="14"/>
                <c:pt idx="0">
                  <c:v>11.338112305854244</c:v>
                </c:pt>
                <c:pt idx="1">
                  <c:v>11.417184000000001</c:v>
                </c:pt>
                <c:pt idx="2">
                  <c:v>10.000000000000002</c:v>
                </c:pt>
                <c:pt idx="3">
                  <c:v>10.040816326530623</c:v>
                </c:pt>
                <c:pt idx="5">
                  <c:v>10.625</c:v>
                </c:pt>
                <c:pt idx="6">
                  <c:v>11.333333333333334</c:v>
                </c:pt>
                <c:pt idx="7">
                  <c:v>8.9810017271157214</c:v>
                </c:pt>
                <c:pt idx="8">
                  <c:v>10.937499999999989</c:v>
                </c:pt>
                <c:pt idx="9">
                  <c:v>12.869119343673894</c:v>
                </c:pt>
                <c:pt idx="10">
                  <c:v>11.250000000000002</c:v>
                </c:pt>
                <c:pt idx="11">
                  <c:v>11.250000000000002</c:v>
                </c:pt>
                <c:pt idx="12">
                  <c:v>11.875</c:v>
                </c:pt>
                <c:pt idx="13">
                  <c:v>11.040167169723704</c:v>
                </c:pt>
              </c:numCache>
            </c:numRef>
          </c:xVal>
          <c:yVal>
            <c:numRef>
              <c:f>'Comp Data'!$X$2:$X$15</c:f>
              <c:numCache>
                <c:formatCode>0.00</c:formatCode>
                <c:ptCount val="14"/>
                <c:pt idx="0">
                  <c:v>5.1653342390357757</c:v>
                </c:pt>
                <c:pt idx="1">
                  <c:v>6.4956404607329805</c:v>
                </c:pt>
                <c:pt idx="2">
                  <c:v>6.4</c:v>
                </c:pt>
                <c:pt idx="3">
                  <c:v>5.7142857142857153</c:v>
                </c:pt>
                <c:pt idx="4">
                  <c:v>6.8583333333333334</c:v>
                </c:pt>
                <c:pt idx="5">
                  <c:v>6.6666666666666705</c:v>
                </c:pt>
                <c:pt idx="6">
                  <c:v>6.1077844311377234</c:v>
                </c:pt>
                <c:pt idx="7">
                  <c:v>8.214419597435235</c:v>
                </c:pt>
                <c:pt idx="8">
                  <c:v>6.3636363636363615</c:v>
                </c:pt>
                <c:pt idx="9">
                  <c:v>6.6171003717472185</c:v>
                </c:pt>
                <c:pt idx="10">
                  <c:v>6.9230769230769234</c:v>
                </c:pt>
                <c:pt idx="11">
                  <c:v>6.9230769230769234</c:v>
                </c:pt>
                <c:pt idx="12">
                  <c:v>7.1698113207547216</c:v>
                </c:pt>
                <c:pt idx="13">
                  <c:v>8.0593220338983045</c:v>
                </c:pt>
              </c:numCache>
            </c:numRef>
          </c:yVal>
          <c:smooth val="0"/>
          <c:extLst>
            <c:ext xmlns:c16="http://schemas.microsoft.com/office/drawing/2014/chart" uri="{C3380CC4-5D6E-409C-BE32-E72D297353CC}">
              <c16:uniqueId val="{00000000-E931-465E-9677-2F07055D8216}"/>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Data'!$W$17:$W$29</c:f>
              <c:numCache>
                <c:formatCode>0.00</c:formatCode>
                <c:ptCount val="13"/>
                <c:pt idx="0">
                  <c:v>7.929515418502203</c:v>
                </c:pt>
                <c:pt idx="1">
                  <c:v>11.454545454545455</c:v>
                </c:pt>
                <c:pt idx="2">
                  <c:v>12.181818181818182</c:v>
                </c:pt>
                <c:pt idx="3">
                  <c:v>9.8630136986301373</c:v>
                </c:pt>
                <c:pt idx="4">
                  <c:v>8.1789473684210527</c:v>
                </c:pt>
                <c:pt idx="5">
                  <c:v>8.1789473684210527</c:v>
                </c:pt>
                <c:pt idx="6">
                  <c:v>11.393939393939394</c:v>
                </c:pt>
                <c:pt idx="7">
                  <c:v>11.235955056179774</c:v>
                </c:pt>
                <c:pt idx="8">
                  <c:v>6.3600212089077326</c:v>
                </c:pt>
                <c:pt idx="9">
                  <c:v>9.9922660479505048</c:v>
                </c:pt>
                <c:pt idx="10">
                  <c:v>12.911392405063289</c:v>
                </c:pt>
                <c:pt idx="11">
                  <c:v>9.1666666666666661</c:v>
                </c:pt>
                <c:pt idx="12">
                  <c:v>11.478260869565219</c:v>
                </c:pt>
              </c:numCache>
            </c:numRef>
          </c:xVal>
          <c:yVal>
            <c:numRef>
              <c:f>'Comp Data'!$X$17:$X$29</c:f>
              <c:numCache>
                <c:formatCode>0.00</c:formatCode>
                <c:ptCount val="13"/>
                <c:pt idx="0">
                  <c:v>4.9586776859504127</c:v>
                </c:pt>
                <c:pt idx="1">
                  <c:v>6.3</c:v>
                </c:pt>
                <c:pt idx="2">
                  <c:v>6.3207547169811322</c:v>
                </c:pt>
                <c:pt idx="3">
                  <c:v>6.2608695652173916</c:v>
                </c:pt>
                <c:pt idx="4">
                  <c:v>6.7565217391304353</c:v>
                </c:pt>
                <c:pt idx="5">
                  <c:v>6.6982758620689662</c:v>
                </c:pt>
                <c:pt idx="6">
                  <c:v>7.1755725190839694</c:v>
                </c:pt>
                <c:pt idx="7">
                  <c:v>5.7777777777777821</c:v>
                </c:pt>
                <c:pt idx="8">
                  <c:v>4.8740349451442455</c:v>
                </c:pt>
                <c:pt idx="9">
                  <c:v>4.8389513108614173</c:v>
                </c:pt>
                <c:pt idx="10">
                  <c:v>7.2857142857143158</c:v>
                </c:pt>
                <c:pt idx="11">
                  <c:v>4.8672566371681425</c:v>
                </c:pt>
                <c:pt idx="12">
                  <c:v>6.4521384928717076</c:v>
                </c:pt>
              </c:numCache>
            </c:numRef>
          </c:yVal>
          <c:smooth val="0"/>
          <c:extLst>
            <c:ext xmlns:c16="http://schemas.microsoft.com/office/drawing/2014/chart" uri="{C3380CC4-5D6E-409C-BE32-E72D297353CC}">
              <c16:uniqueId val="{00000001-E931-465E-9677-2F07055D8216}"/>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Data'!$W$31:$W$38</c:f>
              <c:numCache>
                <c:formatCode>0.00</c:formatCode>
                <c:ptCount val="8"/>
                <c:pt idx="0">
                  <c:v>9.0000000000000018</c:v>
                </c:pt>
                <c:pt idx="1">
                  <c:v>6.2328767123287676</c:v>
                </c:pt>
                <c:pt idx="2">
                  <c:v>6.541666666666667</c:v>
                </c:pt>
                <c:pt idx="3">
                  <c:v>9.0909090909090917</c:v>
                </c:pt>
                <c:pt idx="4">
                  <c:v>10.625</c:v>
                </c:pt>
                <c:pt idx="5">
                  <c:v>6.9868421052631584</c:v>
                </c:pt>
                <c:pt idx="6">
                  <c:v>7.7027027027027026</c:v>
                </c:pt>
                <c:pt idx="7">
                  <c:v>8.68</c:v>
                </c:pt>
              </c:numCache>
            </c:numRef>
          </c:xVal>
          <c:yVal>
            <c:numRef>
              <c:f>'Comp Data'!$X$31:$X$38</c:f>
              <c:numCache>
                <c:formatCode>0.00</c:formatCode>
                <c:ptCount val="8"/>
                <c:pt idx="0">
                  <c:v>5.0232558139534893</c:v>
                </c:pt>
                <c:pt idx="1">
                  <c:v>4.7395833333333339</c:v>
                </c:pt>
                <c:pt idx="2">
                  <c:v>5.2921348314606744</c:v>
                </c:pt>
                <c:pt idx="3">
                  <c:v>5.5555555555555554</c:v>
                </c:pt>
                <c:pt idx="4">
                  <c:v>5.7303370786516847</c:v>
                </c:pt>
                <c:pt idx="5">
                  <c:v>5.0571428571428569</c:v>
                </c:pt>
                <c:pt idx="6">
                  <c:v>5.7</c:v>
                </c:pt>
                <c:pt idx="7">
                  <c:v>5.4705882352941169</c:v>
                </c:pt>
              </c:numCache>
            </c:numRef>
          </c:yVal>
          <c:smooth val="0"/>
          <c:extLst>
            <c:ext xmlns:c16="http://schemas.microsoft.com/office/drawing/2014/chart" uri="{C3380CC4-5D6E-409C-BE32-E72D297353CC}">
              <c16:uniqueId val="{00000002-E931-465E-9677-2F07055D8216}"/>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65000"/>
                  </a:schemeClr>
                </a:solidFill>
              </a:ln>
              <a:effectLst/>
            </c:spPr>
          </c:marker>
          <c:xVal>
            <c:numRef>
              <c:f>'Comp Data'!$W$40:$W$51</c:f>
              <c:numCache>
                <c:formatCode>0.00</c:formatCode>
                <c:ptCount val="12"/>
                <c:pt idx="0">
                  <c:v>9.7744360902255689</c:v>
                </c:pt>
                <c:pt idx="1">
                  <c:v>9.7744360902255689</c:v>
                </c:pt>
                <c:pt idx="2">
                  <c:v>11.282051282051292</c:v>
                </c:pt>
                <c:pt idx="3">
                  <c:v>11.517275913870803</c:v>
                </c:pt>
                <c:pt idx="4">
                  <c:v>13.164556962025323</c:v>
                </c:pt>
                <c:pt idx="5">
                  <c:v>13.164556962025323</c:v>
                </c:pt>
                <c:pt idx="6">
                  <c:v>13.456362749878101</c:v>
                </c:pt>
                <c:pt idx="7">
                  <c:v>12.423706324635114</c:v>
                </c:pt>
                <c:pt idx="8">
                  <c:v>12.423706324635114</c:v>
                </c:pt>
                <c:pt idx="9">
                  <c:v>15.714285714285715</c:v>
                </c:pt>
                <c:pt idx="10">
                  <c:v>14.131455399061039</c:v>
                </c:pt>
                <c:pt idx="11">
                  <c:v>11.705882352941176</c:v>
                </c:pt>
              </c:numCache>
            </c:numRef>
          </c:xVal>
          <c:yVal>
            <c:numRef>
              <c:f>'Comp Data'!$X$40:$X$51</c:f>
              <c:numCache>
                <c:formatCode>0.00</c:formatCode>
                <c:ptCount val="12"/>
                <c:pt idx="0">
                  <c:v>7.6134699853587184</c:v>
                </c:pt>
                <c:pt idx="1">
                  <c:v>7.2982456140350962</c:v>
                </c:pt>
                <c:pt idx="2">
                  <c:v>8.0000000000000053</c:v>
                </c:pt>
                <c:pt idx="3">
                  <c:v>7.4097938144329918</c:v>
                </c:pt>
                <c:pt idx="4">
                  <c:v>7.3239436619718212</c:v>
                </c:pt>
                <c:pt idx="5">
                  <c:v>6.7708333333333259</c:v>
                </c:pt>
                <c:pt idx="6">
                  <c:v>6.8112043435340563</c:v>
                </c:pt>
                <c:pt idx="7">
                  <c:v>7.2025641025641152</c:v>
                </c:pt>
                <c:pt idx="8">
                  <c:v>7.2025641025641152</c:v>
                </c:pt>
                <c:pt idx="9">
                  <c:v>9.0441932168550867</c:v>
                </c:pt>
                <c:pt idx="10">
                  <c:v>7.7979274611399001</c:v>
                </c:pt>
                <c:pt idx="11">
                  <c:v>6.5589980224126565</c:v>
                </c:pt>
              </c:numCache>
            </c:numRef>
          </c:yVal>
          <c:smooth val="0"/>
          <c:extLst>
            <c:ext xmlns:c16="http://schemas.microsoft.com/office/drawing/2014/chart" uri="{C3380CC4-5D6E-409C-BE32-E72D297353CC}">
              <c16:uniqueId val="{00000003-E931-465E-9677-2F07055D8216}"/>
            </c:ext>
          </c:extLst>
        </c:ser>
        <c:ser>
          <c:idx val="4"/>
          <c:order val="4"/>
          <c:tx>
            <c:v>Design</c:v>
          </c:tx>
          <c:spPr>
            <a:ln w="19050" cap="rnd">
              <a:noFill/>
              <a:round/>
            </a:ln>
            <a:effectLst/>
          </c:spPr>
          <c:marker>
            <c:symbol val="plus"/>
            <c:size val="13"/>
            <c:spPr>
              <a:noFill/>
              <a:ln w="31750" cmpd="sng">
                <a:solidFill>
                  <a:srgbClr val="00B050"/>
                </a:solidFill>
                <a:prstDash val="solid"/>
              </a:ln>
              <a:effectLst/>
            </c:spPr>
          </c:marker>
          <c:xVal>
            <c:numRef>
              <c:f>Inputs!$D$20</c:f>
              <c:numCache>
                <c:formatCode>0.0_ </c:formatCode>
                <c:ptCount val="1"/>
                <c:pt idx="0">
                  <c:v>13.38100102145046</c:v>
                </c:pt>
              </c:numCache>
            </c:numRef>
          </c:xVal>
          <c:yVal>
            <c:numRef>
              <c:f>Inputs!$D$19</c:f>
              <c:numCache>
                <c:formatCode>0.0_ </c:formatCode>
                <c:ptCount val="1"/>
                <c:pt idx="0">
                  <c:v>9.3504639543183448</c:v>
                </c:pt>
              </c:numCache>
            </c:numRef>
          </c:yVal>
          <c:smooth val="0"/>
          <c:extLst>
            <c:ext xmlns:c16="http://schemas.microsoft.com/office/drawing/2014/chart" uri="{C3380CC4-5D6E-409C-BE32-E72D297353CC}">
              <c16:uniqueId val="{00000004-E931-465E-9677-2F07055D8216}"/>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Length/Beam</a:t>
                </a:r>
              </a:p>
            </c:rich>
          </c:tx>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Length/Depth</a:t>
                </a:r>
              </a:p>
            </c:rich>
          </c:tx>
          <c:overlay val="0"/>
          <c:spPr>
            <a:noFill/>
            <a:ln>
              <a:noFill/>
            </a:ln>
            <a:effectLst/>
          </c:spPr>
          <c:txPr>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9050">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Disp X Vm/Pwr vs Fn^2</a:t>
            </a:r>
          </a:p>
        </c:rich>
      </c:tx>
      <c:layout>
        <c:manualLayout>
          <c:xMode val="edge"/>
          <c:yMode val="edge"/>
          <c:x val="0.39844617092119866"/>
          <c:y val="1.9575856443719411E-2"/>
        </c:manualLayout>
      </c:layout>
      <c:overlay val="0"/>
      <c:spPr>
        <a:noFill/>
        <a:ln w="25400">
          <a:noFill/>
        </a:ln>
      </c:spPr>
    </c:title>
    <c:autoTitleDeleted val="0"/>
    <c:plotArea>
      <c:layout>
        <c:manualLayout>
          <c:layoutTarget val="inner"/>
          <c:xMode val="edge"/>
          <c:yMode val="edge"/>
          <c:x val="7.2142064372918979E-2"/>
          <c:y val="7.5040783034257749E-2"/>
          <c:w val="0.68701442841287463"/>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2942104436807031"/>
                  <c:y val="-0.39466375504528273"/>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Stats'!$AD$5:$AD$279</c:f>
              <c:numCache>
                <c:formatCode>0.000</c:formatCode>
                <c:ptCount val="275"/>
                <c:pt idx="0">
                  <c:v>0.78177756274741084</c:v>
                </c:pt>
                <c:pt idx="1">
                  <c:v>0.55217317406948419</c:v>
                </c:pt>
                <c:pt idx="2">
                  <c:v>0.65190687820120419</c:v>
                </c:pt>
                <c:pt idx="3">
                  <c:v>0.42570916997544528</c:v>
                </c:pt>
                <c:pt idx="4">
                  <c:v>0.47931699137976047</c:v>
                </c:pt>
                <c:pt idx="5">
                  <c:v>0.62285576954696142</c:v>
                </c:pt>
                <c:pt idx="6">
                  <c:v>0.44366573827520861</c:v>
                </c:pt>
                <c:pt idx="7">
                  <c:v>0.52929385316124389</c:v>
                </c:pt>
                <c:pt idx="8">
                  <c:v>2.6961580765111535</c:v>
                </c:pt>
                <c:pt idx="9">
                  <c:v>1.7255411689671378</c:v>
                </c:pt>
                <c:pt idx="10">
                  <c:v>1.4042489981828923</c:v>
                </c:pt>
                <c:pt idx="11">
                  <c:v>1.4042489981828923</c:v>
                </c:pt>
                <c:pt idx="12">
                  <c:v>1.5267655931302377</c:v>
                </c:pt>
                <c:pt idx="13">
                  <c:v>0.7582944590187618</c:v>
                </c:pt>
                <c:pt idx="14">
                  <c:v>0.90520192470407235</c:v>
                </c:pt>
                <c:pt idx="15">
                  <c:v>0.62539749197423644</c:v>
                </c:pt>
                <c:pt idx="16">
                  <c:v>0.62539749197423644</c:v>
                </c:pt>
                <c:pt idx="17">
                  <c:v>0.62539749197423644</c:v>
                </c:pt>
                <c:pt idx="18">
                  <c:v>0.54479070411977937</c:v>
                </c:pt>
                <c:pt idx="19">
                  <c:v>0.52659337431858477</c:v>
                </c:pt>
                <c:pt idx="20">
                  <c:v>1.1218967801652795</c:v>
                </c:pt>
                <c:pt idx="21">
                  <c:v>0.99757848830912677</c:v>
                </c:pt>
                <c:pt idx="22">
                  <c:v>0.55304120545021451</c:v>
                </c:pt>
                <c:pt idx="23">
                  <c:v>0.75640160831436187</c:v>
                </c:pt>
                <c:pt idx="24">
                  <c:v>0.65734901674938584</c:v>
                </c:pt>
                <c:pt idx="25">
                  <c:v>0.70217016572553337</c:v>
                </c:pt>
                <c:pt idx="26">
                  <c:v>1.5734063702982954</c:v>
                </c:pt>
                <c:pt idx="27">
                  <c:v>0.80668367741529012</c:v>
                </c:pt>
                <c:pt idx="28">
                  <c:v>0.36570964678830781</c:v>
                </c:pt>
                <c:pt idx="29">
                  <c:v>1.1190641992860408</c:v>
                </c:pt>
                <c:pt idx="30">
                  <c:v>1.1193371417736719</c:v>
                </c:pt>
                <c:pt idx="31">
                  <c:v>1.1190641992860408</c:v>
                </c:pt>
                <c:pt idx="32">
                  <c:v>0.85564602169071546</c:v>
                </c:pt>
                <c:pt idx="33">
                  <c:v>0.85564602169071546</c:v>
                </c:pt>
                <c:pt idx="34">
                  <c:v>0.85564602169071546</c:v>
                </c:pt>
                <c:pt idx="35">
                  <c:v>0.85564602169071546</c:v>
                </c:pt>
                <c:pt idx="36">
                  <c:v>0.74820213288547999</c:v>
                </c:pt>
                <c:pt idx="37">
                  <c:v>0.85564602169071546</c:v>
                </c:pt>
                <c:pt idx="38">
                  <c:v>0.85564602169071546</c:v>
                </c:pt>
                <c:pt idx="39">
                  <c:v>0.4645687762603834</c:v>
                </c:pt>
                <c:pt idx="40">
                  <c:v>0.94951653998871044</c:v>
                </c:pt>
                <c:pt idx="41">
                  <c:v>0.13765727579689699</c:v>
                </c:pt>
                <c:pt idx="42">
                  <c:v>0.73603260334114662</c:v>
                </c:pt>
                <c:pt idx="43">
                  <c:v>0.61489217602392443</c:v>
                </c:pt>
                <c:pt idx="44">
                  <c:v>0.86104848750855201</c:v>
                </c:pt>
                <c:pt idx="45">
                  <c:v>0.93681228597557598</c:v>
                </c:pt>
                <c:pt idx="46">
                  <c:v>0.7355887847942455</c:v>
                </c:pt>
                <c:pt idx="47">
                  <c:v>0.76424608455999654</c:v>
                </c:pt>
                <c:pt idx="48">
                  <c:v>0.95863398275952094</c:v>
                </c:pt>
                <c:pt idx="49">
                  <c:v>1.0094079569298995</c:v>
                </c:pt>
                <c:pt idx="50">
                  <c:v>0.96076902503738204</c:v>
                </c:pt>
                <c:pt idx="51">
                  <c:v>0.96076902503738204</c:v>
                </c:pt>
                <c:pt idx="52">
                  <c:v>0.8651671694404679</c:v>
                </c:pt>
                <c:pt idx="53">
                  <c:v>0.9608206834941253</c:v>
                </c:pt>
                <c:pt idx="54">
                  <c:v>0.96076902503738204</c:v>
                </c:pt>
                <c:pt idx="55">
                  <c:v>0.76424608455999654</c:v>
                </c:pt>
                <c:pt idx="56">
                  <c:v>0.55127827904834437</c:v>
                </c:pt>
                <c:pt idx="57">
                  <c:v>0.55126969884166677</c:v>
                </c:pt>
                <c:pt idx="58">
                  <c:v>0.74345124833158605</c:v>
                </c:pt>
                <c:pt idx="59">
                  <c:v>0.74345124833158605</c:v>
                </c:pt>
                <c:pt idx="60">
                  <c:v>0.86709404509623733</c:v>
                </c:pt>
                <c:pt idx="61">
                  <c:v>0.8033245665582579</c:v>
                </c:pt>
                <c:pt idx="62">
                  <c:v>0.95018786837397473</c:v>
                </c:pt>
                <c:pt idx="63">
                  <c:v>0.43775038703265706</c:v>
                </c:pt>
                <c:pt idx="64">
                  <c:v>0.90283699733371459</c:v>
                </c:pt>
                <c:pt idx="65">
                  <c:v>0.77554825945858652</c:v>
                </c:pt>
                <c:pt idx="66">
                  <c:v>0.74117277243850777</c:v>
                </c:pt>
                <c:pt idx="67">
                  <c:v>0.80669623299868276</c:v>
                </c:pt>
                <c:pt idx="68">
                  <c:v>0.83690947640274782</c:v>
                </c:pt>
                <c:pt idx="69">
                  <c:v>0.48778548946067518</c:v>
                </c:pt>
                <c:pt idx="70">
                  <c:v>0.53422843536643672</c:v>
                </c:pt>
                <c:pt idx="71">
                  <c:v>0.41764927174871552</c:v>
                </c:pt>
                <c:pt idx="72">
                  <c:v>0.74893279903087584</c:v>
                </c:pt>
                <c:pt idx="73">
                  <c:v>0.42654779773375845</c:v>
                </c:pt>
                <c:pt idx="74">
                  <c:v>0.3137010085579241</c:v>
                </c:pt>
                <c:pt idx="75">
                  <c:v>0.68664061066703796</c:v>
                </c:pt>
                <c:pt idx="76">
                  <c:v>0.71363934087654557</c:v>
                </c:pt>
                <c:pt idx="77">
                  <c:v>0.71363934087654557</c:v>
                </c:pt>
                <c:pt idx="78">
                  <c:v>0.62174748525951129</c:v>
                </c:pt>
                <c:pt idx="79">
                  <c:v>0.41764927174871552</c:v>
                </c:pt>
                <c:pt idx="80">
                  <c:v>0.69274951289717179</c:v>
                </c:pt>
                <c:pt idx="81">
                  <c:v>0.76082062123771499</c:v>
                </c:pt>
                <c:pt idx="82">
                  <c:v>0.44386911098833132</c:v>
                </c:pt>
                <c:pt idx="83">
                  <c:v>0.67357305579275206</c:v>
                </c:pt>
                <c:pt idx="84">
                  <c:v>0.67009505378349488</c:v>
                </c:pt>
                <c:pt idx="85">
                  <c:v>0.4760113569564518</c:v>
                </c:pt>
                <c:pt idx="86">
                  <c:v>0.40174540875166176</c:v>
                </c:pt>
                <c:pt idx="87">
                  <c:v>0.33659043502941793</c:v>
                </c:pt>
                <c:pt idx="88">
                  <c:v>0.33659043502941793</c:v>
                </c:pt>
                <c:pt idx="89">
                  <c:v>0.33659043502941793</c:v>
                </c:pt>
                <c:pt idx="90">
                  <c:v>0.41993645243552979</c:v>
                </c:pt>
                <c:pt idx="91">
                  <c:v>0.41993645243552979</c:v>
                </c:pt>
                <c:pt idx="92">
                  <c:v>0.62391863180802964</c:v>
                </c:pt>
                <c:pt idx="93">
                  <c:v>0.50270302200756334</c:v>
                </c:pt>
                <c:pt idx="94">
                  <c:v>0.95470515496132613</c:v>
                </c:pt>
                <c:pt idx="95">
                  <c:v>0.71710801827205739</c:v>
                </c:pt>
                <c:pt idx="96">
                  <c:v>0.85564602169071546</c:v>
                </c:pt>
                <c:pt idx="97">
                  <c:v>1.014305799311334</c:v>
                </c:pt>
                <c:pt idx="98">
                  <c:v>0.95622808464864462</c:v>
                </c:pt>
                <c:pt idx="99">
                  <c:v>0.50552963934584116</c:v>
                </c:pt>
                <c:pt idx="100">
                  <c:v>0.54347753353295702</c:v>
                </c:pt>
                <c:pt idx="101">
                  <c:v>0.53923161530223052</c:v>
                </c:pt>
                <c:pt idx="102">
                  <c:v>0.82958710046497008</c:v>
                </c:pt>
                <c:pt idx="103">
                  <c:v>0.42654779773375845</c:v>
                </c:pt>
                <c:pt idx="104">
                  <c:v>0.74893279903087584</c:v>
                </c:pt>
                <c:pt idx="105">
                  <c:v>0.4760113569564518</c:v>
                </c:pt>
                <c:pt idx="106">
                  <c:v>0.42215074470144048</c:v>
                </c:pt>
                <c:pt idx="107">
                  <c:v>0.57672506355371389</c:v>
                </c:pt>
                <c:pt idx="108">
                  <c:v>0.3263273036023458</c:v>
                </c:pt>
                <c:pt idx="109">
                  <c:v>0.69983609331662966</c:v>
                </c:pt>
                <c:pt idx="110">
                  <c:v>0.31890888463405886</c:v>
                </c:pt>
                <c:pt idx="111">
                  <c:v>0.97061690754401497</c:v>
                </c:pt>
                <c:pt idx="112">
                  <c:v>1.0110592786916823</c:v>
                </c:pt>
                <c:pt idx="113">
                  <c:v>0.60753428657384645</c:v>
                </c:pt>
                <c:pt idx="114">
                  <c:v>0.52053562864029201</c:v>
                </c:pt>
                <c:pt idx="115">
                  <c:v>0.50383803437505736</c:v>
                </c:pt>
                <c:pt idx="117">
                  <c:v>1.4419452824007799</c:v>
                </c:pt>
                <c:pt idx="118">
                  <c:v>2.1838880419740336</c:v>
                </c:pt>
                <c:pt idx="119">
                  <c:v>0.36402297983597887</c:v>
                </c:pt>
                <c:pt idx="120">
                  <c:v>2.6961580765111535</c:v>
                </c:pt>
                <c:pt idx="121">
                  <c:v>0.56374214327051375</c:v>
                </c:pt>
                <c:pt idx="122">
                  <c:v>0.51578676246300315</c:v>
                </c:pt>
                <c:pt idx="123">
                  <c:v>0.56374214327051375</c:v>
                </c:pt>
                <c:pt idx="124">
                  <c:v>0.20798933733086034</c:v>
                </c:pt>
                <c:pt idx="125">
                  <c:v>0.37317066802922544</c:v>
                </c:pt>
                <c:pt idx="126">
                  <c:v>0.67403951912778837</c:v>
                </c:pt>
                <c:pt idx="127">
                  <c:v>0.808847422953346</c:v>
                </c:pt>
                <c:pt idx="128">
                  <c:v>0.54437695514290085</c:v>
                </c:pt>
                <c:pt idx="129">
                  <c:v>0.6777583578540104</c:v>
                </c:pt>
                <c:pt idx="130">
                  <c:v>0.56169959927315694</c:v>
                </c:pt>
                <c:pt idx="131">
                  <c:v>0.40779390907231194</c:v>
                </c:pt>
                <c:pt idx="132">
                  <c:v>0.63588633879980028</c:v>
                </c:pt>
                <c:pt idx="133">
                  <c:v>0.28179200541600441</c:v>
                </c:pt>
                <c:pt idx="134">
                  <c:v>0.6777583578540104</c:v>
                </c:pt>
                <c:pt idx="135">
                  <c:v>1.0076152811486938</c:v>
                </c:pt>
                <c:pt idx="136">
                  <c:v>0.86277058448356903</c:v>
                </c:pt>
                <c:pt idx="137">
                  <c:v>0.20798933733086034</c:v>
                </c:pt>
                <c:pt idx="138">
                  <c:v>0.42575152909683583</c:v>
                </c:pt>
                <c:pt idx="139">
                  <c:v>0.67007458077997761</c:v>
                </c:pt>
                <c:pt idx="140">
                  <c:v>0.7512514764272562</c:v>
                </c:pt>
                <c:pt idx="141">
                  <c:v>0.68777466404586396</c:v>
                </c:pt>
                <c:pt idx="142">
                  <c:v>1.8826621051500292</c:v>
                </c:pt>
                <c:pt idx="143">
                  <c:v>0.41000196956600626</c:v>
                </c:pt>
                <c:pt idx="144">
                  <c:v>0.62595517126644284</c:v>
                </c:pt>
                <c:pt idx="145">
                  <c:v>0.18159690137325982</c:v>
                </c:pt>
                <c:pt idx="146">
                  <c:v>0.27820229834064131</c:v>
                </c:pt>
                <c:pt idx="147">
                  <c:v>0.37317066802922544</c:v>
                </c:pt>
                <c:pt idx="148">
                  <c:v>0.37317066802922544</c:v>
                </c:pt>
                <c:pt idx="149">
                  <c:v>0.75593217098443544</c:v>
                </c:pt>
                <c:pt idx="150">
                  <c:v>0.50301456651327492</c:v>
                </c:pt>
                <c:pt idx="151">
                  <c:v>0.55249140912113803</c:v>
                </c:pt>
                <c:pt idx="152">
                  <c:v>0.43498016967713277</c:v>
                </c:pt>
                <c:pt idx="153">
                  <c:v>0.69207719640022203</c:v>
                </c:pt>
                <c:pt idx="154">
                  <c:v>0.72869137203004153</c:v>
                </c:pt>
                <c:pt idx="155">
                  <c:v>0.26868609796955978</c:v>
                </c:pt>
                <c:pt idx="156">
                  <c:v>0.55249140912113803</c:v>
                </c:pt>
                <c:pt idx="157">
                  <c:v>0.72434097577911549</c:v>
                </c:pt>
                <c:pt idx="158">
                  <c:v>0.50096356518400775</c:v>
                </c:pt>
                <c:pt idx="159">
                  <c:v>0.73531583904849629</c:v>
                </c:pt>
                <c:pt idx="160">
                  <c:v>0.60393940913849831</c:v>
                </c:pt>
                <c:pt idx="161">
                  <c:v>0.7582944590187618</c:v>
                </c:pt>
                <c:pt idx="162">
                  <c:v>0.47637639634062096</c:v>
                </c:pt>
                <c:pt idx="163">
                  <c:v>0.5349519993077686</c:v>
                </c:pt>
                <c:pt idx="164">
                  <c:v>0.94365532677890351</c:v>
                </c:pt>
                <c:pt idx="165">
                  <c:v>0.47637639634062096</c:v>
                </c:pt>
                <c:pt idx="166">
                  <c:v>0.78422932878232199</c:v>
                </c:pt>
                <c:pt idx="167">
                  <c:v>0.45422535747592363</c:v>
                </c:pt>
                <c:pt idx="168">
                  <c:v>1.3065996832323283</c:v>
                </c:pt>
                <c:pt idx="169">
                  <c:v>0.60393940913849831</c:v>
                </c:pt>
                <c:pt idx="170">
                  <c:v>0.3942418456288212</c:v>
                </c:pt>
                <c:pt idx="171">
                  <c:v>0.80025097691229596</c:v>
                </c:pt>
                <c:pt idx="172">
                  <c:v>0.38479149247295097</c:v>
                </c:pt>
                <c:pt idx="173">
                  <c:v>0.38479149247295097</c:v>
                </c:pt>
                <c:pt idx="174">
                  <c:v>0.39951474018890765</c:v>
                </c:pt>
                <c:pt idx="175">
                  <c:v>0.75640160831436187</c:v>
                </c:pt>
                <c:pt idx="176">
                  <c:v>0.75640160831436187</c:v>
                </c:pt>
                <c:pt idx="177">
                  <c:v>0.47601660955352276</c:v>
                </c:pt>
                <c:pt idx="178">
                  <c:v>1.3480790382555765</c:v>
                </c:pt>
                <c:pt idx="179">
                  <c:v>0.36048080359983381</c:v>
                </c:pt>
                <c:pt idx="180">
                  <c:v>0.36250174138457891</c:v>
                </c:pt>
                <c:pt idx="181">
                  <c:v>0.4616102920648516</c:v>
                </c:pt>
                <c:pt idx="182">
                  <c:v>0.45144972443907672</c:v>
                </c:pt>
                <c:pt idx="183">
                  <c:v>0.67104378793166475</c:v>
                </c:pt>
                <c:pt idx="184">
                  <c:v>0.12743559658509748</c:v>
                </c:pt>
                <c:pt idx="185">
                  <c:v>0.60465838462556787</c:v>
                </c:pt>
                <c:pt idx="186">
                  <c:v>0.34236927955697177</c:v>
                </c:pt>
                <c:pt idx="187">
                  <c:v>0.34236927955697177</c:v>
                </c:pt>
                <c:pt idx="188">
                  <c:v>0.2773191164411471</c:v>
                </c:pt>
                <c:pt idx="189">
                  <c:v>0.67685640070026254</c:v>
                </c:pt>
                <c:pt idx="190">
                  <c:v>0.47637639634062096</c:v>
                </c:pt>
                <c:pt idx="191">
                  <c:v>0.50328284094874853</c:v>
                </c:pt>
                <c:pt idx="192">
                  <c:v>0.32461206692323347</c:v>
                </c:pt>
                <c:pt idx="193">
                  <c:v>0.56381426400451606</c:v>
                </c:pt>
                <c:pt idx="194">
                  <c:v>0.32461206692323347</c:v>
                </c:pt>
                <c:pt idx="195">
                  <c:v>0.36570964678830781</c:v>
                </c:pt>
                <c:pt idx="196">
                  <c:v>0.88973216524868037</c:v>
                </c:pt>
                <c:pt idx="197">
                  <c:v>0.84858848130654496</c:v>
                </c:pt>
                <c:pt idx="198">
                  <c:v>0.38312350214041024</c:v>
                </c:pt>
                <c:pt idx="199">
                  <c:v>0.57639273835091809</c:v>
                </c:pt>
                <c:pt idx="200">
                  <c:v>0.44935967941852561</c:v>
                </c:pt>
                <c:pt idx="201">
                  <c:v>0.50569089281931701</c:v>
                </c:pt>
                <c:pt idx="202">
                  <c:v>0.36032182182608447</c:v>
                </c:pt>
                <c:pt idx="203">
                  <c:v>0.48292364564536372</c:v>
                </c:pt>
                <c:pt idx="204">
                  <c:v>0.76795218896788053</c:v>
                </c:pt>
                <c:pt idx="205">
                  <c:v>0.40594673877626791</c:v>
                </c:pt>
                <c:pt idx="206">
                  <c:v>0.70973415690165054</c:v>
                </c:pt>
                <c:pt idx="207">
                  <c:v>0.52413313007376816</c:v>
                </c:pt>
                <c:pt idx="208">
                  <c:v>0.60465838462556787</c:v>
                </c:pt>
                <c:pt idx="209">
                  <c:v>1.008614575772566</c:v>
                </c:pt>
                <c:pt idx="210">
                  <c:v>0.59767050957143786</c:v>
                </c:pt>
                <c:pt idx="211">
                  <c:v>0.80221752604389218</c:v>
                </c:pt>
                <c:pt idx="212">
                  <c:v>0.64194239916932205</c:v>
                </c:pt>
                <c:pt idx="213">
                  <c:v>0.93681228597557598</c:v>
                </c:pt>
                <c:pt idx="214">
                  <c:v>0.62635718927427309</c:v>
                </c:pt>
                <c:pt idx="215">
                  <c:v>0.95018786837397473</c:v>
                </c:pt>
                <c:pt idx="216">
                  <c:v>0.48025730244151987</c:v>
                </c:pt>
                <c:pt idx="217">
                  <c:v>0.73603260334114662</c:v>
                </c:pt>
                <c:pt idx="218">
                  <c:v>0.58051250451197089</c:v>
                </c:pt>
                <c:pt idx="219">
                  <c:v>0.57774815925238987</c:v>
                </c:pt>
                <c:pt idx="220">
                  <c:v>0.29713908801549993</c:v>
                </c:pt>
                <c:pt idx="221">
                  <c:v>0.22467983970926275</c:v>
                </c:pt>
                <c:pt idx="222">
                  <c:v>1.0094622305960153</c:v>
                </c:pt>
                <c:pt idx="223">
                  <c:v>0.68667968227736331</c:v>
                </c:pt>
                <c:pt idx="224">
                  <c:v>0.52721853481298087</c:v>
                </c:pt>
                <c:pt idx="225">
                  <c:v>0.28063236753363402</c:v>
                </c:pt>
                <c:pt idx="226">
                  <c:v>0.3919576042411913</c:v>
                </c:pt>
                <c:pt idx="227">
                  <c:v>0.32343546983099247</c:v>
                </c:pt>
                <c:pt idx="228">
                  <c:v>0.26046716747133708</c:v>
                </c:pt>
                <c:pt idx="229">
                  <c:v>0.46340216940035434</c:v>
                </c:pt>
                <c:pt idx="230">
                  <c:v>0.24510527968283211</c:v>
                </c:pt>
                <c:pt idx="231">
                  <c:v>0.31009269819841034</c:v>
                </c:pt>
                <c:pt idx="232">
                  <c:v>0.15545415936640883</c:v>
                </c:pt>
                <c:pt idx="233">
                  <c:v>0.1524209967876908</c:v>
                </c:pt>
                <c:pt idx="234">
                  <c:v>0.63637642461005062</c:v>
                </c:pt>
                <c:pt idx="235">
                  <c:v>0.26412363379155557</c:v>
                </c:pt>
                <c:pt idx="236">
                  <c:v>0.25626849044066408</c:v>
                </c:pt>
                <c:pt idx="237">
                  <c:v>0.42654779773375845</c:v>
                </c:pt>
                <c:pt idx="238">
                  <c:v>0.42654779773375845</c:v>
                </c:pt>
                <c:pt idx="239">
                  <c:v>0.36761529251908587</c:v>
                </c:pt>
                <c:pt idx="240">
                  <c:v>0.58664185501352817</c:v>
                </c:pt>
                <c:pt idx="241">
                  <c:v>0.58664185501352817</c:v>
                </c:pt>
                <c:pt idx="242">
                  <c:v>0.23358431219262069</c:v>
                </c:pt>
                <c:pt idx="243">
                  <c:v>0.21569264612089226</c:v>
                </c:pt>
                <c:pt idx="244">
                  <c:v>0.28178909662532947</c:v>
                </c:pt>
                <c:pt idx="245">
                  <c:v>0.26026781432014601</c:v>
                </c:pt>
                <c:pt idx="246">
                  <c:v>0.76082062123771499</c:v>
                </c:pt>
                <c:pt idx="247">
                  <c:v>0.22009453685805336</c:v>
                </c:pt>
                <c:pt idx="248">
                  <c:v>0.29694841934418703</c:v>
                </c:pt>
                <c:pt idx="249">
                  <c:v>0.27428480749202888</c:v>
                </c:pt>
                <c:pt idx="250">
                  <c:v>0.36381892116777004</c:v>
                </c:pt>
                <c:pt idx="251">
                  <c:v>0.2246024972515315</c:v>
                </c:pt>
                <c:pt idx="252">
                  <c:v>0.2515463178967195</c:v>
                </c:pt>
                <c:pt idx="253">
                  <c:v>0.81859257262748242</c:v>
                </c:pt>
                <c:pt idx="254">
                  <c:v>0.28442986301656115</c:v>
                </c:pt>
                <c:pt idx="255">
                  <c:v>0.33829591011645954</c:v>
                </c:pt>
                <c:pt idx="256">
                  <c:v>0.33829591011645954</c:v>
                </c:pt>
                <c:pt idx="257">
                  <c:v>0.46219852740191181</c:v>
                </c:pt>
                <c:pt idx="258">
                  <c:v>0.4258971126904863</c:v>
                </c:pt>
                <c:pt idx="259">
                  <c:v>0.28495175267347228</c:v>
                </c:pt>
                <c:pt idx="260">
                  <c:v>0.4493596794185255</c:v>
                </c:pt>
                <c:pt idx="261">
                  <c:v>0.22498974293644797</c:v>
                </c:pt>
                <c:pt idx="262">
                  <c:v>0.41993645243552979</c:v>
                </c:pt>
                <c:pt idx="263">
                  <c:v>0.33027936437261635</c:v>
                </c:pt>
                <c:pt idx="264">
                  <c:v>0.67009505378349488</c:v>
                </c:pt>
                <c:pt idx="265">
                  <c:v>0.19608422374626566</c:v>
                </c:pt>
                <c:pt idx="266">
                  <c:v>0.1255974259244326</c:v>
                </c:pt>
                <c:pt idx="267">
                  <c:v>0.12507949839484728</c:v>
                </c:pt>
                <c:pt idx="268">
                  <c:v>0.12507949839484728</c:v>
                </c:pt>
                <c:pt idx="269">
                  <c:v>0.27486496496821661</c:v>
                </c:pt>
                <c:pt idx="270">
                  <c:v>0.30749978062399108</c:v>
                </c:pt>
                <c:pt idx="271">
                  <c:v>0.2426542268860038</c:v>
                </c:pt>
              </c:numCache>
            </c:numRef>
          </c:xVal>
          <c:yVal>
            <c:numRef>
              <c:f>'Task 1 Converted AMI PDF Stats'!$AF$5:$AF$279</c:f>
              <c:numCache>
                <c:formatCode>0.000</c:formatCode>
                <c:ptCount val="275"/>
                <c:pt idx="0">
                  <c:v>0.77377924152646393</c:v>
                </c:pt>
                <c:pt idx="2">
                  <c:v>1.1228903734821429</c:v>
                </c:pt>
                <c:pt idx="3">
                  <c:v>1.3932922832728796</c:v>
                </c:pt>
                <c:pt idx="4">
                  <c:v>0.86999505684626788</c:v>
                </c:pt>
                <c:pt idx="6">
                  <c:v>1.3287770314485183</c:v>
                </c:pt>
                <c:pt idx="7">
                  <c:v>1.3894350580965908</c:v>
                </c:pt>
                <c:pt idx="8">
                  <c:v>0.16049382716049382</c:v>
                </c:pt>
                <c:pt idx="9">
                  <c:v>0.76165462902166781</c:v>
                </c:pt>
                <c:pt idx="10">
                  <c:v>0.61875000000000002</c:v>
                </c:pt>
                <c:pt idx="11">
                  <c:v>0.61875000000000002</c:v>
                </c:pt>
                <c:pt idx="12">
                  <c:v>0.62319999999999998</c:v>
                </c:pt>
                <c:pt idx="13">
                  <c:v>0.55500000000000005</c:v>
                </c:pt>
                <c:pt idx="14">
                  <c:v>0.68413793103448273</c:v>
                </c:pt>
                <c:pt idx="15">
                  <c:v>0.93127962085308058</c:v>
                </c:pt>
                <c:pt idx="16">
                  <c:v>1.675</c:v>
                </c:pt>
                <c:pt idx="17">
                  <c:v>0.91363636363636369</c:v>
                </c:pt>
                <c:pt idx="18">
                  <c:v>0.81083333333333329</c:v>
                </c:pt>
                <c:pt idx="19">
                  <c:v>0.67082388510959945</c:v>
                </c:pt>
                <c:pt idx="20">
                  <c:v>1.1757777777777778</c:v>
                </c:pt>
                <c:pt idx="21">
                  <c:v>0.91266666666666663</c:v>
                </c:pt>
                <c:pt idx="22">
                  <c:v>0.90625</c:v>
                </c:pt>
                <c:pt idx="23">
                  <c:v>0.75073313782991202</c:v>
                </c:pt>
                <c:pt idx="24">
                  <c:v>0.94814814814814818</c:v>
                </c:pt>
                <c:pt idx="25">
                  <c:v>0.8783333333333333</c:v>
                </c:pt>
                <c:pt idx="26">
                  <c:v>0.95327102803738317</c:v>
                </c:pt>
                <c:pt idx="27">
                  <c:v>0.53440553745928343</c:v>
                </c:pt>
                <c:pt idx="28">
                  <c:v>0.71106283422459893</c:v>
                </c:pt>
                <c:pt idx="29">
                  <c:v>0.66500000000000004</c:v>
                </c:pt>
                <c:pt idx="30">
                  <c:v>0.66500000000000004</c:v>
                </c:pt>
                <c:pt idx="31">
                  <c:v>0.66500000000000004</c:v>
                </c:pt>
                <c:pt idx="32">
                  <c:v>0.59791666666666665</c:v>
                </c:pt>
                <c:pt idx="33">
                  <c:v>0.59791666666666665</c:v>
                </c:pt>
                <c:pt idx="34">
                  <c:v>0.59791666666666665</c:v>
                </c:pt>
                <c:pt idx="35">
                  <c:v>0.89408099688473519</c:v>
                </c:pt>
                <c:pt idx="36">
                  <c:v>0.85833333333333328</c:v>
                </c:pt>
                <c:pt idx="37">
                  <c:v>0.61250000000000004</c:v>
                </c:pt>
                <c:pt idx="38">
                  <c:v>0.91588785046728971</c:v>
                </c:pt>
                <c:pt idx="39">
                  <c:v>1.2366666666666666</c:v>
                </c:pt>
                <c:pt idx="40">
                  <c:v>0.96448598130841123</c:v>
                </c:pt>
                <c:pt idx="41">
                  <c:v>2.4827586206896552</c:v>
                </c:pt>
                <c:pt idx="42">
                  <c:v>0.90196078431372551</c:v>
                </c:pt>
                <c:pt idx="43">
                  <c:v>0.86755555555555552</c:v>
                </c:pt>
                <c:pt idx="44">
                  <c:v>0.73684210526315785</c:v>
                </c:pt>
                <c:pt idx="45">
                  <c:v>0.66390070921985811</c:v>
                </c:pt>
                <c:pt idx="46">
                  <c:v>0.65175953079178883</c:v>
                </c:pt>
                <c:pt idx="47">
                  <c:v>0.77562500000000001</c:v>
                </c:pt>
                <c:pt idx="48">
                  <c:v>0.75</c:v>
                </c:pt>
                <c:pt idx="49">
                  <c:v>0.76649560117302051</c:v>
                </c:pt>
                <c:pt idx="50">
                  <c:v>0.7595307917888563</c:v>
                </c:pt>
                <c:pt idx="51">
                  <c:v>0.76246334310850439</c:v>
                </c:pt>
                <c:pt idx="52">
                  <c:v>0.68611111111111112</c:v>
                </c:pt>
                <c:pt idx="53">
                  <c:v>1.1099252934898614</c:v>
                </c:pt>
                <c:pt idx="54">
                  <c:v>1.1099252934898614</c:v>
                </c:pt>
                <c:pt idx="55">
                  <c:v>0.6908928571428572</c:v>
                </c:pt>
                <c:pt idx="56">
                  <c:v>0.63051654002609558</c:v>
                </c:pt>
                <c:pt idx="57">
                  <c:v>0.63051654002609558</c:v>
                </c:pt>
                <c:pt idx="58">
                  <c:v>0.79500000000000004</c:v>
                </c:pt>
                <c:pt idx="59">
                  <c:v>0.79500000000000004</c:v>
                </c:pt>
                <c:pt idx="60">
                  <c:v>0.84866666666666668</c:v>
                </c:pt>
                <c:pt idx="61">
                  <c:v>0.63809523809523805</c:v>
                </c:pt>
                <c:pt idx="62">
                  <c:v>0.78592375366568912</c:v>
                </c:pt>
                <c:pt idx="63">
                  <c:v>1.182899022801303</c:v>
                </c:pt>
                <c:pt idx="64">
                  <c:v>0.48130434782608694</c:v>
                </c:pt>
                <c:pt idx="65">
                  <c:v>0.85499999999999998</c:v>
                </c:pt>
                <c:pt idx="66">
                  <c:v>0.8671875</c:v>
                </c:pt>
                <c:pt idx="67">
                  <c:v>0.83978013029315957</c:v>
                </c:pt>
                <c:pt idx="68">
                  <c:v>0.78964843750000002</c:v>
                </c:pt>
                <c:pt idx="69">
                  <c:v>1.0183111111111112</c:v>
                </c:pt>
                <c:pt idx="70">
                  <c:v>0.80729166666666663</c:v>
                </c:pt>
                <c:pt idx="71">
                  <c:v>1.267100977198697</c:v>
                </c:pt>
                <c:pt idx="72">
                  <c:v>1.1848484848484848</c:v>
                </c:pt>
                <c:pt idx="73">
                  <c:v>2.9889999999999999</c:v>
                </c:pt>
                <c:pt idx="74">
                  <c:v>1.3624000000000001</c:v>
                </c:pt>
                <c:pt idx="75">
                  <c:v>0.99813333333333332</c:v>
                </c:pt>
                <c:pt idx="76">
                  <c:v>0.81149946638207049</c:v>
                </c:pt>
                <c:pt idx="77">
                  <c:v>0.8731323372465315</c:v>
                </c:pt>
                <c:pt idx="78">
                  <c:v>0.89683470105509966</c:v>
                </c:pt>
                <c:pt idx="79">
                  <c:v>1.7</c:v>
                </c:pt>
                <c:pt idx="80">
                  <c:v>0.92316384180790956</c:v>
                </c:pt>
                <c:pt idx="81">
                  <c:v>1.1466666666666667</c:v>
                </c:pt>
                <c:pt idx="82">
                  <c:v>0.91733333333333333</c:v>
                </c:pt>
                <c:pt idx="83">
                  <c:v>1.0882275132275132</c:v>
                </c:pt>
                <c:pt idx="84">
                  <c:v>0.93604519774011297</c:v>
                </c:pt>
                <c:pt idx="85">
                  <c:v>1.1052268017499425</c:v>
                </c:pt>
                <c:pt idx="86">
                  <c:v>1.0550996483001172</c:v>
                </c:pt>
                <c:pt idx="87">
                  <c:v>3.3460000000000001</c:v>
                </c:pt>
                <c:pt idx="88">
                  <c:v>3.3460000000000001</c:v>
                </c:pt>
                <c:pt idx="89">
                  <c:v>3.3460000000000001</c:v>
                </c:pt>
                <c:pt idx="90">
                  <c:v>0.91132530120481925</c:v>
                </c:pt>
                <c:pt idx="91">
                  <c:v>1.0291999999999999</c:v>
                </c:pt>
                <c:pt idx="92">
                  <c:v>1.3822751322751323</c:v>
                </c:pt>
                <c:pt idx="94">
                  <c:v>1.0551724137931036</c:v>
                </c:pt>
                <c:pt idx="95">
                  <c:v>0.96328928046989726</c:v>
                </c:pt>
                <c:pt idx="96">
                  <c:v>0.91588785046728971</c:v>
                </c:pt>
                <c:pt idx="97">
                  <c:v>0.73058823529411765</c:v>
                </c:pt>
                <c:pt idx="98">
                  <c:v>0.8393518518518519</c:v>
                </c:pt>
                <c:pt idx="99">
                  <c:v>0.99067909454061254</c:v>
                </c:pt>
                <c:pt idx="100">
                  <c:v>1.1504660452729694</c:v>
                </c:pt>
                <c:pt idx="101">
                  <c:v>0.87976539589442815</c:v>
                </c:pt>
                <c:pt idx="102">
                  <c:v>0.79947916666666663</c:v>
                </c:pt>
                <c:pt idx="103">
                  <c:v>2.9889999999999999</c:v>
                </c:pt>
                <c:pt idx="104">
                  <c:v>0.89943502824858756</c:v>
                </c:pt>
                <c:pt idx="105">
                  <c:v>0.96</c:v>
                </c:pt>
                <c:pt idx="106">
                  <c:v>1.0505050505050506</c:v>
                </c:pt>
                <c:pt idx="107">
                  <c:v>0.93333333333333335</c:v>
                </c:pt>
                <c:pt idx="111">
                  <c:v>0.53181818181818186</c:v>
                </c:pt>
                <c:pt idx="112">
                  <c:v>0.53181818181818186</c:v>
                </c:pt>
                <c:pt idx="113">
                  <c:v>0.42714285714285716</c:v>
                </c:pt>
                <c:pt idx="114">
                  <c:v>0.44626865671641791</c:v>
                </c:pt>
                <c:pt idx="115">
                  <c:v>0.91384615384615386</c:v>
                </c:pt>
                <c:pt idx="117">
                  <c:v>0.45916666666666667</c:v>
                </c:pt>
                <c:pt idx="118">
                  <c:v>0.57111597374179435</c:v>
                </c:pt>
                <c:pt idx="119">
                  <c:v>1.3834771886559802</c:v>
                </c:pt>
                <c:pt idx="120">
                  <c:v>0.65645514223194745</c:v>
                </c:pt>
                <c:pt idx="121">
                  <c:v>0.94874999999999998</c:v>
                </c:pt>
                <c:pt idx="122">
                  <c:v>0.92125000000000001</c:v>
                </c:pt>
                <c:pt idx="123">
                  <c:v>0.97750000000000004</c:v>
                </c:pt>
                <c:pt idx="125">
                  <c:v>0.51851851851851849</c:v>
                </c:pt>
                <c:pt idx="126">
                  <c:v>0.69548872180451127</c:v>
                </c:pt>
                <c:pt idx="127">
                  <c:v>0.57954545454545459</c:v>
                </c:pt>
                <c:pt idx="128">
                  <c:v>0.70516934046345814</c:v>
                </c:pt>
                <c:pt idx="129">
                  <c:v>0.87293233082706767</c:v>
                </c:pt>
                <c:pt idx="130">
                  <c:v>0.96899224806201545</c:v>
                </c:pt>
                <c:pt idx="131">
                  <c:v>1.5315384615384615</c:v>
                </c:pt>
                <c:pt idx="132">
                  <c:v>0.84888059701492535</c:v>
                </c:pt>
                <c:pt idx="133">
                  <c:v>0.6552</c:v>
                </c:pt>
                <c:pt idx="134">
                  <c:v>0.92</c:v>
                </c:pt>
                <c:pt idx="135">
                  <c:v>0.6862470862470863</c:v>
                </c:pt>
                <c:pt idx="136">
                  <c:v>0.91009174311926611</c:v>
                </c:pt>
                <c:pt idx="138">
                  <c:v>2.1083333333333334</c:v>
                </c:pt>
                <c:pt idx="139">
                  <c:v>0.66054054054054057</c:v>
                </c:pt>
                <c:pt idx="140">
                  <c:v>1.3623188405797102</c:v>
                </c:pt>
                <c:pt idx="141">
                  <c:v>0.83700440528634357</c:v>
                </c:pt>
                <c:pt idx="142">
                  <c:v>0.57785888077858882</c:v>
                </c:pt>
                <c:pt idx="143">
                  <c:v>0.73888888888888893</c:v>
                </c:pt>
                <c:pt idx="144">
                  <c:v>0.74057142857142855</c:v>
                </c:pt>
                <c:pt idx="145">
                  <c:v>1.0418604651162791</c:v>
                </c:pt>
                <c:pt idx="146">
                  <c:v>0.34560000000000002</c:v>
                </c:pt>
                <c:pt idx="147">
                  <c:v>0.9468599033816425</c:v>
                </c:pt>
                <c:pt idx="148">
                  <c:v>0.84409991386735572</c:v>
                </c:pt>
                <c:pt idx="149">
                  <c:v>0.62820512820512819</c:v>
                </c:pt>
                <c:pt idx="150">
                  <c:v>1.03125</c:v>
                </c:pt>
                <c:pt idx="151">
                  <c:v>1.9841269841269842</c:v>
                </c:pt>
                <c:pt idx="152">
                  <c:v>0.81481481481481477</c:v>
                </c:pt>
                <c:pt idx="153">
                  <c:v>1.0353383458646617</c:v>
                </c:pt>
                <c:pt idx="154">
                  <c:v>0.71691176470588236</c:v>
                </c:pt>
                <c:pt idx="155">
                  <c:v>1.6227272727272728</c:v>
                </c:pt>
                <c:pt idx="156">
                  <c:v>1.4971751412429379</c:v>
                </c:pt>
                <c:pt idx="157">
                  <c:v>0.66</c:v>
                </c:pt>
                <c:pt idx="158">
                  <c:v>0.88</c:v>
                </c:pt>
                <c:pt idx="159">
                  <c:v>0.94745908699397074</c:v>
                </c:pt>
                <c:pt idx="160">
                  <c:v>0.60254491017964074</c:v>
                </c:pt>
                <c:pt idx="161">
                  <c:v>1.3218390804597702</c:v>
                </c:pt>
                <c:pt idx="162">
                  <c:v>0.61333333333333329</c:v>
                </c:pt>
                <c:pt idx="163">
                  <c:v>0.54041353383458646</c:v>
                </c:pt>
                <c:pt idx="164">
                  <c:v>0.77403846153846156</c:v>
                </c:pt>
                <c:pt idx="165">
                  <c:v>0.81176470588235294</c:v>
                </c:pt>
                <c:pt idx="166">
                  <c:v>0.80695652173913046</c:v>
                </c:pt>
                <c:pt idx="167">
                  <c:v>0.65842916564717402</c:v>
                </c:pt>
                <c:pt idx="168">
                  <c:v>0.55533333333333335</c:v>
                </c:pt>
                <c:pt idx="169">
                  <c:v>0.76363636363636367</c:v>
                </c:pt>
                <c:pt idx="170">
                  <c:v>0.50769230769230766</c:v>
                </c:pt>
                <c:pt idx="171">
                  <c:v>0.69333333333333336</c:v>
                </c:pt>
                <c:pt idx="172">
                  <c:v>1.8827586206896552</c:v>
                </c:pt>
                <c:pt idx="173">
                  <c:v>0.77556818181818177</c:v>
                </c:pt>
                <c:pt idx="174">
                  <c:v>0.76098765432098769</c:v>
                </c:pt>
                <c:pt idx="175">
                  <c:v>0.6</c:v>
                </c:pt>
                <c:pt idx="176">
                  <c:v>0.73599999999999999</c:v>
                </c:pt>
                <c:pt idx="177">
                  <c:v>0.43082524271844658</c:v>
                </c:pt>
                <c:pt idx="178">
                  <c:v>1.1697341513292434</c:v>
                </c:pt>
                <c:pt idx="179">
                  <c:v>0.53166666666666662</c:v>
                </c:pt>
                <c:pt idx="180">
                  <c:v>0.76649999999999996</c:v>
                </c:pt>
                <c:pt idx="181">
                  <c:v>0.89383640552995391</c:v>
                </c:pt>
                <c:pt idx="182">
                  <c:v>1.1839999999999999</c:v>
                </c:pt>
                <c:pt idx="183">
                  <c:v>0.72413793103448276</c:v>
                </c:pt>
                <c:pt idx="184">
                  <c:v>4.4285714285714288</c:v>
                </c:pt>
                <c:pt idx="185">
                  <c:v>0.90190000000000003</c:v>
                </c:pt>
                <c:pt idx="186">
                  <c:v>1.1489361702127661</c:v>
                </c:pt>
                <c:pt idx="187">
                  <c:v>0.73636363636363633</c:v>
                </c:pt>
                <c:pt idx="188">
                  <c:v>0.67500000000000004</c:v>
                </c:pt>
                <c:pt idx="189">
                  <c:v>0.78001921229586935</c:v>
                </c:pt>
                <c:pt idx="190">
                  <c:v>0.65175718849840258</c:v>
                </c:pt>
                <c:pt idx="191">
                  <c:v>0.72121212121212119</c:v>
                </c:pt>
                <c:pt idx="192">
                  <c:v>0.38958333333333334</c:v>
                </c:pt>
                <c:pt idx="193">
                  <c:v>0.875</c:v>
                </c:pt>
                <c:pt idx="194">
                  <c:v>0.82499999999999996</c:v>
                </c:pt>
                <c:pt idx="195">
                  <c:v>0.6918449197860963</c:v>
                </c:pt>
                <c:pt idx="196">
                  <c:v>1.0049061072576553</c:v>
                </c:pt>
                <c:pt idx="197">
                  <c:v>0.82499999999999996</c:v>
                </c:pt>
                <c:pt idx="198">
                  <c:v>1.1242236024844721</c:v>
                </c:pt>
                <c:pt idx="199">
                  <c:v>1.703187250996016</c:v>
                </c:pt>
                <c:pt idx="200">
                  <c:v>1.0303687635574836</c:v>
                </c:pt>
                <c:pt idx="201">
                  <c:v>1.1565217391304348</c:v>
                </c:pt>
                <c:pt idx="202">
                  <c:v>1.4181818181818182</c:v>
                </c:pt>
                <c:pt idx="203">
                  <c:v>0.92368421052631577</c:v>
                </c:pt>
                <c:pt idx="204">
                  <c:v>0.95188284518828448</c:v>
                </c:pt>
                <c:pt idx="205">
                  <c:v>1.2596273291925466</c:v>
                </c:pt>
                <c:pt idx="206">
                  <c:v>0.83116883116883122</c:v>
                </c:pt>
                <c:pt idx="207">
                  <c:v>1.0567514677103718</c:v>
                </c:pt>
                <c:pt idx="208">
                  <c:v>1.462608695652174</c:v>
                </c:pt>
                <c:pt idx="209">
                  <c:v>0.70838881491344874</c:v>
                </c:pt>
                <c:pt idx="210">
                  <c:v>0.94029850746268662</c:v>
                </c:pt>
                <c:pt idx="211">
                  <c:v>0.96250000000000002</c:v>
                </c:pt>
                <c:pt idx="212">
                  <c:v>0.92375366568914952</c:v>
                </c:pt>
                <c:pt idx="213">
                  <c:v>0.56170729933992347</c:v>
                </c:pt>
                <c:pt idx="214">
                  <c:v>1.0900000000000001</c:v>
                </c:pt>
                <c:pt idx="215">
                  <c:v>0.66786290187500008</c:v>
                </c:pt>
                <c:pt idx="216">
                  <c:v>1.8988505747126436</c:v>
                </c:pt>
                <c:pt idx="217">
                  <c:v>0.91527389629365086</c:v>
                </c:pt>
                <c:pt idx="218">
                  <c:v>1.1970684039087949</c:v>
                </c:pt>
                <c:pt idx="220">
                  <c:v>0.95833333333333337</c:v>
                </c:pt>
                <c:pt idx="221">
                  <c:v>1.0869565217391304</c:v>
                </c:pt>
                <c:pt idx="222">
                  <c:v>0.76649560117302051</c:v>
                </c:pt>
                <c:pt idx="223">
                  <c:v>0.83165783220617806</c:v>
                </c:pt>
                <c:pt idx="224">
                  <c:v>1.1436950146627567</c:v>
                </c:pt>
                <c:pt idx="226">
                  <c:v>1.1789655172413793</c:v>
                </c:pt>
                <c:pt idx="227">
                  <c:v>1.0676569220481835</c:v>
                </c:pt>
                <c:pt idx="228">
                  <c:v>0.87096774193548387</c:v>
                </c:pt>
                <c:pt idx="229">
                  <c:v>1.8944444444444444</c:v>
                </c:pt>
                <c:pt idx="230">
                  <c:v>1.56</c:v>
                </c:pt>
                <c:pt idx="231">
                  <c:v>1.7485714285714287</c:v>
                </c:pt>
                <c:pt idx="232">
                  <c:v>1.276</c:v>
                </c:pt>
                <c:pt idx="233">
                  <c:v>2.2706422018348622</c:v>
                </c:pt>
                <c:pt idx="234">
                  <c:v>0.87238805970149258</c:v>
                </c:pt>
                <c:pt idx="235">
                  <c:v>1.5059523809523809</c:v>
                </c:pt>
                <c:pt idx="236">
                  <c:v>1.3636363636363635</c:v>
                </c:pt>
                <c:pt idx="237">
                  <c:v>2.859375</c:v>
                </c:pt>
                <c:pt idx="238">
                  <c:v>2.859375</c:v>
                </c:pt>
                <c:pt idx="239">
                  <c:v>0.95108695652173914</c:v>
                </c:pt>
                <c:pt idx="240">
                  <c:v>0.71104690221920286</c:v>
                </c:pt>
                <c:pt idx="241">
                  <c:v>0.70224119530416218</c:v>
                </c:pt>
                <c:pt idx="242">
                  <c:v>1.8036866359447006</c:v>
                </c:pt>
                <c:pt idx="243">
                  <c:v>1.6594827586206897</c:v>
                </c:pt>
                <c:pt idx="244">
                  <c:v>1.09375</c:v>
                </c:pt>
                <c:pt idx="245">
                  <c:v>1.2406639004149378</c:v>
                </c:pt>
                <c:pt idx="246">
                  <c:v>1.0484503954081634</c:v>
                </c:pt>
                <c:pt idx="247">
                  <c:v>1.3071895424836601</c:v>
                </c:pt>
                <c:pt idx="248">
                  <c:v>1.2433749999999999</c:v>
                </c:pt>
                <c:pt idx="249">
                  <c:v>2.1383219954648527</c:v>
                </c:pt>
                <c:pt idx="250">
                  <c:v>1.3383050847457627</c:v>
                </c:pt>
                <c:pt idx="251">
                  <c:v>1.1211031175059951</c:v>
                </c:pt>
                <c:pt idx="252">
                  <c:v>2.2477272727272726</c:v>
                </c:pt>
                <c:pt idx="253">
                  <c:v>1.0693710132980772</c:v>
                </c:pt>
                <c:pt idx="254">
                  <c:v>1.3380000000000001</c:v>
                </c:pt>
                <c:pt idx="255">
                  <c:v>1.363728813559322</c:v>
                </c:pt>
                <c:pt idx="256">
                  <c:v>1.363728813559322</c:v>
                </c:pt>
                <c:pt idx="257">
                  <c:v>2.2062428501389117</c:v>
                </c:pt>
                <c:pt idx="258">
                  <c:v>2.0580474934036941</c:v>
                </c:pt>
                <c:pt idx="259">
                  <c:v>1.425</c:v>
                </c:pt>
                <c:pt idx="260">
                  <c:v>1.28</c:v>
                </c:pt>
                <c:pt idx="263">
                  <c:v>1.5590909090909091</c:v>
                </c:pt>
                <c:pt idx="264">
                  <c:v>0.81558468607454326</c:v>
                </c:pt>
                <c:pt idx="265">
                  <c:v>1.1690437222352117</c:v>
                </c:pt>
                <c:pt idx="266">
                  <c:v>4.416666666666667</c:v>
                </c:pt>
                <c:pt idx="267">
                  <c:v>4.0875000000000004</c:v>
                </c:pt>
                <c:pt idx="268">
                  <c:v>4.125</c:v>
                </c:pt>
                <c:pt idx="269">
                  <c:v>1.4478260869565218</c:v>
                </c:pt>
                <c:pt idx="270">
                  <c:v>1.3875</c:v>
                </c:pt>
                <c:pt idx="271">
                  <c:v>1.3919999999999999</c:v>
                </c:pt>
              </c:numCache>
            </c:numRef>
          </c:yVal>
          <c:smooth val="1"/>
          <c:extLst>
            <c:ext xmlns:c16="http://schemas.microsoft.com/office/drawing/2014/chart" uri="{C3380CC4-5D6E-409C-BE32-E72D297353CC}">
              <c16:uniqueId val="{00000000-02D4-45DE-A4AF-3A0EB9799D5B}"/>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67271653495261974"/>
                  <c:y val="-0.60020287346097312"/>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Stats'!$AD$5:$AD$12</c:f>
              <c:numCache>
                <c:formatCode>0.000</c:formatCode>
                <c:ptCount val="8"/>
                <c:pt idx="0">
                  <c:v>0.78177756274741084</c:v>
                </c:pt>
                <c:pt idx="1">
                  <c:v>0.55217317406948419</c:v>
                </c:pt>
                <c:pt idx="2">
                  <c:v>0.65190687820120419</c:v>
                </c:pt>
                <c:pt idx="3">
                  <c:v>0.42570916997544528</c:v>
                </c:pt>
                <c:pt idx="4">
                  <c:v>0.47931699137976047</c:v>
                </c:pt>
                <c:pt idx="5">
                  <c:v>0.62285576954696142</c:v>
                </c:pt>
                <c:pt idx="6">
                  <c:v>0.44366573827520861</c:v>
                </c:pt>
                <c:pt idx="7">
                  <c:v>0.52929385316124389</c:v>
                </c:pt>
              </c:numCache>
            </c:numRef>
          </c:xVal>
          <c:yVal>
            <c:numRef>
              <c:f>'Task 1 Converted AMI PDF Stats'!$AF$5:$AF$12</c:f>
              <c:numCache>
                <c:formatCode>0.000</c:formatCode>
                <c:ptCount val="8"/>
                <c:pt idx="0">
                  <c:v>0.77377924152646393</c:v>
                </c:pt>
                <c:pt idx="2">
                  <c:v>1.1228903734821429</c:v>
                </c:pt>
                <c:pt idx="3">
                  <c:v>1.3932922832728796</c:v>
                </c:pt>
                <c:pt idx="4">
                  <c:v>0.86999505684626788</c:v>
                </c:pt>
                <c:pt idx="6">
                  <c:v>1.3287770314485183</c:v>
                </c:pt>
                <c:pt idx="7">
                  <c:v>1.3894350580965908</c:v>
                </c:pt>
              </c:numCache>
            </c:numRef>
          </c:yVal>
          <c:smooth val="1"/>
          <c:extLst>
            <c:ext xmlns:c16="http://schemas.microsoft.com/office/drawing/2014/chart" uri="{C3380CC4-5D6E-409C-BE32-E72D297353CC}">
              <c16:uniqueId val="{00000001-02D4-45DE-A4AF-3A0EB9799D5B}"/>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320944160309738"/>
                  <c:y val="-0.618123290463505"/>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Stats'!$AD$13:$AD$98</c:f>
              <c:numCache>
                <c:formatCode>0.000</c:formatCode>
                <c:ptCount val="86"/>
                <c:pt idx="0">
                  <c:v>2.6961580765111535</c:v>
                </c:pt>
                <c:pt idx="1">
                  <c:v>1.7255411689671378</c:v>
                </c:pt>
                <c:pt idx="2">
                  <c:v>1.4042489981828923</c:v>
                </c:pt>
                <c:pt idx="3">
                  <c:v>1.4042489981828923</c:v>
                </c:pt>
                <c:pt idx="4">
                  <c:v>1.5267655931302377</c:v>
                </c:pt>
                <c:pt idx="5">
                  <c:v>0.7582944590187618</c:v>
                </c:pt>
                <c:pt idx="6">
                  <c:v>0.90520192470407235</c:v>
                </c:pt>
                <c:pt idx="7">
                  <c:v>0.62539749197423644</c:v>
                </c:pt>
                <c:pt idx="8">
                  <c:v>0.62539749197423644</c:v>
                </c:pt>
                <c:pt idx="9">
                  <c:v>0.62539749197423644</c:v>
                </c:pt>
                <c:pt idx="10">
                  <c:v>0.54479070411977937</c:v>
                </c:pt>
                <c:pt idx="11">
                  <c:v>0.52659337431858477</c:v>
                </c:pt>
                <c:pt idx="12">
                  <c:v>1.1218967801652795</c:v>
                </c:pt>
                <c:pt idx="13">
                  <c:v>0.99757848830912677</c:v>
                </c:pt>
                <c:pt idx="14">
                  <c:v>0.55304120545021451</c:v>
                </c:pt>
                <c:pt idx="15">
                  <c:v>0.75640160831436187</c:v>
                </c:pt>
                <c:pt idx="16">
                  <c:v>0.65734901674938584</c:v>
                </c:pt>
                <c:pt idx="17">
                  <c:v>0.70217016572553337</c:v>
                </c:pt>
                <c:pt idx="18">
                  <c:v>1.5734063702982954</c:v>
                </c:pt>
                <c:pt idx="19">
                  <c:v>0.80668367741529012</c:v>
                </c:pt>
                <c:pt idx="20">
                  <c:v>0.36570964678830781</c:v>
                </c:pt>
                <c:pt idx="21">
                  <c:v>1.1190641992860408</c:v>
                </c:pt>
                <c:pt idx="22">
                  <c:v>1.1193371417736719</c:v>
                </c:pt>
                <c:pt idx="23">
                  <c:v>1.1190641992860408</c:v>
                </c:pt>
                <c:pt idx="24">
                  <c:v>0.85564602169071546</c:v>
                </c:pt>
                <c:pt idx="25">
                  <c:v>0.85564602169071546</c:v>
                </c:pt>
                <c:pt idx="26">
                  <c:v>0.85564602169071546</c:v>
                </c:pt>
                <c:pt idx="27">
                  <c:v>0.85564602169071546</c:v>
                </c:pt>
                <c:pt idx="28">
                  <c:v>0.74820213288547999</c:v>
                </c:pt>
                <c:pt idx="29">
                  <c:v>0.85564602169071546</c:v>
                </c:pt>
                <c:pt idx="30">
                  <c:v>0.85564602169071546</c:v>
                </c:pt>
                <c:pt idx="31">
                  <c:v>0.4645687762603834</c:v>
                </c:pt>
                <c:pt idx="32">
                  <c:v>0.94951653998871044</c:v>
                </c:pt>
                <c:pt idx="33">
                  <c:v>0.13765727579689699</c:v>
                </c:pt>
                <c:pt idx="34">
                  <c:v>0.73603260334114662</c:v>
                </c:pt>
                <c:pt idx="35">
                  <c:v>0.61489217602392443</c:v>
                </c:pt>
                <c:pt idx="36">
                  <c:v>0.86104848750855201</c:v>
                </c:pt>
                <c:pt idx="37">
                  <c:v>0.93681228597557598</c:v>
                </c:pt>
                <c:pt idx="38">
                  <c:v>0.7355887847942455</c:v>
                </c:pt>
                <c:pt idx="39">
                  <c:v>0.76424608455999654</c:v>
                </c:pt>
                <c:pt idx="40">
                  <c:v>0.95863398275952094</c:v>
                </c:pt>
                <c:pt idx="41">
                  <c:v>1.0094079569298995</c:v>
                </c:pt>
                <c:pt idx="42">
                  <c:v>0.96076902503738204</c:v>
                </c:pt>
                <c:pt idx="43">
                  <c:v>0.96076902503738204</c:v>
                </c:pt>
                <c:pt idx="44">
                  <c:v>0.8651671694404679</c:v>
                </c:pt>
                <c:pt idx="45">
                  <c:v>0.9608206834941253</c:v>
                </c:pt>
                <c:pt idx="46">
                  <c:v>0.96076902503738204</c:v>
                </c:pt>
                <c:pt idx="47">
                  <c:v>0.76424608455999654</c:v>
                </c:pt>
                <c:pt idx="48">
                  <c:v>0.55127827904834437</c:v>
                </c:pt>
                <c:pt idx="49">
                  <c:v>0.55126969884166677</c:v>
                </c:pt>
                <c:pt idx="50">
                  <c:v>0.74345124833158605</c:v>
                </c:pt>
                <c:pt idx="51">
                  <c:v>0.74345124833158605</c:v>
                </c:pt>
                <c:pt idx="52">
                  <c:v>0.86709404509623733</c:v>
                </c:pt>
                <c:pt idx="53">
                  <c:v>0.8033245665582579</c:v>
                </c:pt>
                <c:pt idx="54">
                  <c:v>0.95018786837397473</c:v>
                </c:pt>
                <c:pt idx="55">
                  <c:v>0.43775038703265706</c:v>
                </c:pt>
                <c:pt idx="56">
                  <c:v>0.90283699733371459</c:v>
                </c:pt>
                <c:pt idx="57">
                  <c:v>0.77554825945858652</c:v>
                </c:pt>
                <c:pt idx="58">
                  <c:v>0.74117277243850777</c:v>
                </c:pt>
                <c:pt idx="59">
                  <c:v>0.80669623299868276</c:v>
                </c:pt>
                <c:pt idx="60">
                  <c:v>0.83690947640274782</c:v>
                </c:pt>
                <c:pt idx="61">
                  <c:v>0.48778548946067518</c:v>
                </c:pt>
                <c:pt idx="62">
                  <c:v>0.53422843536643672</c:v>
                </c:pt>
                <c:pt idx="63">
                  <c:v>0.41764927174871552</c:v>
                </c:pt>
                <c:pt idx="64">
                  <c:v>0.74893279903087584</c:v>
                </c:pt>
                <c:pt idx="65">
                  <c:v>0.42654779773375845</c:v>
                </c:pt>
                <c:pt idx="66">
                  <c:v>0.3137010085579241</c:v>
                </c:pt>
                <c:pt idx="67">
                  <c:v>0.68664061066703796</c:v>
                </c:pt>
                <c:pt idx="68">
                  <c:v>0.71363934087654557</c:v>
                </c:pt>
                <c:pt idx="69">
                  <c:v>0.71363934087654557</c:v>
                </c:pt>
                <c:pt idx="70">
                  <c:v>0.62174748525951129</c:v>
                </c:pt>
                <c:pt idx="71">
                  <c:v>0.41764927174871552</c:v>
                </c:pt>
                <c:pt idx="72">
                  <c:v>0.69274951289717179</c:v>
                </c:pt>
                <c:pt idx="73">
                  <c:v>0.76082062123771499</c:v>
                </c:pt>
                <c:pt idx="74">
                  <c:v>0.44386911098833132</c:v>
                </c:pt>
                <c:pt idx="75">
                  <c:v>0.67357305579275206</c:v>
                </c:pt>
                <c:pt idx="76">
                  <c:v>0.67009505378349488</c:v>
                </c:pt>
                <c:pt idx="77">
                  <c:v>0.4760113569564518</c:v>
                </c:pt>
                <c:pt idx="78">
                  <c:v>0.40174540875166176</c:v>
                </c:pt>
                <c:pt idx="79">
                  <c:v>0.33659043502941793</c:v>
                </c:pt>
                <c:pt idx="80">
                  <c:v>0.33659043502941793</c:v>
                </c:pt>
                <c:pt idx="81">
                  <c:v>0.33659043502941793</c:v>
                </c:pt>
                <c:pt idx="82">
                  <c:v>0.41993645243552979</c:v>
                </c:pt>
                <c:pt idx="83">
                  <c:v>0.41993645243552979</c:v>
                </c:pt>
                <c:pt idx="84">
                  <c:v>0.62391863180802964</c:v>
                </c:pt>
                <c:pt idx="85">
                  <c:v>0.50270302200756334</c:v>
                </c:pt>
              </c:numCache>
            </c:numRef>
          </c:xVal>
          <c:yVal>
            <c:numRef>
              <c:f>'Task 1 Converted AMI PDF Stats'!$AF$13:$AF$98</c:f>
              <c:numCache>
                <c:formatCode>0.000</c:formatCode>
                <c:ptCount val="86"/>
                <c:pt idx="0">
                  <c:v>0.16049382716049382</c:v>
                </c:pt>
                <c:pt idx="1">
                  <c:v>0.76165462902166781</c:v>
                </c:pt>
                <c:pt idx="2">
                  <c:v>0.61875000000000002</c:v>
                </c:pt>
                <c:pt idx="3">
                  <c:v>0.61875000000000002</c:v>
                </c:pt>
                <c:pt idx="4">
                  <c:v>0.62319999999999998</c:v>
                </c:pt>
                <c:pt idx="5">
                  <c:v>0.55500000000000005</c:v>
                </c:pt>
                <c:pt idx="6">
                  <c:v>0.68413793103448273</c:v>
                </c:pt>
                <c:pt idx="7">
                  <c:v>0.93127962085308058</c:v>
                </c:pt>
                <c:pt idx="8">
                  <c:v>1.675</c:v>
                </c:pt>
                <c:pt idx="9">
                  <c:v>0.91363636363636369</c:v>
                </c:pt>
                <c:pt idx="10">
                  <c:v>0.81083333333333329</c:v>
                </c:pt>
                <c:pt idx="11">
                  <c:v>0.67082388510959945</c:v>
                </c:pt>
                <c:pt idx="12">
                  <c:v>1.1757777777777778</c:v>
                </c:pt>
                <c:pt idx="13">
                  <c:v>0.91266666666666663</c:v>
                </c:pt>
                <c:pt idx="14">
                  <c:v>0.90625</c:v>
                </c:pt>
                <c:pt idx="15">
                  <c:v>0.75073313782991202</c:v>
                </c:pt>
                <c:pt idx="16">
                  <c:v>0.94814814814814818</c:v>
                </c:pt>
                <c:pt idx="17">
                  <c:v>0.8783333333333333</c:v>
                </c:pt>
                <c:pt idx="18">
                  <c:v>0.95327102803738317</c:v>
                </c:pt>
                <c:pt idx="19">
                  <c:v>0.53440553745928343</c:v>
                </c:pt>
                <c:pt idx="20">
                  <c:v>0.71106283422459893</c:v>
                </c:pt>
                <c:pt idx="21">
                  <c:v>0.66500000000000004</c:v>
                </c:pt>
                <c:pt idx="22">
                  <c:v>0.66500000000000004</c:v>
                </c:pt>
                <c:pt idx="23">
                  <c:v>0.66500000000000004</c:v>
                </c:pt>
                <c:pt idx="24">
                  <c:v>0.59791666666666665</c:v>
                </c:pt>
                <c:pt idx="25">
                  <c:v>0.59791666666666665</c:v>
                </c:pt>
                <c:pt idx="26">
                  <c:v>0.59791666666666665</c:v>
                </c:pt>
                <c:pt idx="27">
                  <c:v>0.89408099688473519</c:v>
                </c:pt>
                <c:pt idx="28">
                  <c:v>0.85833333333333328</c:v>
                </c:pt>
                <c:pt idx="29">
                  <c:v>0.61250000000000004</c:v>
                </c:pt>
                <c:pt idx="30">
                  <c:v>0.91588785046728971</c:v>
                </c:pt>
                <c:pt idx="31">
                  <c:v>1.2366666666666666</c:v>
                </c:pt>
                <c:pt idx="32">
                  <c:v>0.96448598130841123</c:v>
                </c:pt>
                <c:pt idx="33">
                  <c:v>2.4827586206896552</c:v>
                </c:pt>
                <c:pt idx="34">
                  <c:v>0.90196078431372551</c:v>
                </c:pt>
                <c:pt idx="35">
                  <c:v>0.86755555555555552</c:v>
                </c:pt>
                <c:pt idx="36">
                  <c:v>0.73684210526315785</c:v>
                </c:pt>
                <c:pt idx="37">
                  <c:v>0.66390070921985811</c:v>
                </c:pt>
                <c:pt idx="38">
                  <c:v>0.65175953079178883</c:v>
                </c:pt>
                <c:pt idx="39">
                  <c:v>0.77562500000000001</c:v>
                </c:pt>
                <c:pt idx="40">
                  <c:v>0.75</c:v>
                </c:pt>
                <c:pt idx="41">
                  <c:v>0.76649560117302051</c:v>
                </c:pt>
                <c:pt idx="42">
                  <c:v>0.7595307917888563</c:v>
                </c:pt>
                <c:pt idx="43">
                  <c:v>0.76246334310850439</c:v>
                </c:pt>
                <c:pt idx="44">
                  <c:v>0.68611111111111112</c:v>
                </c:pt>
                <c:pt idx="45">
                  <c:v>1.1099252934898614</c:v>
                </c:pt>
                <c:pt idx="46">
                  <c:v>1.1099252934898614</c:v>
                </c:pt>
                <c:pt idx="47">
                  <c:v>0.6908928571428572</c:v>
                </c:pt>
                <c:pt idx="48">
                  <c:v>0.63051654002609558</c:v>
                </c:pt>
                <c:pt idx="49">
                  <c:v>0.63051654002609558</c:v>
                </c:pt>
                <c:pt idx="50">
                  <c:v>0.79500000000000004</c:v>
                </c:pt>
                <c:pt idx="51">
                  <c:v>0.79500000000000004</c:v>
                </c:pt>
                <c:pt idx="52">
                  <c:v>0.84866666666666668</c:v>
                </c:pt>
                <c:pt idx="53">
                  <c:v>0.63809523809523805</c:v>
                </c:pt>
                <c:pt idx="54">
                  <c:v>0.78592375366568912</c:v>
                </c:pt>
                <c:pt idx="55">
                  <c:v>1.182899022801303</c:v>
                </c:pt>
                <c:pt idx="56">
                  <c:v>0.48130434782608694</c:v>
                </c:pt>
                <c:pt idx="57">
                  <c:v>0.85499999999999998</c:v>
                </c:pt>
                <c:pt idx="58">
                  <c:v>0.8671875</c:v>
                </c:pt>
                <c:pt idx="59">
                  <c:v>0.83978013029315957</c:v>
                </c:pt>
                <c:pt idx="60">
                  <c:v>0.78964843750000002</c:v>
                </c:pt>
                <c:pt idx="61">
                  <c:v>1.0183111111111112</c:v>
                </c:pt>
                <c:pt idx="62">
                  <c:v>0.80729166666666663</c:v>
                </c:pt>
                <c:pt idx="63">
                  <c:v>1.267100977198697</c:v>
                </c:pt>
                <c:pt idx="64">
                  <c:v>1.1848484848484848</c:v>
                </c:pt>
                <c:pt idx="65">
                  <c:v>2.9889999999999999</c:v>
                </c:pt>
                <c:pt idx="66">
                  <c:v>1.3624000000000001</c:v>
                </c:pt>
                <c:pt idx="67">
                  <c:v>0.99813333333333332</c:v>
                </c:pt>
                <c:pt idx="68">
                  <c:v>0.81149946638207049</c:v>
                </c:pt>
                <c:pt idx="69">
                  <c:v>0.8731323372465315</c:v>
                </c:pt>
                <c:pt idx="70">
                  <c:v>0.89683470105509966</c:v>
                </c:pt>
                <c:pt idx="71">
                  <c:v>1.7</c:v>
                </c:pt>
                <c:pt idx="72">
                  <c:v>0.92316384180790956</c:v>
                </c:pt>
                <c:pt idx="73">
                  <c:v>1.1466666666666667</c:v>
                </c:pt>
                <c:pt idx="74">
                  <c:v>0.91733333333333333</c:v>
                </c:pt>
                <c:pt idx="75">
                  <c:v>1.0882275132275132</c:v>
                </c:pt>
                <c:pt idx="76">
                  <c:v>0.93604519774011297</c:v>
                </c:pt>
                <c:pt idx="77">
                  <c:v>1.1052268017499425</c:v>
                </c:pt>
                <c:pt idx="78">
                  <c:v>1.0550996483001172</c:v>
                </c:pt>
                <c:pt idx="79">
                  <c:v>3.3460000000000001</c:v>
                </c:pt>
                <c:pt idx="80">
                  <c:v>3.3460000000000001</c:v>
                </c:pt>
                <c:pt idx="81">
                  <c:v>3.3460000000000001</c:v>
                </c:pt>
                <c:pt idx="82">
                  <c:v>0.91132530120481925</c:v>
                </c:pt>
                <c:pt idx="83">
                  <c:v>1.0291999999999999</c:v>
                </c:pt>
                <c:pt idx="84">
                  <c:v>1.3822751322751323</c:v>
                </c:pt>
              </c:numCache>
            </c:numRef>
          </c:yVal>
          <c:smooth val="1"/>
          <c:extLst>
            <c:ext xmlns:c16="http://schemas.microsoft.com/office/drawing/2014/chart" uri="{C3380CC4-5D6E-409C-BE32-E72D297353CC}">
              <c16:uniqueId val="{00000002-02D4-45DE-A4AF-3A0EB9799D5B}"/>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61835655744540241"/>
                  <c:y val="-0.48160619097885277"/>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Stats'!$AD$99:$AD$112</c:f>
              <c:numCache>
                <c:formatCode>0.000</c:formatCode>
                <c:ptCount val="14"/>
                <c:pt idx="0">
                  <c:v>0.95470515496132613</c:v>
                </c:pt>
                <c:pt idx="1">
                  <c:v>0.71710801827205739</c:v>
                </c:pt>
                <c:pt idx="2">
                  <c:v>0.85564602169071546</c:v>
                </c:pt>
                <c:pt idx="3">
                  <c:v>1.014305799311334</c:v>
                </c:pt>
                <c:pt idx="4">
                  <c:v>0.95622808464864462</c:v>
                </c:pt>
                <c:pt idx="5">
                  <c:v>0.50552963934584116</c:v>
                </c:pt>
                <c:pt idx="6">
                  <c:v>0.54347753353295702</c:v>
                </c:pt>
                <c:pt idx="7">
                  <c:v>0.53923161530223052</c:v>
                </c:pt>
                <c:pt idx="8">
                  <c:v>0.82958710046497008</c:v>
                </c:pt>
                <c:pt idx="9">
                  <c:v>0.42654779773375845</c:v>
                </c:pt>
                <c:pt idx="10">
                  <c:v>0.74893279903087584</c:v>
                </c:pt>
                <c:pt idx="11">
                  <c:v>0.4760113569564518</c:v>
                </c:pt>
                <c:pt idx="12">
                  <c:v>0.42215074470144048</c:v>
                </c:pt>
                <c:pt idx="13">
                  <c:v>0.57672506355371389</c:v>
                </c:pt>
              </c:numCache>
            </c:numRef>
          </c:xVal>
          <c:yVal>
            <c:numRef>
              <c:f>'Task 1 Converted AMI PDF Stats'!$AF$99:$AF$112</c:f>
              <c:numCache>
                <c:formatCode>0.000</c:formatCode>
                <c:ptCount val="14"/>
                <c:pt idx="0">
                  <c:v>1.0551724137931036</c:v>
                </c:pt>
                <c:pt idx="1">
                  <c:v>0.96328928046989726</c:v>
                </c:pt>
                <c:pt idx="2">
                  <c:v>0.91588785046728971</c:v>
                </c:pt>
                <c:pt idx="3">
                  <c:v>0.73058823529411765</c:v>
                </c:pt>
                <c:pt idx="4">
                  <c:v>0.8393518518518519</c:v>
                </c:pt>
                <c:pt idx="5">
                  <c:v>0.99067909454061254</c:v>
                </c:pt>
                <c:pt idx="6">
                  <c:v>1.1504660452729694</c:v>
                </c:pt>
                <c:pt idx="7">
                  <c:v>0.87976539589442815</c:v>
                </c:pt>
                <c:pt idx="8">
                  <c:v>0.79947916666666663</c:v>
                </c:pt>
                <c:pt idx="9">
                  <c:v>2.9889999999999999</c:v>
                </c:pt>
                <c:pt idx="10">
                  <c:v>0.89943502824858756</c:v>
                </c:pt>
                <c:pt idx="11">
                  <c:v>0.96</c:v>
                </c:pt>
                <c:pt idx="12">
                  <c:v>1.0505050505050506</c:v>
                </c:pt>
                <c:pt idx="13">
                  <c:v>0.93333333333333335</c:v>
                </c:pt>
              </c:numCache>
            </c:numRef>
          </c:yVal>
          <c:smooth val="1"/>
          <c:extLst>
            <c:ext xmlns:c16="http://schemas.microsoft.com/office/drawing/2014/chart" uri="{C3380CC4-5D6E-409C-BE32-E72D297353CC}">
              <c16:uniqueId val="{00000003-02D4-45DE-A4AF-3A0EB9799D5B}"/>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287647822906852"/>
                  <c:y val="-0.46209847437578278"/>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Stats'!$AD$113:$AD$276</c:f>
              <c:numCache>
                <c:formatCode>0.000</c:formatCode>
                <c:ptCount val="164"/>
                <c:pt idx="0">
                  <c:v>0.3263273036023458</c:v>
                </c:pt>
                <c:pt idx="1">
                  <c:v>0.69983609331662966</c:v>
                </c:pt>
                <c:pt idx="2">
                  <c:v>0.31890888463405886</c:v>
                </c:pt>
                <c:pt idx="3">
                  <c:v>0.97061690754401497</c:v>
                </c:pt>
                <c:pt idx="4">
                  <c:v>1.0110592786916823</c:v>
                </c:pt>
                <c:pt idx="5">
                  <c:v>0.60753428657384645</c:v>
                </c:pt>
                <c:pt idx="6">
                  <c:v>0.52053562864029201</c:v>
                </c:pt>
                <c:pt idx="7">
                  <c:v>0.50383803437505736</c:v>
                </c:pt>
                <c:pt idx="9">
                  <c:v>1.4419452824007799</c:v>
                </c:pt>
                <c:pt idx="10">
                  <c:v>2.1838880419740336</c:v>
                </c:pt>
                <c:pt idx="11">
                  <c:v>0.36402297983597887</c:v>
                </c:pt>
                <c:pt idx="12">
                  <c:v>2.6961580765111535</c:v>
                </c:pt>
                <c:pt idx="13">
                  <c:v>0.56374214327051375</c:v>
                </c:pt>
                <c:pt idx="14">
                  <c:v>0.51578676246300315</c:v>
                </c:pt>
                <c:pt idx="15">
                  <c:v>0.56374214327051375</c:v>
                </c:pt>
                <c:pt idx="16">
                  <c:v>0.20798933733086034</c:v>
                </c:pt>
                <c:pt idx="17">
                  <c:v>0.37317066802922544</c:v>
                </c:pt>
                <c:pt idx="18">
                  <c:v>0.67403951912778837</c:v>
                </c:pt>
                <c:pt idx="19">
                  <c:v>0.808847422953346</c:v>
                </c:pt>
                <c:pt idx="20">
                  <c:v>0.54437695514290085</c:v>
                </c:pt>
                <c:pt idx="21">
                  <c:v>0.6777583578540104</c:v>
                </c:pt>
                <c:pt idx="22">
                  <c:v>0.56169959927315694</c:v>
                </c:pt>
                <c:pt idx="23">
                  <c:v>0.40779390907231194</c:v>
                </c:pt>
                <c:pt idx="24">
                  <c:v>0.63588633879980028</c:v>
                </c:pt>
                <c:pt idx="25">
                  <c:v>0.28179200541600441</c:v>
                </c:pt>
                <c:pt idx="26">
                  <c:v>0.6777583578540104</c:v>
                </c:pt>
                <c:pt idx="27">
                  <c:v>1.0076152811486938</c:v>
                </c:pt>
                <c:pt idx="28">
                  <c:v>0.86277058448356903</c:v>
                </c:pt>
                <c:pt idx="29">
                  <c:v>0.20798933733086034</c:v>
                </c:pt>
                <c:pt idx="30">
                  <c:v>0.42575152909683583</c:v>
                </c:pt>
                <c:pt idx="31">
                  <c:v>0.67007458077997761</c:v>
                </c:pt>
                <c:pt idx="32">
                  <c:v>0.7512514764272562</c:v>
                </c:pt>
                <c:pt idx="33">
                  <c:v>0.68777466404586396</c:v>
                </c:pt>
                <c:pt idx="34">
                  <c:v>1.8826621051500292</c:v>
                </c:pt>
                <c:pt idx="35">
                  <c:v>0.41000196956600626</c:v>
                </c:pt>
                <c:pt idx="36">
                  <c:v>0.62595517126644284</c:v>
                </c:pt>
                <c:pt idx="37">
                  <c:v>0.18159690137325982</c:v>
                </c:pt>
                <c:pt idx="38">
                  <c:v>0.27820229834064131</c:v>
                </c:pt>
                <c:pt idx="39">
                  <c:v>0.37317066802922544</c:v>
                </c:pt>
                <c:pt idx="40">
                  <c:v>0.37317066802922544</c:v>
                </c:pt>
                <c:pt idx="41">
                  <c:v>0.75593217098443544</c:v>
                </c:pt>
                <c:pt idx="42">
                  <c:v>0.50301456651327492</c:v>
                </c:pt>
                <c:pt idx="43">
                  <c:v>0.55249140912113803</c:v>
                </c:pt>
                <c:pt idx="44">
                  <c:v>0.43498016967713277</c:v>
                </c:pt>
                <c:pt idx="45">
                  <c:v>0.69207719640022203</c:v>
                </c:pt>
                <c:pt idx="46">
                  <c:v>0.72869137203004153</c:v>
                </c:pt>
                <c:pt idx="47">
                  <c:v>0.26868609796955978</c:v>
                </c:pt>
                <c:pt idx="48">
                  <c:v>0.55249140912113803</c:v>
                </c:pt>
                <c:pt idx="49">
                  <c:v>0.72434097577911549</c:v>
                </c:pt>
                <c:pt idx="50">
                  <c:v>0.50096356518400775</c:v>
                </c:pt>
                <c:pt idx="51">
                  <c:v>0.73531583904849629</c:v>
                </c:pt>
                <c:pt idx="52">
                  <c:v>0.60393940913849831</c:v>
                </c:pt>
                <c:pt idx="53">
                  <c:v>0.7582944590187618</c:v>
                </c:pt>
                <c:pt idx="54">
                  <c:v>0.47637639634062096</c:v>
                </c:pt>
                <c:pt idx="55">
                  <c:v>0.5349519993077686</c:v>
                </c:pt>
                <c:pt idx="56">
                  <c:v>0.94365532677890351</c:v>
                </c:pt>
                <c:pt idx="57">
                  <c:v>0.47637639634062096</c:v>
                </c:pt>
                <c:pt idx="58">
                  <c:v>0.78422932878232199</c:v>
                </c:pt>
                <c:pt idx="59">
                  <c:v>0.45422535747592363</c:v>
                </c:pt>
                <c:pt idx="60">
                  <c:v>1.3065996832323283</c:v>
                </c:pt>
                <c:pt idx="61">
                  <c:v>0.60393940913849831</c:v>
                </c:pt>
                <c:pt idx="62">
                  <c:v>0.3942418456288212</c:v>
                </c:pt>
                <c:pt idx="63">
                  <c:v>0.80025097691229596</c:v>
                </c:pt>
                <c:pt idx="64">
                  <c:v>0.38479149247295097</c:v>
                </c:pt>
                <c:pt idx="65">
                  <c:v>0.38479149247295097</c:v>
                </c:pt>
                <c:pt idx="66">
                  <c:v>0.39951474018890765</c:v>
                </c:pt>
                <c:pt idx="67">
                  <c:v>0.75640160831436187</c:v>
                </c:pt>
                <c:pt idx="68">
                  <c:v>0.75640160831436187</c:v>
                </c:pt>
                <c:pt idx="69">
                  <c:v>0.47601660955352276</c:v>
                </c:pt>
                <c:pt idx="70">
                  <c:v>1.3480790382555765</c:v>
                </c:pt>
                <c:pt idx="71">
                  <c:v>0.36048080359983381</c:v>
                </c:pt>
                <c:pt idx="72">
                  <c:v>0.36250174138457891</c:v>
                </c:pt>
                <c:pt idx="73">
                  <c:v>0.4616102920648516</c:v>
                </c:pt>
                <c:pt idx="74">
                  <c:v>0.45144972443907672</c:v>
                </c:pt>
                <c:pt idx="75">
                  <c:v>0.67104378793166475</c:v>
                </c:pt>
                <c:pt idx="76">
                  <c:v>0.12743559658509748</c:v>
                </c:pt>
                <c:pt idx="77">
                  <c:v>0.60465838462556787</c:v>
                </c:pt>
                <c:pt idx="78">
                  <c:v>0.34236927955697177</c:v>
                </c:pt>
                <c:pt idx="79">
                  <c:v>0.34236927955697177</c:v>
                </c:pt>
                <c:pt idx="80">
                  <c:v>0.2773191164411471</c:v>
                </c:pt>
                <c:pt idx="81">
                  <c:v>0.67685640070026254</c:v>
                </c:pt>
                <c:pt idx="82">
                  <c:v>0.47637639634062096</c:v>
                </c:pt>
                <c:pt idx="83">
                  <c:v>0.50328284094874853</c:v>
                </c:pt>
                <c:pt idx="84">
                  <c:v>0.32461206692323347</c:v>
                </c:pt>
                <c:pt idx="85">
                  <c:v>0.56381426400451606</c:v>
                </c:pt>
                <c:pt idx="86">
                  <c:v>0.32461206692323347</c:v>
                </c:pt>
                <c:pt idx="87">
                  <c:v>0.36570964678830781</c:v>
                </c:pt>
                <c:pt idx="88">
                  <c:v>0.88973216524868037</c:v>
                </c:pt>
                <c:pt idx="89">
                  <c:v>0.84858848130654496</c:v>
                </c:pt>
                <c:pt idx="90">
                  <c:v>0.38312350214041024</c:v>
                </c:pt>
                <c:pt idx="91">
                  <c:v>0.57639273835091809</c:v>
                </c:pt>
                <c:pt idx="92">
                  <c:v>0.44935967941852561</c:v>
                </c:pt>
                <c:pt idx="93">
                  <c:v>0.50569089281931701</c:v>
                </c:pt>
                <c:pt idx="94">
                  <c:v>0.36032182182608447</c:v>
                </c:pt>
                <c:pt idx="95">
                  <c:v>0.48292364564536372</c:v>
                </c:pt>
                <c:pt idx="96">
                  <c:v>0.76795218896788053</c:v>
                </c:pt>
                <c:pt idx="97">
                  <c:v>0.40594673877626791</c:v>
                </c:pt>
                <c:pt idx="98">
                  <c:v>0.70973415690165054</c:v>
                </c:pt>
                <c:pt idx="99">
                  <c:v>0.52413313007376816</c:v>
                </c:pt>
                <c:pt idx="100">
                  <c:v>0.60465838462556787</c:v>
                </c:pt>
                <c:pt idx="101">
                  <c:v>1.008614575772566</c:v>
                </c:pt>
                <c:pt idx="102">
                  <c:v>0.59767050957143786</c:v>
                </c:pt>
                <c:pt idx="103">
                  <c:v>0.80221752604389218</c:v>
                </c:pt>
                <c:pt idx="104">
                  <c:v>0.64194239916932205</c:v>
                </c:pt>
                <c:pt idx="105">
                  <c:v>0.93681228597557598</c:v>
                </c:pt>
                <c:pt idx="106">
                  <c:v>0.62635718927427309</c:v>
                </c:pt>
                <c:pt idx="107">
                  <c:v>0.95018786837397473</c:v>
                </c:pt>
                <c:pt idx="108">
                  <c:v>0.48025730244151987</c:v>
                </c:pt>
                <c:pt idx="109">
                  <c:v>0.73603260334114662</c:v>
                </c:pt>
                <c:pt idx="110">
                  <c:v>0.58051250451197089</c:v>
                </c:pt>
                <c:pt idx="111">
                  <c:v>0.57774815925238987</c:v>
                </c:pt>
                <c:pt idx="112">
                  <c:v>0.29713908801549993</c:v>
                </c:pt>
                <c:pt idx="113">
                  <c:v>0.22467983970926275</c:v>
                </c:pt>
                <c:pt idx="114">
                  <c:v>1.0094622305960153</c:v>
                </c:pt>
                <c:pt idx="115">
                  <c:v>0.68667968227736331</c:v>
                </c:pt>
                <c:pt idx="116">
                  <c:v>0.52721853481298087</c:v>
                </c:pt>
                <c:pt idx="117">
                  <c:v>0.28063236753363402</c:v>
                </c:pt>
                <c:pt idx="118">
                  <c:v>0.3919576042411913</c:v>
                </c:pt>
                <c:pt idx="119">
                  <c:v>0.32343546983099247</c:v>
                </c:pt>
                <c:pt idx="120">
                  <c:v>0.26046716747133708</c:v>
                </c:pt>
                <c:pt idx="121">
                  <c:v>0.46340216940035434</c:v>
                </c:pt>
                <c:pt idx="122">
                  <c:v>0.24510527968283211</c:v>
                </c:pt>
                <c:pt idx="123">
                  <c:v>0.31009269819841034</c:v>
                </c:pt>
                <c:pt idx="124">
                  <c:v>0.15545415936640883</c:v>
                </c:pt>
                <c:pt idx="125">
                  <c:v>0.1524209967876908</c:v>
                </c:pt>
                <c:pt idx="126">
                  <c:v>0.63637642461005062</c:v>
                </c:pt>
                <c:pt idx="127">
                  <c:v>0.26412363379155557</c:v>
                </c:pt>
                <c:pt idx="128">
                  <c:v>0.25626849044066408</c:v>
                </c:pt>
                <c:pt idx="129">
                  <c:v>0.42654779773375845</c:v>
                </c:pt>
                <c:pt idx="130">
                  <c:v>0.42654779773375845</c:v>
                </c:pt>
                <c:pt idx="131">
                  <c:v>0.36761529251908587</c:v>
                </c:pt>
                <c:pt idx="132">
                  <c:v>0.58664185501352817</c:v>
                </c:pt>
                <c:pt idx="133">
                  <c:v>0.58664185501352817</c:v>
                </c:pt>
                <c:pt idx="134">
                  <c:v>0.23358431219262069</c:v>
                </c:pt>
                <c:pt idx="135">
                  <c:v>0.21569264612089226</c:v>
                </c:pt>
                <c:pt idx="136">
                  <c:v>0.28178909662532947</c:v>
                </c:pt>
                <c:pt idx="137">
                  <c:v>0.26026781432014601</c:v>
                </c:pt>
                <c:pt idx="138">
                  <c:v>0.76082062123771499</c:v>
                </c:pt>
                <c:pt idx="139">
                  <c:v>0.22009453685805336</c:v>
                </c:pt>
                <c:pt idx="140">
                  <c:v>0.29694841934418703</c:v>
                </c:pt>
                <c:pt idx="141">
                  <c:v>0.27428480749202888</c:v>
                </c:pt>
                <c:pt idx="142">
                  <c:v>0.36381892116777004</c:v>
                </c:pt>
                <c:pt idx="143">
                  <c:v>0.2246024972515315</c:v>
                </c:pt>
                <c:pt idx="144">
                  <c:v>0.2515463178967195</c:v>
                </c:pt>
                <c:pt idx="145">
                  <c:v>0.81859257262748242</c:v>
                </c:pt>
                <c:pt idx="146">
                  <c:v>0.28442986301656115</c:v>
                </c:pt>
                <c:pt idx="147">
                  <c:v>0.33829591011645954</c:v>
                </c:pt>
                <c:pt idx="148">
                  <c:v>0.33829591011645954</c:v>
                </c:pt>
                <c:pt idx="149">
                  <c:v>0.46219852740191181</c:v>
                </c:pt>
                <c:pt idx="150">
                  <c:v>0.4258971126904863</c:v>
                </c:pt>
                <c:pt idx="151">
                  <c:v>0.28495175267347228</c:v>
                </c:pt>
                <c:pt idx="152">
                  <c:v>0.4493596794185255</c:v>
                </c:pt>
                <c:pt idx="153">
                  <c:v>0.22498974293644797</c:v>
                </c:pt>
                <c:pt idx="154">
                  <c:v>0.41993645243552979</c:v>
                </c:pt>
                <c:pt idx="155">
                  <c:v>0.33027936437261635</c:v>
                </c:pt>
                <c:pt idx="156">
                  <c:v>0.67009505378349488</c:v>
                </c:pt>
                <c:pt idx="157">
                  <c:v>0.19608422374626566</c:v>
                </c:pt>
                <c:pt idx="158">
                  <c:v>0.1255974259244326</c:v>
                </c:pt>
                <c:pt idx="159">
                  <c:v>0.12507949839484728</c:v>
                </c:pt>
                <c:pt idx="160">
                  <c:v>0.12507949839484728</c:v>
                </c:pt>
                <c:pt idx="161">
                  <c:v>0.27486496496821661</c:v>
                </c:pt>
                <c:pt idx="162">
                  <c:v>0.30749978062399108</c:v>
                </c:pt>
                <c:pt idx="163">
                  <c:v>0.2426542268860038</c:v>
                </c:pt>
              </c:numCache>
            </c:numRef>
          </c:xVal>
          <c:yVal>
            <c:numRef>
              <c:f>'Task 1 Converted AMI PDF Stats'!$AF$113:$AF$276</c:f>
              <c:numCache>
                <c:formatCode>0.000</c:formatCode>
                <c:ptCount val="164"/>
                <c:pt idx="3">
                  <c:v>0.53181818181818186</c:v>
                </c:pt>
                <c:pt idx="4">
                  <c:v>0.53181818181818186</c:v>
                </c:pt>
                <c:pt idx="5">
                  <c:v>0.42714285714285716</c:v>
                </c:pt>
                <c:pt idx="6">
                  <c:v>0.44626865671641791</c:v>
                </c:pt>
                <c:pt idx="7">
                  <c:v>0.91384615384615386</c:v>
                </c:pt>
                <c:pt idx="9">
                  <c:v>0.45916666666666667</c:v>
                </c:pt>
                <c:pt idx="10">
                  <c:v>0.57111597374179435</c:v>
                </c:pt>
                <c:pt idx="11">
                  <c:v>1.3834771886559802</c:v>
                </c:pt>
                <c:pt idx="12">
                  <c:v>0.65645514223194745</c:v>
                </c:pt>
                <c:pt idx="13">
                  <c:v>0.94874999999999998</c:v>
                </c:pt>
                <c:pt idx="14">
                  <c:v>0.92125000000000001</c:v>
                </c:pt>
                <c:pt idx="15">
                  <c:v>0.97750000000000004</c:v>
                </c:pt>
                <c:pt idx="17">
                  <c:v>0.51851851851851849</c:v>
                </c:pt>
                <c:pt idx="18">
                  <c:v>0.69548872180451127</c:v>
                </c:pt>
                <c:pt idx="19">
                  <c:v>0.57954545454545459</c:v>
                </c:pt>
                <c:pt idx="20">
                  <c:v>0.70516934046345814</c:v>
                </c:pt>
                <c:pt idx="21">
                  <c:v>0.87293233082706767</c:v>
                </c:pt>
                <c:pt idx="22">
                  <c:v>0.96899224806201545</c:v>
                </c:pt>
                <c:pt idx="23">
                  <c:v>1.5315384615384615</c:v>
                </c:pt>
                <c:pt idx="24">
                  <c:v>0.84888059701492535</c:v>
                </c:pt>
                <c:pt idx="25">
                  <c:v>0.6552</c:v>
                </c:pt>
                <c:pt idx="26">
                  <c:v>0.92</c:v>
                </c:pt>
                <c:pt idx="27">
                  <c:v>0.6862470862470863</c:v>
                </c:pt>
                <c:pt idx="28">
                  <c:v>0.91009174311926611</c:v>
                </c:pt>
                <c:pt idx="30">
                  <c:v>2.1083333333333334</c:v>
                </c:pt>
                <c:pt idx="31">
                  <c:v>0.66054054054054057</c:v>
                </c:pt>
                <c:pt idx="32">
                  <c:v>1.3623188405797102</c:v>
                </c:pt>
                <c:pt idx="33">
                  <c:v>0.83700440528634357</c:v>
                </c:pt>
                <c:pt idx="34">
                  <c:v>0.57785888077858882</c:v>
                </c:pt>
                <c:pt idx="35">
                  <c:v>0.73888888888888893</c:v>
                </c:pt>
                <c:pt idx="36">
                  <c:v>0.74057142857142855</c:v>
                </c:pt>
                <c:pt idx="37">
                  <c:v>1.0418604651162791</c:v>
                </c:pt>
                <c:pt idx="38">
                  <c:v>0.34560000000000002</c:v>
                </c:pt>
                <c:pt idx="39">
                  <c:v>0.9468599033816425</c:v>
                </c:pt>
                <c:pt idx="40">
                  <c:v>0.84409991386735572</c:v>
                </c:pt>
                <c:pt idx="41">
                  <c:v>0.62820512820512819</c:v>
                </c:pt>
                <c:pt idx="42">
                  <c:v>1.03125</c:v>
                </c:pt>
                <c:pt idx="43">
                  <c:v>1.9841269841269842</c:v>
                </c:pt>
                <c:pt idx="44">
                  <c:v>0.81481481481481477</c:v>
                </c:pt>
                <c:pt idx="45">
                  <c:v>1.0353383458646617</c:v>
                </c:pt>
                <c:pt idx="46">
                  <c:v>0.71691176470588236</c:v>
                </c:pt>
                <c:pt idx="47">
                  <c:v>1.6227272727272728</c:v>
                </c:pt>
                <c:pt idx="48">
                  <c:v>1.4971751412429379</c:v>
                </c:pt>
                <c:pt idx="49">
                  <c:v>0.66</c:v>
                </c:pt>
                <c:pt idx="50">
                  <c:v>0.88</c:v>
                </c:pt>
                <c:pt idx="51">
                  <c:v>0.94745908699397074</c:v>
                </c:pt>
                <c:pt idx="52">
                  <c:v>0.60254491017964074</c:v>
                </c:pt>
                <c:pt idx="53">
                  <c:v>1.3218390804597702</c:v>
                </c:pt>
                <c:pt idx="54">
                  <c:v>0.61333333333333329</c:v>
                </c:pt>
                <c:pt idx="55">
                  <c:v>0.54041353383458646</c:v>
                </c:pt>
                <c:pt idx="56">
                  <c:v>0.77403846153846156</c:v>
                </c:pt>
                <c:pt idx="57">
                  <c:v>0.81176470588235294</c:v>
                </c:pt>
                <c:pt idx="58">
                  <c:v>0.80695652173913046</c:v>
                </c:pt>
                <c:pt idx="59">
                  <c:v>0.65842916564717402</c:v>
                </c:pt>
                <c:pt idx="60">
                  <c:v>0.55533333333333335</c:v>
                </c:pt>
                <c:pt idx="61">
                  <c:v>0.76363636363636367</c:v>
                </c:pt>
                <c:pt idx="62">
                  <c:v>0.50769230769230766</c:v>
                </c:pt>
                <c:pt idx="63">
                  <c:v>0.69333333333333336</c:v>
                </c:pt>
                <c:pt idx="64">
                  <c:v>1.8827586206896552</c:v>
                </c:pt>
                <c:pt idx="65">
                  <c:v>0.77556818181818177</c:v>
                </c:pt>
                <c:pt idx="66">
                  <c:v>0.76098765432098769</c:v>
                </c:pt>
                <c:pt idx="67">
                  <c:v>0.6</c:v>
                </c:pt>
                <c:pt idx="68">
                  <c:v>0.73599999999999999</c:v>
                </c:pt>
                <c:pt idx="69">
                  <c:v>0.43082524271844658</c:v>
                </c:pt>
                <c:pt idx="70">
                  <c:v>1.1697341513292434</c:v>
                </c:pt>
                <c:pt idx="71">
                  <c:v>0.53166666666666662</c:v>
                </c:pt>
                <c:pt idx="72">
                  <c:v>0.76649999999999996</c:v>
                </c:pt>
                <c:pt idx="73">
                  <c:v>0.89383640552995391</c:v>
                </c:pt>
                <c:pt idx="74">
                  <c:v>1.1839999999999999</c:v>
                </c:pt>
                <c:pt idx="75">
                  <c:v>0.72413793103448276</c:v>
                </c:pt>
                <c:pt idx="76">
                  <c:v>4.4285714285714288</c:v>
                </c:pt>
                <c:pt idx="77">
                  <c:v>0.90190000000000003</c:v>
                </c:pt>
                <c:pt idx="78">
                  <c:v>1.1489361702127661</c:v>
                </c:pt>
                <c:pt idx="79">
                  <c:v>0.73636363636363633</c:v>
                </c:pt>
                <c:pt idx="80">
                  <c:v>0.67500000000000004</c:v>
                </c:pt>
                <c:pt idx="81">
                  <c:v>0.78001921229586935</c:v>
                </c:pt>
                <c:pt idx="82">
                  <c:v>0.65175718849840258</c:v>
                </c:pt>
                <c:pt idx="83">
                  <c:v>0.72121212121212119</c:v>
                </c:pt>
                <c:pt idx="84">
                  <c:v>0.38958333333333334</c:v>
                </c:pt>
                <c:pt idx="85">
                  <c:v>0.875</c:v>
                </c:pt>
                <c:pt idx="86">
                  <c:v>0.82499999999999996</c:v>
                </c:pt>
                <c:pt idx="87">
                  <c:v>0.6918449197860963</c:v>
                </c:pt>
                <c:pt idx="88">
                  <c:v>1.0049061072576553</c:v>
                </c:pt>
                <c:pt idx="89">
                  <c:v>0.82499999999999996</c:v>
                </c:pt>
                <c:pt idx="90">
                  <c:v>1.1242236024844721</c:v>
                </c:pt>
                <c:pt idx="91">
                  <c:v>1.703187250996016</c:v>
                </c:pt>
                <c:pt idx="92">
                  <c:v>1.0303687635574836</c:v>
                </c:pt>
                <c:pt idx="93">
                  <c:v>1.1565217391304348</c:v>
                </c:pt>
                <c:pt idx="94">
                  <c:v>1.4181818181818182</c:v>
                </c:pt>
                <c:pt idx="95">
                  <c:v>0.92368421052631577</c:v>
                </c:pt>
                <c:pt idx="96">
                  <c:v>0.95188284518828448</c:v>
                </c:pt>
                <c:pt idx="97">
                  <c:v>1.2596273291925466</c:v>
                </c:pt>
                <c:pt idx="98">
                  <c:v>0.83116883116883122</c:v>
                </c:pt>
                <c:pt idx="99">
                  <c:v>1.0567514677103718</c:v>
                </c:pt>
                <c:pt idx="100">
                  <c:v>1.462608695652174</c:v>
                </c:pt>
                <c:pt idx="101">
                  <c:v>0.70838881491344874</c:v>
                </c:pt>
                <c:pt idx="102">
                  <c:v>0.94029850746268662</c:v>
                </c:pt>
                <c:pt idx="103">
                  <c:v>0.96250000000000002</c:v>
                </c:pt>
                <c:pt idx="104">
                  <c:v>0.92375366568914952</c:v>
                </c:pt>
                <c:pt idx="105">
                  <c:v>0.56170729933992347</c:v>
                </c:pt>
                <c:pt idx="106">
                  <c:v>1.0900000000000001</c:v>
                </c:pt>
                <c:pt idx="107">
                  <c:v>0.66786290187500008</c:v>
                </c:pt>
                <c:pt idx="108">
                  <c:v>1.8988505747126436</c:v>
                </c:pt>
                <c:pt idx="109">
                  <c:v>0.91527389629365086</c:v>
                </c:pt>
                <c:pt idx="110">
                  <c:v>1.1970684039087949</c:v>
                </c:pt>
                <c:pt idx="112">
                  <c:v>0.95833333333333337</c:v>
                </c:pt>
                <c:pt idx="113">
                  <c:v>1.0869565217391304</c:v>
                </c:pt>
                <c:pt idx="114">
                  <c:v>0.76649560117302051</c:v>
                </c:pt>
                <c:pt idx="115">
                  <c:v>0.83165783220617806</c:v>
                </c:pt>
                <c:pt idx="116">
                  <c:v>1.1436950146627567</c:v>
                </c:pt>
                <c:pt idx="118">
                  <c:v>1.1789655172413793</c:v>
                </c:pt>
                <c:pt idx="119">
                  <c:v>1.0676569220481835</c:v>
                </c:pt>
                <c:pt idx="120">
                  <c:v>0.87096774193548387</c:v>
                </c:pt>
                <c:pt idx="121">
                  <c:v>1.8944444444444444</c:v>
                </c:pt>
                <c:pt idx="122">
                  <c:v>1.56</c:v>
                </c:pt>
                <c:pt idx="123">
                  <c:v>1.7485714285714287</c:v>
                </c:pt>
                <c:pt idx="124">
                  <c:v>1.276</c:v>
                </c:pt>
                <c:pt idx="125">
                  <c:v>2.2706422018348622</c:v>
                </c:pt>
                <c:pt idx="126">
                  <c:v>0.87238805970149258</c:v>
                </c:pt>
                <c:pt idx="127">
                  <c:v>1.5059523809523809</c:v>
                </c:pt>
                <c:pt idx="128">
                  <c:v>1.3636363636363635</c:v>
                </c:pt>
                <c:pt idx="129">
                  <c:v>2.859375</c:v>
                </c:pt>
                <c:pt idx="130">
                  <c:v>2.859375</c:v>
                </c:pt>
                <c:pt idx="131">
                  <c:v>0.95108695652173914</c:v>
                </c:pt>
                <c:pt idx="132">
                  <c:v>0.71104690221920286</c:v>
                </c:pt>
                <c:pt idx="133">
                  <c:v>0.70224119530416218</c:v>
                </c:pt>
                <c:pt idx="134">
                  <c:v>1.8036866359447006</c:v>
                </c:pt>
                <c:pt idx="135">
                  <c:v>1.6594827586206897</c:v>
                </c:pt>
                <c:pt idx="136">
                  <c:v>1.09375</c:v>
                </c:pt>
                <c:pt idx="137">
                  <c:v>1.2406639004149378</c:v>
                </c:pt>
                <c:pt idx="138">
                  <c:v>1.0484503954081634</c:v>
                </c:pt>
                <c:pt idx="139">
                  <c:v>1.3071895424836601</c:v>
                </c:pt>
                <c:pt idx="140">
                  <c:v>1.2433749999999999</c:v>
                </c:pt>
                <c:pt idx="141">
                  <c:v>2.1383219954648527</c:v>
                </c:pt>
                <c:pt idx="142">
                  <c:v>1.3383050847457627</c:v>
                </c:pt>
                <c:pt idx="143">
                  <c:v>1.1211031175059951</c:v>
                </c:pt>
                <c:pt idx="144">
                  <c:v>2.2477272727272726</c:v>
                </c:pt>
                <c:pt idx="145">
                  <c:v>1.0693710132980772</c:v>
                </c:pt>
                <c:pt idx="146">
                  <c:v>1.3380000000000001</c:v>
                </c:pt>
                <c:pt idx="147">
                  <c:v>1.363728813559322</c:v>
                </c:pt>
                <c:pt idx="148">
                  <c:v>1.363728813559322</c:v>
                </c:pt>
                <c:pt idx="149">
                  <c:v>2.2062428501389117</c:v>
                </c:pt>
                <c:pt idx="150">
                  <c:v>2.0580474934036941</c:v>
                </c:pt>
                <c:pt idx="151">
                  <c:v>1.425</c:v>
                </c:pt>
                <c:pt idx="152">
                  <c:v>1.28</c:v>
                </c:pt>
                <c:pt idx="155">
                  <c:v>1.5590909090909091</c:v>
                </c:pt>
                <c:pt idx="156">
                  <c:v>0.81558468607454326</c:v>
                </c:pt>
                <c:pt idx="157">
                  <c:v>1.1690437222352117</c:v>
                </c:pt>
                <c:pt idx="158">
                  <c:v>4.416666666666667</c:v>
                </c:pt>
                <c:pt idx="159">
                  <c:v>4.0875000000000004</c:v>
                </c:pt>
                <c:pt idx="160">
                  <c:v>4.125</c:v>
                </c:pt>
                <c:pt idx="161">
                  <c:v>1.4478260869565218</c:v>
                </c:pt>
                <c:pt idx="162">
                  <c:v>1.3875</c:v>
                </c:pt>
                <c:pt idx="163">
                  <c:v>1.3919999999999999</c:v>
                </c:pt>
              </c:numCache>
            </c:numRef>
          </c:yVal>
          <c:smooth val="1"/>
          <c:extLst>
            <c:ext xmlns:c16="http://schemas.microsoft.com/office/drawing/2014/chart" uri="{C3380CC4-5D6E-409C-BE32-E72D297353CC}">
              <c16:uniqueId val="{00000004-02D4-45DE-A4AF-3A0EB9799D5B}"/>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Stats'!$AD$283</c:f>
              <c:numCache>
                <c:formatCode>0.000</c:formatCode>
                <c:ptCount val="1"/>
                <c:pt idx="0">
                  <c:v>0.63389849039064139</c:v>
                </c:pt>
              </c:numCache>
            </c:numRef>
          </c:xVal>
          <c:yVal>
            <c:numRef>
              <c:f>'Task 1 Converted AMI PDF Stats'!$AF$283</c:f>
              <c:numCache>
                <c:formatCode>0.000</c:formatCode>
                <c:ptCount val="1"/>
                <c:pt idx="0">
                  <c:v>0.69006849315068497</c:v>
                </c:pt>
              </c:numCache>
            </c:numRef>
          </c:yVal>
          <c:smooth val="1"/>
          <c:extLst>
            <c:ext xmlns:c16="http://schemas.microsoft.com/office/drawing/2014/chart" uri="{C3380CC4-5D6E-409C-BE32-E72D297353CC}">
              <c16:uniqueId val="{00000005-02D4-45DE-A4AF-3A0EB9799D5B}"/>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Stats'!$AD$284:$AD$294</c:f>
              <c:numCache>
                <c:formatCode>0.000</c:formatCode>
                <c:ptCount val="11"/>
                <c:pt idx="0">
                  <c:v>0.3263273036023458</c:v>
                </c:pt>
                <c:pt idx="1">
                  <c:v>0.69983609331662966</c:v>
                </c:pt>
                <c:pt idx="2">
                  <c:v>0.31890888463405886</c:v>
                </c:pt>
                <c:pt idx="3">
                  <c:v>0.32343546983099247</c:v>
                </c:pt>
                <c:pt idx="4">
                  <c:v>0.20798933733086034</c:v>
                </c:pt>
                <c:pt idx="5">
                  <c:v>0.20798933733086034</c:v>
                </c:pt>
                <c:pt idx="6">
                  <c:v>0.58051250451197089</c:v>
                </c:pt>
                <c:pt idx="7">
                  <c:v>0.46340216940035434</c:v>
                </c:pt>
                <c:pt idx="8">
                  <c:v>0.63637642461005062</c:v>
                </c:pt>
                <c:pt idx="9">
                  <c:v>0.67685640070026254</c:v>
                </c:pt>
                <c:pt idx="10">
                  <c:v>0.56381426400451606</c:v>
                </c:pt>
              </c:numCache>
            </c:numRef>
          </c:xVal>
          <c:yVal>
            <c:numRef>
              <c:f>'Task 1 Converted AMI PDF Stats'!$AF$284:$AF$294</c:f>
              <c:numCache>
                <c:formatCode>0.000</c:formatCode>
                <c:ptCount val="11"/>
                <c:pt idx="3">
                  <c:v>1.0676569220481835</c:v>
                </c:pt>
                <c:pt idx="6">
                  <c:v>1.1970684039087949</c:v>
                </c:pt>
                <c:pt idx="7">
                  <c:v>1.8944444444444444</c:v>
                </c:pt>
                <c:pt idx="8">
                  <c:v>0.87238805970149258</c:v>
                </c:pt>
                <c:pt idx="9">
                  <c:v>0.78001921229586935</c:v>
                </c:pt>
                <c:pt idx="10">
                  <c:v>0.875</c:v>
                </c:pt>
              </c:numCache>
            </c:numRef>
          </c:yVal>
          <c:smooth val="1"/>
          <c:extLst>
            <c:ext xmlns:c16="http://schemas.microsoft.com/office/drawing/2014/chart" uri="{C3380CC4-5D6E-409C-BE32-E72D297353CC}">
              <c16:uniqueId val="{00000006-02D4-45DE-A4AF-3A0EB9799D5B}"/>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Stats'!$AD$295:$AD$298</c:f>
              <c:numCache>
                <c:formatCode>0.000</c:formatCode>
                <c:ptCount val="4"/>
                <c:pt idx="0">
                  <c:v>0.82958710046497008</c:v>
                </c:pt>
                <c:pt idx="1">
                  <c:v>0.50552963934584116</c:v>
                </c:pt>
                <c:pt idx="2">
                  <c:v>0.54347753353295702</c:v>
                </c:pt>
                <c:pt idx="3">
                  <c:v>0.53923161530223052</c:v>
                </c:pt>
              </c:numCache>
            </c:numRef>
          </c:xVal>
          <c:yVal>
            <c:numRef>
              <c:f>'Task 1 Converted AMI PDF Stats'!$AF$295:$AF$298</c:f>
              <c:numCache>
                <c:formatCode>0.000</c:formatCode>
                <c:ptCount val="4"/>
                <c:pt idx="0">
                  <c:v>0.79947916666666663</c:v>
                </c:pt>
                <c:pt idx="1">
                  <c:v>0.99067909454061254</c:v>
                </c:pt>
                <c:pt idx="2">
                  <c:v>1.1504660452729694</c:v>
                </c:pt>
                <c:pt idx="3">
                  <c:v>0.87976539589442815</c:v>
                </c:pt>
              </c:numCache>
            </c:numRef>
          </c:yVal>
          <c:smooth val="1"/>
          <c:extLst>
            <c:ext xmlns:c16="http://schemas.microsoft.com/office/drawing/2014/chart" uri="{C3380CC4-5D6E-409C-BE32-E72D297353CC}">
              <c16:uniqueId val="{00000007-02D4-45DE-A4AF-3A0EB9799D5B}"/>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Stats'!$AD$299:$AD$300</c:f>
              <c:numCache>
                <c:formatCode>General</c:formatCode>
                <c:ptCount val="2"/>
                <c:pt idx="0" formatCode="0.000">
                  <c:v>0.96076902503738204</c:v>
                </c:pt>
              </c:numCache>
            </c:numRef>
          </c:xVal>
          <c:yVal>
            <c:numRef>
              <c:f>'Task 1 Converted AMI PDF Stats'!$AF$299:$AF$300</c:f>
              <c:numCache>
                <c:formatCode>General</c:formatCode>
                <c:ptCount val="2"/>
                <c:pt idx="0" formatCode="0.000">
                  <c:v>1.1099252934898614</c:v>
                </c:pt>
              </c:numCache>
            </c:numRef>
          </c:yVal>
          <c:smooth val="1"/>
          <c:extLst>
            <c:ext xmlns:c16="http://schemas.microsoft.com/office/drawing/2014/chart" uri="{C3380CC4-5D6E-409C-BE32-E72D297353CC}">
              <c16:uniqueId val="{00000008-02D4-45DE-A4AF-3A0EB9799D5B}"/>
            </c:ext>
          </c:extLst>
        </c:ser>
        <c:dLbls>
          <c:showLegendKey val="0"/>
          <c:showVal val="0"/>
          <c:showCatName val="0"/>
          <c:showSerName val="0"/>
          <c:showPercent val="0"/>
          <c:showBubbleSize val="0"/>
        </c:dLbls>
        <c:axId val="727676504"/>
        <c:axId val="1"/>
      </c:scatterChart>
      <c:valAx>
        <c:axId val="727676504"/>
        <c:scaling>
          <c:orientation val="minMax"/>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Fn^2</a:t>
                </a:r>
              </a:p>
            </c:rich>
          </c:tx>
          <c:layout>
            <c:manualLayout>
              <c:xMode val="edge"/>
              <c:yMode val="edge"/>
              <c:x val="0.39622641509433965"/>
              <c:y val="0.9461663947797716"/>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Disp X Vm/Pwr</a:t>
                </a:r>
              </a:p>
            </c:rich>
          </c:tx>
          <c:layout>
            <c:manualLayout>
              <c:xMode val="edge"/>
              <c:yMode val="edge"/>
              <c:x val="1.3318534961154272E-2"/>
              <c:y val="0.40456769983686786"/>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650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8024417314095451"/>
          <c:y val="0.4828711256117455"/>
          <c:w val="0.21309655937846839"/>
          <c:h val="0.414355628058727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Disp X Vm/Pwr vs FnV^2</a:t>
            </a:r>
          </a:p>
        </c:rich>
      </c:tx>
      <c:layout>
        <c:manualLayout>
          <c:xMode val="edge"/>
          <c:yMode val="edge"/>
          <c:x val="0.39178690344062156"/>
          <c:y val="1.9575856443719411E-2"/>
        </c:manualLayout>
      </c:layout>
      <c:overlay val="0"/>
      <c:spPr>
        <a:noFill/>
        <a:ln w="25400">
          <a:noFill/>
        </a:ln>
      </c:spPr>
    </c:title>
    <c:autoTitleDeleted val="0"/>
    <c:plotArea>
      <c:layout>
        <c:manualLayout>
          <c:layoutTarget val="inner"/>
          <c:xMode val="edge"/>
          <c:yMode val="edge"/>
          <c:x val="7.3251942286348501E-2"/>
          <c:y val="7.8303425774877644E-2"/>
          <c:w val="0.68257491675915649"/>
          <c:h val="0.8156606851549755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4410823996734443"/>
                  <c:y val="-0.37227462001093081"/>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Stats'!$AB$5:$AB$279</c:f>
              <c:numCache>
                <c:formatCode>0.000</c:formatCode>
                <c:ptCount val="275"/>
                <c:pt idx="0">
                  <c:v>5.6803900744404476</c:v>
                </c:pt>
                <c:pt idx="1">
                  <c:v>3.9923378136292706</c:v>
                </c:pt>
                <c:pt idx="2">
                  <c:v>4.8228051239780942</c:v>
                </c:pt>
                <c:pt idx="3">
                  <c:v>3.3101255485581182</c:v>
                </c:pt>
                <c:pt idx="4">
                  <c:v>3.6441531796698787</c:v>
                </c:pt>
                <c:pt idx="5">
                  <c:v>4.5618882345661875</c:v>
                </c:pt>
                <c:pt idx="6">
                  <c:v>3.1936420465467181</c:v>
                </c:pt>
                <c:pt idx="7">
                  <c:v>3.9632432750887769</c:v>
                </c:pt>
                <c:pt idx="8">
                  <c:v>18.129526171050145</c:v>
                </c:pt>
                <c:pt idx="9">
                  <c:v>11.188148212798456</c:v>
                </c:pt>
                <c:pt idx="10">
                  <c:v>8.863427590462317</c:v>
                </c:pt>
                <c:pt idx="11">
                  <c:v>8.863427590462317</c:v>
                </c:pt>
                <c:pt idx="12">
                  <c:v>8.9965666544738383</c:v>
                </c:pt>
                <c:pt idx="13">
                  <c:v>5.0689235672315451</c:v>
                </c:pt>
                <c:pt idx="14">
                  <c:v>5.5582782984152885</c:v>
                </c:pt>
                <c:pt idx="15">
                  <c:v>4.7965941162487971</c:v>
                </c:pt>
                <c:pt idx="16">
                  <c:v>4.7605281343966332</c:v>
                </c:pt>
                <c:pt idx="17">
                  <c:v>4.7605281343966332</c:v>
                </c:pt>
                <c:pt idx="18">
                  <c:v>4.0966169296767658</c:v>
                </c:pt>
                <c:pt idx="19">
                  <c:v>3.2426354680371099</c:v>
                </c:pt>
                <c:pt idx="20">
                  <c:v>7.0860736483274085</c:v>
                </c:pt>
                <c:pt idx="21">
                  <c:v>7.0053596384384758</c:v>
                </c:pt>
                <c:pt idx="22">
                  <c:v>4.2842992937255229</c:v>
                </c:pt>
                <c:pt idx="23">
                  <c:v>5.1055302681839416</c:v>
                </c:pt>
                <c:pt idx="24">
                  <c:v>5.1055302681839416</c:v>
                </c:pt>
                <c:pt idx="25">
                  <c:v>4.6955662604360784</c:v>
                </c:pt>
                <c:pt idx="26">
                  <c:v>9.8944034103881986</c:v>
                </c:pt>
                <c:pt idx="27">
                  <c:v>6.8050409881831788</c:v>
                </c:pt>
                <c:pt idx="28">
                  <c:v>2.5129238144239823</c:v>
                </c:pt>
                <c:pt idx="29">
                  <c:v>8.305420139539029</c:v>
                </c:pt>
                <c:pt idx="30">
                  <c:v>8.305420139539029</c:v>
                </c:pt>
                <c:pt idx="31">
                  <c:v>8.305420139539029</c:v>
                </c:pt>
                <c:pt idx="32">
                  <c:v>5.6234006641283614</c:v>
                </c:pt>
                <c:pt idx="33">
                  <c:v>5.6234006641283614</c:v>
                </c:pt>
                <c:pt idx="34">
                  <c:v>5.6234006641283614</c:v>
                </c:pt>
                <c:pt idx="35">
                  <c:v>5.6234006641283614</c:v>
                </c:pt>
                <c:pt idx="36">
                  <c:v>4.6930852438451076</c:v>
                </c:pt>
                <c:pt idx="37">
                  <c:v>5.5784115314974922</c:v>
                </c:pt>
                <c:pt idx="38">
                  <c:v>5.5784115314974922</c:v>
                </c:pt>
                <c:pt idx="39">
                  <c:v>3.5589208971827708</c:v>
                </c:pt>
                <c:pt idx="40">
                  <c:v>5.8556225474611105</c:v>
                </c:pt>
                <c:pt idx="41">
                  <c:v>1.1392700630547294</c:v>
                </c:pt>
                <c:pt idx="42">
                  <c:v>5.1842030401547756</c:v>
                </c:pt>
                <c:pt idx="43">
                  <c:v>4.4355850125336005</c:v>
                </c:pt>
                <c:pt idx="44">
                  <c:v>6.9211593339039119</c:v>
                </c:pt>
                <c:pt idx="45">
                  <c:v>5.8588291530871377</c:v>
                </c:pt>
                <c:pt idx="46">
                  <c:v>5.2356717337406913</c:v>
                </c:pt>
                <c:pt idx="47">
                  <c:v>5.6866071697399789</c:v>
                </c:pt>
                <c:pt idx="48">
                  <c:v>6.8294775542007615</c:v>
                </c:pt>
                <c:pt idx="49">
                  <c:v>7.1752198553821742</c:v>
                </c:pt>
                <c:pt idx="50">
                  <c:v>6.7941368049661968</c:v>
                </c:pt>
                <c:pt idx="51">
                  <c:v>6.7854151820217625</c:v>
                </c:pt>
                <c:pt idx="52">
                  <c:v>6.1238372017746396</c:v>
                </c:pt>
                <c:pt idx="53">
                  <c:v>6.7854151820217625</c:v>
                </c:pt>
                <c:pt idx="54">
                  <c:v>6.7854151820217625</c:v>
                </c:pt>
                <c:pt idx="55">
                  <c:v>5.6141584251646828</c:v>
                </c:pt>
                <c:pt idx="56">
                  <c:v>4.0496950621754619</c:v>
                </c:pt>
                <c:pt idx="57">
                  <c:v>4.0496950621754619</c:v>
                </c:pt>
                <c:pt idx="58">
                  <c:v>5.4613993762532758</c:v>
                </c:pt>
                <c:pt idx="59">
                  <c:v>5.4613993762532758</c:v>
                </c:pt>
                <c:pt idx="60">
                  <c:v>6.0622869333689282</c:v>
                </c:pt>
                <c:pt idx="61">
                  <c:v>6.7172154386359315</c:v>
                </c:pt>
                <c:pt idx="62">
                  <c:v>6.7172154386359315</c:v>
                </c:pt>
                <c:pt idx="63">
                  <c:v>3.0567340951131738</c:v>
                </c:pt>
                <c:pt idx="64">
                  <c:v>7.0398058976127444</c:v>
                </c:pt>
                <c:pt idx="65">
                  <c:v>6.0472812112747194</c:v>
                </c:pt>
                <c:pt idx="66">
                  <c:v>5.7331911206614219</c:v>
                </c:pt>
                <c:pt idx="67">
                  <c:v>5.8532786159103924</c:v>
                </c:pt>
                <c:pt idx="68">
                  <c:v>6.0765439568897612</c:v>
                </c:pt>
                <c:pt idx="69">
                  <c:v>3.9034909240082651</c:v>
                </c:pt>
                <c:pt idx="70">
                  <c:v>3.6071194528722388</c:v>
                </c:pt>
                <c:pt idx="71">
                  <c:v>3.3371331501836887</c:v>
                </c:pt>
                <c:pt idx="72">
                  <c:v>5.9225484612567811</c:v>
                </c:pt>
                <c:pt idx="73">
                  <c:v>3.440476131000668</c:v>
                </c:pt>
                <c:pt idx="74">
                  <c:v>2.4980247596376381</c:v>
                </c:pt>
                <c:pt idx="75">
                  <c:v>5.3314991641785028</c:v>
                </c:pt>
                <c:pt idx="76">
                  <c:v>5.4681025812488215</c:v>
                </c:pt>
                <c:pt idx="77">
                  <c:v>5.3362894094626423</c:v>
                </c:pt>
                <c:pt idx="78">
                  <c:v>4.6657656094879973</c:v>
                </c:pt>
                <c:pt idx="79">
                  <c:v>3.240115006588888</c:v>
                </c:pt>
                <c:pt idx="80">
                  <c:v>5.1783563617722512</c:v>
                </c:pt>
                <c:pt idx="81">
                  <c:v>5.7377909825731326</c:v>
                </c:pt>
                <c:pt idx="82">
                  <c:v>3.6721862288468041</c:v>
                </c:pt>
                <c:pt idx="83">
                  <c:v>5.1663693828794512</c:v>
                </c:pt>
                <c:pt idx="84">
                  <c:v>5.1544926297626663</c:v>
                </c:pt>
                <c:pt idx="85">
                  <c:v>3.6169569931379084</c:v>
                </c:pt>
                <c:pt idx="86">
                  <c:v>3.1789661072501145</c:v>
                </c:pt>
                <c:pt idx="87">
                  <c:v>2.7140696587602111</c:v>
                </c:pt>
                <c:pt idx="88">
                  <c:v>2.7140696587602111</c:v>
                </c:pt>
                <c:pt idx="89">
                  <c:v>2.7140696587602111</c:v>
                </c:pt>
                <c:pt idx="90">
                  <c:v>3.3039312864773436</c:v>
                </c:pt>
                <c:pt idx="91">
                  <c:v>3.281666922279959</c:v>
                </c:pt>
                <c:pt idx="92">
                  <c:v>4.7704629024450051</c:v>
                </c:pt>
                <c:pt idx="93">
                  <c:v>3.7519991305130991</c:v>
                </c:pt>
                <c:pt idx="94">
                  <c:v>6.3324181826484471</c:v>
                </c:pt>
                <c:pt idx="95">
                  <c:v>4.7007039020958699</c:v>
                </c:pt>
                <c:pt idx="96">
                  <c:v>5.5784115314974922</c:v>
                </c:pt>
                <c:pt idx="97">
                  <c:v>7.2462780401262519</c:v>
                </c:pt>
                <c:pt idx="98">
                  <c:v>5.9219169550715343</c:v>
                </c:pt>
                <c:pt idx="99">
                  <c:v>3.87739020323867</c:v>
                </c:pt>
                <c:pt idx="100">
                  <c:v>4.2901261921587643</c:v>
                </c:pt>
                <c:pt idx="101">
                  <c:v>3.6390077795635305</c:v>
                </c:pt>
                <c:pt idx="102">
                  <c:v>6.4197987961744323</c:v>
                </c:pt>
                <c:pt idx="103">
                  <c:v>3.440476131000668</c:v>
                </c:pt>
                <c:pt idx="104">
                  <c:v>5.8876210785228071</c:v>
                </c:pt>
                <c:pt idx="105">
                  <c:v>3.6169569931379084</c:v>
                </c:pt>
                <c:pt idx="106">
                  <c:v>3.4467760633543478</c:v>
                </c:pt>
                <c:pt idx="107">
                  <c:v>4.4956069295334311</c:v>
                </c:pt>
                <c:pt idx="111">
                  <c:v>7.1834851768486478</c:v>
                </c:pt>
                <c:pt idx="112">
                  <c:v>7.1834851768486478</c:v>
                </c:pt>
                <c:pt idx="113">
                  <c:v>5.1067152802597597</c:v>
                </c:pt>
                <c:pt idx="114">
                  <c:v>3.8362077377942123</c:v>
                </c:pt>
                <c:pt idx="115">
                  <c:v>3.4659982135801473</c:v>
                </c:pt>
                <c:pt idx="117">
                  <c:v>10.097303762050604</c:v>
                </c:pt>
                <c:pt idx="118">
                  <c:v>14.160000081823043</c:v>
                </c:pt>
                <c:pt idx="119">
                  <c:v>2.4177627884427548</c:v>
                </c:pt>
                <c:pt idx="120">
                  <c:v>17.285043813397259</c:v>
                </c:pt>
                <c:pt idx="121">
                  <c:v>3.5431422306317368</c:v>
                </c:pt>
                <c:pt idx="122">
                  <c:v>3.225531743210281</c:v>
                </c:pt>
                <c:pt idx="123">
                  <c:v>3.5080593101703723</c:v>
                </c:pt>
                <c:pt idx="125">
                  <c:v>2.6270895132408647</c:v>
                </c:pt>
                <c:pt idx="126">
                  <c:v>4.0294923623779111</c:v>
                </c:pt>
                <c:pt idx="127">
                  <c:v>5.5405187257332082</c:v>
                </c:pt>
                <c:pt idx="128">
                  <c:v>3.243922085049844</c:v>
                </c:pt>
                <c:pt idx="129">
                  <c:v>4.4703576559571561</c:v>
                </c:pt>
                <c:pt idx="130">
                  <c:v>3.7749691518737158</c:v>
                </c:pt>
                <c:pt idx="131">
                  <c:v>2.9179424898981434</c:v>
                </c:pt>
                <c:pt idx="132">
                  <c:v>3.7610904635237801</c:v>
                </c:pt>
                <c:pt idx="133">
                  <c:v>1.9497492962907272</c:v>
                </c:pt>
                <c:pt idx="134">
                  <c:v>4.3709832815252243</c:v>
                </c:pt>
                <c:pt idx="135">
                  <c:v>6.1397625243920837</c:v>
                </c:pt>
                <c:pt idx="136">
                  <c:v>6.1176768568257005</c:v>
                </c:pt>
                <c:pt idx="138">
                  <c:v>3.1547578371282512</c:v>
                </c:pt>
                <c:pt idx="139">
                  <c:v>4.0242501684858212</c:v>
                </c:pt>
                <c:pt idx="140">
                  <c:v>5.3577295142562713</c:v>
                </c:pt>
                <c:pt idx="141">
                  <c:v>4.0100801561959187</c:v>
                </c:pt>
                <c:pt idx="142">
                  <c:v>12.012444254876828</c:v>
                </c:pt>
                <c:pt idx="143">
                  <c:v>2.6160434155065087</c:v>
                </c:pt>
                <c:pt idx="144">
                  <c:v>4.3094119352600435</c:v>
                </c:pt>
                <c:pt idx="145">
                  <c:v>1.158634758999957</c:v>
                </c:pt>
                <c:pt idx="146">
                  <c:v>1.9152941934489078</c:v>
                </c:pt>
                <c:pt idx="147">
                  <c:v>2.3483646029011305</c:v>
                </c:pt>
                <c:pt idx="148">
                  <c:v>2.3483646029011305</c:v>
                </c:pt>
                <c:pt idx="149">
                  <c:v>5.2838203565275439</c:v>
                </c:pt>
                <c:pt idx="150">
                  <c:v>3.6569232472378053</c:v>
                </c:pt>
                <c:pt idx="151">
                  <c:v>3.6446926433477898</c:v>
                </c:pt>
                <c:pt idx="152">
                  <c:v>2.8224499830085281</c:v>
                </c:pt>
                <c:pt idx="153">
                  <c:v>4.2232004690800098</c:v>
                </c:pt>
                <c:pt idx="154">
                  <c:v>5.180189204809805</c:v>
                </c:pt>
                <c:pt idx="155">
                  <c:v>1.6581187712688867</c:v>
                </c:pt>
                <c:pt idx="156">
                  <c:v>3.5745849436155295</c:v>
                </c:pt>
                <c:pt idx="157">
                  <c:v>5.0842376287569335</c:v>
                </c:pt>
                <c:pt idx="158">
                  <c:v>3.2539120824044372</c:v>
                </c:pt>
                <c:pt idx="159">
                  <c:v>5.0842376287569335</c:v>
                </c:pt>
                <c:pt idx="160">
                  <c:v>4.3637950173074156</c:v>
                </c:pt>
                <c:pt idx="161">
                  <c:v>5.0094585657865736</c:v>
                </c:pt>
                <c:pt idx="162">
                  <c:v>3.2060534821034068</c:v>
                </c:pt>
                <c:pt idx="163">
                  <c:v>3.4787906706851204</c:v>
                </c:pt>
                <c:pt idx="164">
                  <c:v>6.8184297145428356</c:v>
                </c:pt>
                <c:pt idx="165">
                  <c:v>3.2060534821034068</c:v>
                </c:pt>
                <c:pt idx="166">
                  <c:v>5.683225037623167</c:v>
                </c:pt>
                <c:pt idx="167">
                  <c:v>2.927574423230888</c:v>
                </c:pt>
                <c:pt idx="168">
                  <c:v>9.7072709793952185</c:v>
                </c:pt>
                <c:pt idx="169">
                  <c:v>4.3023249276878639</c:v>
                </c:pt>
                <c:pt idx="170">
                  <c:v>2.656027123725671</c:v>
                </c:pt>
                <c:pt idx="171">
                  <c:v>5.4714159488675005</c:v>
                </c:pt>
                <c:pt idx="172">
                  <c:v>2.3563422201665696</c:v>
                </c:pt>
                <c:pt idx="173">
                  <c:v>2.3563422201665696</c:v>
                </c:pt>
                <c:pt idx="174">
                  <c:v>2.798132647884243</c:v>
                </c:pt>
                <c:pt idx="175">
                  <c:v>5.4030160790471182</c:v>
                </c:pt>
                <c:pt idx="176">
                  <c:v>5.3635765994289457</c:v>
                </c:pt>
                <c:pt idx="177">
                  <c:v>3.2426354680371099</c:v>
                </c:pt>
                <c:pt idx="178">
                  <c:v>8.2817515247069799</c:v>
                </c:pt>
                <c:pt idx="179">
                  <c:v>2.4936581708581032</c:v>
                </c:pt>
                <c:pt idx="180">
                  <c:v>2.2669147957356732</c:v>
                </c:pt>
                <c:pt idx="181">
                  <c:v>3.5434669222605031</c:v>
                </c:pt>
                <c:pt idx="182">
                  <c:v>2.9474705272027482</c:v>
                </c:pt>
                <c:pt idx="183">
                  <c:v>3.9939246685859824</c:v>
                </c:pt>
                <c:pt idx="184">
                  <c:v>0.60970866026727233</c:v>
                </c:pt>
                <c:pt idx="185">
                  <c:v>4.2331802135669223</c:v>
                </c:pt>
                <c:pt idx="186">
                  <c:v>1.9861065605495485</c:v>
                </c:pt>
                <c:pt idx="187">
                  <c:v>1.9861065605495485</c:v>
                </c:pt>
                <c:pt idx="188">
                  <c:v>1.5989366414013348</c:v>
                </c:pt>
                <c:pt idx="189">
                  <c:v>4.1254734330831369</c:v>
                </c:pt>
                <c:pt idx="190">
                  <c:v>2.8144080811770875</c:v>
                </c:pt>
                <c:pt idx="191">
                  <c:v>3.8307221104910369</c:v>
                </c:pt>
                <c:pt idx="192">
                  <c:v>2.3648845682113029</c:v>
                </c:pt>
                <c:pt idx="193">
                  <c:v>3.7584270097761285</c:v>
                </c:pt>
                <c:pt idx="194">
                  <c:v>2.3202534090964879</c:v>
                </c:pt>
                <c:pt idx="195">
                  <c:v>2.5359794491984338</c:v>
                </c:pt>
                <c:pt idx="196">
                  <c:v>5.2205701704670986</c:v>
                </c:pt>
                <c:pt idx="197">
                  <c:v>5.2205701704670986</c:v>
                </c:pt>
                <c:pt idx="198">
                  <c:v>2.99066695380102</c:v>
                </c:pt>
                <c:pt idx="199">
                  <c:v>3.4323419964421507</c:v>
                </c:pt>
                <c:pt idx="200">
                  <c:v>2.9426800381019809</c:v>
                </c:pt>
                <c:pt idx="201">
                  <c:v>3.6912978397951255</c:v>
                </c:pt>
                <c:pt idx="202">
                  <c:v>2.6885936741497143</c:v>
                </c:pt>
                <c:pt idx="203">
                  <c:v>3.4027513688457325</c:v>
                </c:pt>
                <c:pt idx="204">
                  <c:v>5.717929254919099</c:v>
                </c:pt>
                <c:pt idx="205">
                  <c:v>3.155363409245151</c:v>
                </c:pt>
                <c:pt idx="206">
                  <c:v>4.7395544564949299</c:v>
                </c:pt>
                <c:pt idx="207">
                  <c:v>3.3741554675632859</c:v>
                </c:pt>
                <c:pt idx="208">
                  <c:v>3.8732738996412217</c:v>
                </c:pt>
                <c:pt idx="209">
                  <c:v>6.5756948991692861</c:v>
                </c:pt>
                <c:pt idx="210">
                  <c:v>4.0984247986512186</c:v>
                </c:pt>
                <c:pt idx="211">
                  <c:v>4.959094006367974</c:v>
                </c:pt>
                <c:pt idx="212">
                  <c:v>4.0984247986512186</c:v>
                </c:pt>
                <c:pt idx="213">
                  <c:v>6.2251481146602732</c:v>
                </c:pt>
                <c:pt idx="214">
                  <c:v>4.0476650894663226</c:v>
                </c:pt>
                <c:pt idx="215">
                  <c:v>7.1320297634823948</c:v>
                </c:pt>
                <c:pt idx="216">
                  <c:v>3.4339419918239478</c:v>
                </c:pt>
                <c:pt idx="217">
                  <c:v>5.183167127984345</c:v>
                </c:pt>
                <c:pt idx="218">
                  <c:v>3.8931521253209498</c:v>
                </c:pt>
                <c:pt idx="219">
                  <c:v>3.8928083666007542</c:v>
                </c:pt>
                <c:pt idx="220">
                  <c:v>2.2729500681618564</c:v>
                </c:pt>
                <c:pt idx="221">
                  <c:v>1.7186768001223864</c:v>
                </c:pt>
                <c:pt idx="222">
                  <c:v>7.1752198553821742</c:v>
                </c:pt>
                <c:pt idx="223">
                  <c:v>5.1950834987354115</c:v>
                </c:pt>
                <c:pt idx="224">
                  <c:v>3.8167960398872416</c:v>
                </c:pt>
                <c:pt idx="225">
                  <c:v>2.0453230173358823</c:v>
                </c:pt>
                <c:pt idx="226">
                  <c:v>2.8558956784854206</c:v>
                </c:pt>
                <c:pt idx="227">
                  <c:v>2.6313526806070402</c:v>
                </c:pt>
                <c:pt idx="228">
                  <c:v>2.0269280514244907</c:v>
                </c:pt>
                <c:pt idx="229">
                  <c:v>3.1326476245312533</c:v>
                </c:pt>
                <c:pt idx="230">
                  <c:v>1.6310436884380415</c:v>
                </c:pt>
                <c:pt idx="231">
                  <c:v>2.1248556044623652</c:v>
                </c:pt>
                <c:pt idx="232">
                  <c:v>1.0141229952496562</c:v>
                </c:pt>
                <c:pt idx="233">
                  <c:v>0.88130337034408956</c:v>
                </c:pt>
                <c:pt idx="234">
                  <c:v>4.7789757406283035</c:v>
                </c:pt>
                <c:pt idx="235">
                  <c:v>1.9873729031593514</c:v>
                </c:pt>
                <c:pt idx="236">
                  <c:v>2.1620195680066696</c:v>
                </c:pt>
                <c:pt idx="237">
                  <c:v>3.491699137392716</c:v>
                </c:pt>
                <c:pt idx="238">
                  <c:v>3.491699137392716</c:v>
                </c:pt>
                <c:pt idx="239">
                  <c:v>2.9427488564535231</c:v>
                </c:pt>
                <c:pt idx="240">
                  <c:v>4.5941157410181814</c:v>
                </c:pt>
                <c:pt idx="241">
                  <c:v>4.5939651880287649</c:v>
                </c:pt>
                <c:pt idx="242">
                  <c:v>1.5858208906955265</c:v>
                </c:pt>
                <c:pt idx="243">
                  <c:v>1.4882891226076289</c:v>
                </c:pt>
                <c:pt idx="244">
                  <c:v>2.32545175407442</c:v>
                </c:pt>
                <c:pt idx="245">
                  <c:v>1.9598147827285595</c:v>
                </c:pt>
                <c:pt idx="246">
                  <c:v>5.909085629636321</c:v>
                </c:pt>
                <c:pt idx="247">
                  <c:v>1.4694479941602776</c:v>
                </c:pt>
                <c:pt idx="248">
                  <c:v>2.1941739283451733</c:v>
                </c:pt>
                <c:pt idx="249">
                  <c:v>1.9274151986548655</c:v>
                </c:pt>
                <c:pt idx="250">
                  <c:v>2.8269415758684477</c:v>
                </c:pt>
                <c:pt idx="251">
                  <c:v>1.7424618479878016</c:v>
                </c:pt>
                <c:pt idx="252">
                  <c:v>1.897057143613242</c:v>
                </c:pt>
                <c:pt idx="253">
                  <c:v>6.2593134163108948</c:v>
                </c:pt>
                <c:pt idx="254">
                  <c:v>2.040602542145026</c:v>
                </c:pt>
                <c:pt idx="255">
                  <c:v>2.580710250199584</c:v>
                </c:pt>
                <c:pt idx="256">
                  <c:v>2.580710250199584</c:v>
                </c:pt>
                <c:pt idx="257">
                  <c:v>3.1789661072501145</c:v>
                </c:pt>
                <c:pt idx="258">
                  <c:v>2.3877567650011966</c:v>
                </c:pt>
                <c:pt idx="259">
                  <c:v>1.9981994712492421</c:v>
                </c:pt>
                <c:pt idx="260">
                  <c:v>3.1113078864115056</c:v>
                </c:pt>
                <c:pt idx="261">
                  <c:v>1.6731922411368541</c:v>
                </c:pt>
                <c:pt idx="262">
                  <c:v>3.3035670574349605</c:v>
                </c:pt>
                <c:pt idx="263">
                  <c:v>2.6917306238322545</c:v>
                </c:pt>
                <c:pt idx="264">
                  <c:v>4.9408101079158815</c:v>
                </c:pt>
                <c:pt idx="265">
                  <c:v>1.3641146802538073</c:v>
                </c:pt>
                <c:pt idx="266">
                  <c:v>0.75255478429539235</c:v>
                </c:pt>
                <c:pt idx="267">
                  <c:v>0.74558628427704932</c:v>
                </c:pt>
                <c:pt idx="268">
                  <c:v>0.7433200505887303</c:v>
                </c:pt>
                <c:pt idx="269">
                  <c:v>1.8971676703014757</c:v>
                </c:pt>
                <c:pt idx="270">
                  <c:v>2.0585586700319833</c:v>
                </c:pt>
                <c:pt idx="271">
                  <c:v>1.8695082172798838</c:v>
                </c:pt>
              </c:numCache>
            </c:numRef>
          </c:xVal>
          <c:yVal>
            <c:numRef>
              <c:f>'Task 1 Converted AMI PDF Stats'!$AF$5:$AF$279</c:f>
              <c:numCache>
                <c:formatCode>0.000</c:formatCode>
                <c:ptCount val="275"/>
                <c:pt idx="0">
                  <c:v>0.77377924152646393</c:v>
                </c:pt>
                <c:pt idx="2">
                  <c:v>1.1228903734821429</c:v>
                </c:pt>
                <c:pt idx="3">
                  <c:v>1.3932922832728796</c:v>
                </c:pt>
                <c:pt idx="4">
                  <c:v>0.86999505684626788</c:v>
                </c:pt>
                <c:pt idx="6">
                  <c:v>1.3287770314485183</c:v>
                </c:pt>
                <c:pt idx="7">
                  <c:v>1.3894350580965908</c:v>
                </c:pt>
                <c:pt idx="8">
                  <c:v>0.16049382716049382</c:v>
                </c:pt>
                <c:pt idx="9">
                  <c:v>0.76165462902166781</c:v>
                </c:pt>
                <c:pt idx="10">
                  <c:v>0.61875000000000002</c:v>
                </c:pt>
                <c:pt idx="11">
                  <c:v>0.61875000000000002</c:v>
                </c:pt>
                <c:pt idx="12">
                  <c:v>0.62319999999999998</c:v>
                </c:pt>
                <c:pt idx="13">
                  <c:v>0.55500000000000005</c:v>
                </c:pt>
                <c:pt idx="14">
                  <c:v>0.68413793103448273</c:v>
                </c:pt>
                <c:pt idx="15">
                  <c:v>0.93127962085308058</c:v>
                </c:pt>
                <c:pt idx="16">
                  <c:v>1.675</c:v>
                </c:pt>
                <c:pt idx="17">
                  <c:v>0.91363636363636369</c:v>
                </c:pt>
                <c:pt idx="18">
                  <c:v>0.81083333333333329</c:v>
                </c:pt>
                <c:pt idx="19">
                  <c:v>0.67082388510959945</c:v>
                </c:pt>
                <c:pt idx="20">
                  <c:v>1.1757777777777778</c:v>
                </c:pt>
                <c:pt idx="21">
                  <c:v>0.91266666666666663</c:v>
                </c:pt>
                <c:pt idx="22">
                  <c:v>0.90625</c:v>
                </c:pt>
                <c:pt idx="23">
                  <c:v>0.75073313782991202</c:v>
                </c:pt>
                <c:pt idx="24">
                  <c:v>0.94814814814814818</c:v>
                </c:pt>
                <c:pt idx="25">
                  <c:v>0.8783333333333333</c:v>
                </c:pt>
                <c:pt idx="26">
                  <c:v>0.95327102803738317</c:v>
                </c:pt>
                <c:pt idx="27">
                  <c:v>0.53440553745928343</c:v>
                </c:pt>
                <c:pt idx="28">
                  <c:v>0.71106283422459893</c:v>
                </c:pt>
                <c:pt idx="29">
                  <c:v>0.66500000000000004</c:v>
                </c:pt>
                <c:pt idx="30">
                  <c:v>0.66500000000000004</c:v>
                </c:pt>
                <c:pt idx="31">
                  <c:v>0.66500000000000004</c:v>
                </c:pt>
                <c:pt idx="32">
                  <c:v>0.59791666666666665</c:v>
                </c:pt>
                <c:pt idx="33">
                  <c:v>0.59791666666666665</c:v>
                </c:pt>
                <c:pt idx="34">
                  <c:v>0.59791666666666665</c:v>
                </c:pt>
                <c:pt idx="35">
                  <c:v>0.89408099688473519</c:v>
                </c:pt>
                <c:pt idx="36">
                  <c:v>0.85833333333333328</c:v>
                </c:pt>
                <c:pt idx="37">
                  <c:v>0.61250000000000004</c:v>
                </c:pt>
                <c:pt idx="38">
                  <c:v>0.91588785046728971</c:v>
                </c:pt>
                <c:pt idx="39">
                  <c:v>1.2366666666666666</c:v>
                </c:pt>
                <c:pt idx="40">
                  <c:v>0.96448598130841123</c:v>
                </c:pt>
                <c:pt idx="41">
                  <c:v>2.4827586206896552</c:v>
                </c:pt>
                <c:pt idx="42">
                  <c:v>0.90196078431372551</c:v>
                </c:pt>
                <c:pt idx="43">
                  <c:v>0.86755555555555552</c:v>
                </c:pt>
                <c:pt idx="44">
                  <c:v>0.73684210526315785</c:v>
                </c:pt>
                <c:pt idx="45">
                  <c:v>0.66390070921985811</c:v>
                </c:pt>
                <c:pt idx="46">
                  <c:v>0.65175953079178883</c:v>
                </c:pt>
                <c:pt idx="47">
                  <c:v>0.77562500000000001</c:v>
                </c:pt>
                <c:pt idx="48">
                  <c:v>0.75</c:v>
                </c:pt>
                <c:pt idx="49">
                  <c:v>0.76649560117302051</c:v>
                </c:pt>
                <c:pt idx="50">
                  <c:v>0.7595307917888563</c:v>
                </c:pt>
                <c:pt idx="51">
                  <c:v>0.76246334310850439</c:v>
                </c:pt>
                <c:pt idx="52">
                  <c:v>0.68611111111111112</c:v>
                </c:pt>
                <c:pt idx="53">
                  <c:v>1.1099252934898614</c:v>
                </c:pt>
                <c:pt idx="54">
                  <c:v>1.1099252934898614</c:v>
                </c:pt>
                <c:pt idx="55">
                  <c:v>0.6908928571428572</c:v>
                </c:pt>
                <c:pt idx="56">
                  <c:v>0.63051654002609558</c:v>
                </c:pt>
                <c:pt idx="57">
                  <c:v>0.63051654002609558</c:v>
                </c:pt>
                <c:pt idx="58">
                  <c:v>0.79500000000000004</c:v>
                </c:pt>
                <c:pt idx="59">
                  <c:v>0.79500000000000004</c:v>
                </c:pt>
                <c:pt idx="60">
                  <c:v>0.84866666666666668</c:v>
                </c:pt>
                <c:pt idx="61">
                  <c:v>0.63809523809523805</c:v>
                </c:pt>
                <c:pt idx="62">
                  <c:v>0.78592375366568912</c:v>
                </c:pt>
                <c:pt idx="63">
                  <c:v>1.182899022801303</c:v>
                </c:pt>
                <c:pt idx="64">
                  <c:v>0.48130434782608694</c:v>
                </c:pt>
                <c:pt idx="65">
                  <c:v>0.85499999999999998</c:v>
                </c:pt>
                <c:pt idx="66">
                  <c:v>0.8671875</c:v>
                </c:pt>
                <c:pt idx="67">
                  <c:v>0.83978013029315957</c:v>
                </c:pt>
                <c:pt idx="68">
                  <c:v>0.78964843750000002</c:v>
                </c:pt>
                <c:pt idx="69">
                  <c:v>1.0183111111111112</c:v>
                </c:pt>
                <c:pt idx="70">
                  <c:v>0.80729166666666663</c:v>
                </c:pt>
                <c:pt idx="71">
                  <c:v>1.267100977198697</c:v>
                </c:pt>
                <c:pt idx="72">
                  <c:v>1.1848484848484848</c:v>
                </c:pt>
                <c:pt idx="73">
                  <c:v>2.9889999999999999</c:v>
                </c:pt>
                <c:pt idx="74">
                  <c:v>1.3624000000000001</c:v>
                </c:pt>
                <c:pt idx="75">
                  <c:v>0.99813333333333332</c:v>
                </c:pt>
                <c:pt idx="76">
                  <c:v>0.81149946638207049</c:v>
                </c:pt>
                <c:pt idx="77">
                  <c:v>0.8731323372465315</c:v>
                </c:pt>
                <c:pt idx="78">
                  <c:v>0.89683470105509966</c:v>
                </c:pt>
                <c:pt idx="79">
                  <c:v>1.7</c:v>
                </c:pt>
                <c:pt idx="80">
                  <c:v>0.92316384180790956</c:v>
                </c:pt>
                <c:pt idx="81">
                  <c:v>1.1466666666666667</c:v>
                </c:pt>
                <c:pt idx="82">
                  <c:v>0.91733333333333333</c:v>
                </c:pt>
                <c:pt idx="83">
                  <c:v>1.0882275132275132</c:v>
                </c:pt>
                <c:pt idx="84">
                  <c:v>0.93604519774011297</c:v>
                </c:pt>
                <c:pt idx="85">
                  <c:v>1.1052268017499425</c:v>
                </c:pt>
                <c:pt idx="86">
                  <c:v>1.0550996483001172</c:v>
                </c:pt>
                <c:pt idx="87">
                  <c:v>3.3460000000000001</c:v>
                </c:pt>
                <c:pt idx="88">
                  <c:v>3.3460000000000001</c:v>
                </c:pt>
                <c:pt idx="89">
                  <c:v>3.3460000000000001</c:v>
                </c:pt>
                <c:pt idx="90">
                  <c:v>0.91132530120481925</c:v>
                </c:pt>
                <c:pt idx="91">
                  <c:v>1.0291999999999999</c:v>
                </c:pt>
                <c:pt idx="92">
                  <c:v>1.3822751322751323</c:v>
                </c:pt>
                <c:pt idx="94">
                  <c:v>1.0551724137931036</c:v>
                </c:pt>
                <c:pt idx="95">
                  <c:v>0.96328928046989726</c:v>
                </c:pt>
                <c:pt idx="96">
                  <c:v>0.91588785046728971</c:v>
                </c:pt>
                <c:pt idx="97">
                  <c:v>0.73058823529411765</c:v>
                </c:pt>
                <c:pt idx="98">
                  <c:v>0.8393518518518519</c:v>
                </c:pt>
                <c:pt idx="99">
                  <c:v>0.99067909454061254</c:v>
                </c:pt>
                <c:pt idx="100">
                  <c:v>1.1504660452729694</c:v>
                </c:pt>
                <c:pt idx="101">
                  <c:v>0.87976539589442815</c:v>
                </c:pt>
                <c:pt idx="102">
                  <c:v>0.79947916666666663</c:v>
                </c:pt>
                <c:pt idx="103">
                  <c:v>2.9889999999999999</c:v>
                </c:pt>
                <c:pt idx="104">
                  <c:v>0.89943502824858756</c:v>
                </c:pt>
                <c:pt idx="105">
                  <c:v>0.96</c:v>
                </c:pt>
                <c:pt idx="106">
                  <c:v>1.0505050505050506</c:v>
                </c:pt>
                <c:pt idx="107">
                  <c:v>0.93333333333333335</c:v>
                </c:pt>
                <c:pt idx="111">
                  <c:v>0.53181818181818186</c:v>
                </c:pt>
                <c:pt idx="112">
                  <c:v>0.53181818181818186</c:v>
                </c:pt>
                <c:pt idx="113">
                  <c:v>0.42714285714285716</c:v>
                </c:pt>
                <c:pt idx="114">
                  <c:v>0.44626865671641791</c:v>
                </c:pt>
                <c:pt idx="115">
                  <c:v>0.91384615384615386</c:v>
                </c:pt>
                <c:pt idx="117">
                  <c:v>0.45916666666666667</c:v>
                </c:pt>
                <c:pt idx="118">
                  <c:v>0.57111597374179435</c:v>
                </c:pt>
                <c:pt idx="119">
                  <c:v>1.3834771886559802</c:v>
                </c:pt>
                <c:pt idx="120">
                  <c:v>0.65645514223194745</c:v>
                </c:pt>
                <c:pt idx="121">
                  <c:v>0.94874999999999998</c:v>
                </c:pt>
                <c:pt idx="122">
                  <c:v>0.92125000000000001</c:v>
                </c:pt>
                <c:pt idx="123">
                  <c:v>0.97750000000000004</c:v>
                </c:pt>
                <c:pt idx="125">
                  <c:v>0.51851851851851849</c:v>
                </c:pt>
                <c:pt idx="126">
                  <c:v>0.69548872180451127</c:v>
                </c:pt>
                <c:pt idx="127">
                  <c:v>0.57954545454545459</c:v>
                </c:pt>
                <c:pt idx="128">
                  <c:v>0.70516934046345814</c:v>
                </c:pt>
                <c:pt idx="129">
                  <c:v>0.87293233082706767</c:v>
                </c:pt>
                <c:pt idx="130">
                  <c:v>0.96899224806201545</c:v>
                </c:pt>
                <c:pt idx="131">
                  <c:v>1.5315384615384615</c:v>
                </c:pt>
                <c:pt idx="132">
                  <c:v>0.84888059701492535</c:v>
                </c:pt>
                <c:pt idx="133">
                  <c:v>0.6552</c:v>
                </c:pt>
                <c:pt idx="134">
                  <c:v>0.92</c:v>
                </c:pt>
                <c:pt idx="135">
                  <c:v>0.6862470862470863</c:v>
                </c:pt>
                <c:pt idx="136">
                  <c:v>0.91009174311926611</c:v>
                </c:pt>
                <c:pt idx="138">
                  <c:v>2.1083333333333334</c:v>
                </c:pt>
                <c:pt idx="139">
                  <c:v>0.66054054054054057</c:v>
                </c:pt>
                <c:pt idx="140">
                  <c:v>1.3623188405797102</c:v>
                </c:pt>
                <c:pt idx="141">
                  <c:v>0.83700440528634357</c:v>
                </c:pt>
                <c:pt idx="142">
                  <c:v>0.57785888077858882</c:v>
                </c:pt>
                <c:pt idx="143">
                  <c:v>0.73888888888888893</c:v>
                </c:pt>
                <c:pt idx="144">
                  <c:v>0.74057142857142855</c:v>
                </c:pt>
                <c:pt idx="145">
                  <c:v>1.0418604651162791</c:v>
                </c:pt>
                <c:pt idx="146">
                  <c:v>0.34560000000000002</c:v>
                </c:pt>
                <c:pt idx="147">
                  <c:v>0.9468599033816425</c:v>
                </c:pt>
                <c:pt idx="148">
                  <c:v>0.84409991386735572</c:v>
                </c:pt>
                <c:pt idx="149">
                  <c:v>0.62820512820512819</c:v>
                </c:pt>
                <c:pt idx="150">
                  <c:v>1.03125</c:v>
                </c:pt>
                <c:pt idx="151">
                  <c:v>1.9841269841269842</c:v>
                </c:pt>
                <c:pt idx="152">
                  <c:v>0.81481481481481477</c:v>
                </c:pt>
                <c:pt idx="153">
                  <c:v>1.0353383458646617</c:v>
                </c:pt>
                <c:pt idx="154">
                  <c:v>0.71691176470588236</c:v>
                </c:pt>
                <c:pt idx="155">
                  <c:v>1.6227272727272728</c:v>
                </c:pt>
                <c:pt idx="156">
                  <c:v>1.4971751412429379</c:v>
                </c:pt>
                <c:pt idx="157">
                  <c:v>0.66</c:v>
                </c:pt>
                <c:pt idx="158">
                  <c:v>0.88</c:v>
                </c:pt>
                <c:pt idx="159">
                  <c:v>0.94745908699397074</c:v>
                </c:pt>
                <c:pt idx="160">
                  <c:v>0.60254491017964074</c:v>
                </c:pt>
                <c:pt idx="161">
                  <c:v>1.3218390804597702</c:v>
                </c:pt>
                <c:pt idx="162">
                  <c:v>0.61333333333333329</c:v>
                </c:pt>
                <c:pt idx="163">
                  <c:v>0.54041353383458646</c:v>
                </c:pt>
                <c:pt idx="164">
                  <c:v>0.77403846153846156</c:v>
                </c:pt>
                <c:pt idx="165">
                  <c:v>0.81176470588235294</c:v>
                </c:pt>
                <c:pt idx="166">
                  <c:v>0.80695652173913046</c:v>
                </c:pt>
                <c:pt idx="167">
                  <c:v>0.65842916564717402</c:v>
                </c:pt>
                <c:pt idx="168">
                  <c:v>0.55533333333333335</c:v>
                </c:pt>
                <c:pt idx="169">
                  <c:v>0.76363636363636367</c:v>
                </c:pt>
                <c:pt idx="170">
                  <c:v>0.50769230769230766</c:v>
                </c:pt>
                <c:pt idx="171">
                  <c:v>0.69333333333333336</c:v>
                </c:pt>
                <c:pt idx="172">
                  <c:v>1.8827586206896552</c:v>
                </c:pt>
                <c:pt idx="173">
                  <c:v>0.77556818181818177</c:v>
                </c:pt>
                <c:pt idx="174">
                  <c:v>0.76098765432098769</c:v>
                </c:pt>
                <c:pt idx="175">
                  <c:v>0.6</c:v>
                </c:pt>
                <c:pt idx="176">
                  <c:v>0.73599999999999999</c:v>
                </c:pt>
                <c:pt idx="177">
                  <c:v>0.43082524271844658</c:v>
                </c:pt>
                <c:pt idx="178">
                  <c:v>1.1697341513292434</c:v>
                </c:pt>
                <c:pt idx="179">
                  <c:v>0.53166666666666662</c:v>
                </c:pt>
                <c:pt idx="180">
                  <c:v>0.76649999999999996</c:v>
                </c:pt>
                <c:pt idx="181">
                  <c:v>0.89383640552995391</c:v>
                </c:pt>
                <c:pt idx="182">
                  <c:v>1.1839999999999999</c:v>
                </c:pt>
                <c:pt idx="183">
                  <c:v>0.72413793103448276</c:v>
                </c:pt>
                <c:pt idx="184">
                  <c:v>4.4285714285714288</c:v>
                </c:pt>
                <c:pt idx="185">
                  <c:v>0.90190000000000003</c:v>
                </c:pt>
                <c:pt idx="186">
                  <c:v>1.1489361702127661</c:v>
                </c:pt>
                <c:pt idx="187">
                  <c:v>0.73636363636363633</c:v>
                </c:pt>
                <c:pt idx="188">
                  <c:v>0.67500000000000004</c:v>
                </c:pt>
                <c:pt idx="189">
                  <c:v>0.78001921229586935</c:v>
                </c:pt>
                <c:pt idx="190">
                  <c:v>0.65175718849840258</c:v>
                </c:pt>
                <c:pt idx="191">
                  <c:v>0.72121212121212119</c:v>
                </c:pt>
                <c:pt idx="192">
                  <c:v>0.38958333333333334</c:v>
                </c:pt>
                <c:pt idx="193">
                  <c:v>0.875</c:v>
                </c:pt>
                <c:pt idx="194">
                  <c:v>0.82499999999999996</c:v>
                </c:pt>
                <c:pt idx="195">
                  <c:v>0.6918449197860963</c:v>
                </c:pt>
                <c:pt idx="196">
                  <c:v>1.0049061072576553</c:v>
                </c:pt>
                <c:pt idx="197">
                  <c:v>0.82499999999999996</c:v>
                </c:pt>
                <c:pt idx="198">
                  <c:v>1.1242236024844721</c:v>
                </c:pt>
                <c:pt idx="199">
                  <c:v>1.703187250996016</c:v>
                </c:pt>
                <c:pt idx="200">
                  <c:v>1.0303687635574836</c:v>
                </c:pt>
                <c:pt idx="201">
                  <c:v>1.1565217391304348</c:v>
                </c:pt>
                <c:pt idx="202">
                  <c:v>1.4181818181818182</c:v>
                </c:pt>
                <c:pt idx="203">
                  <c:v>0.92368421052631577</c:v>
                </c:pt>
                <c:pt idx="204">
                  <c:v>0.95188284518828448</c:v>
                </c:pt>
                <c:pt idx="205">
                  <c:v>1.2596273291925466</c:v>
                </c:pt>
                <c:pt idx="206">
                  <c:v>0.83116883116883122</c:v>
                </c:pt>
                <c:pt idx="207">
                  <c:v>1.0567514677103718</c:v>
                </c:pt>
                <c:pt idx="208">
                  <c:v>1.462608695652174</c:v>
                </c:pt>
                <c:pt idx="209">
                  <c:v>0.70838881491344874</c:v>
                </c:pt>
                <c:pt idx="210">
                  <c:v>0.94029850746268662</c:v>
                </c:pt>
                <c:pt idx="211">
                  <c:v>0.96250000000000002</c:v>
                </c:pt>
                <c:pt idx="212">
                  <c:v>0.92375366568914952</c:v>
                </c:pt>
                <c:pt idx="213">
                  <c:v>0.56170729933992347</c:v>
                </c:pt>
                <c:pt idx="214">
                  <c:v>1.0900000000000001</c:v>
                </c:pt>
                <c:pt idx="215">
                  <c:v>0.66786290187500008</c:v>
                </c:pt>
                <c:pt idx="216">
                  <c:v>1.8988505747126436</c:v>
                </c:pt>
                <c:pt idx="217">
                  <c:v>0.91527389629365086</c:v>
                </c:pt>
                <c:pt idx="218">
                  <c:v>1.1970684039087949</c:v>
                </c:pt>
                <c:pt idx="220">
                  <c:v>0.95833333333333337</c:v>
                </c:pt>
                <c:pt idx="221">
                  <c:v>1.0869565217391304</c:v>
                </c:pt>
                <c:pt idx="222">
                  <c:v>0.76649560117302051</c:v>
                </c:pt>
                <c:pt idx="223">
                  <c:v>0.83165783220617806</c:v>
                </c:pt>
                <c:pt idx="224">
                  <c:v>1.1436950146627567</c:v>
                </c:pt>
                <c:pt idx="226">
                  <c:v>1.1789655172413793</c:v>
                </c:pt>
                <c:pt idx="227">
                  <c:v>1.0676569220481835</c:v>
                </c:pt>
                <c:pt idx="228">
                  <c:v>0.87096774193548387</c:v>
                </c:pt>
                <c:pt idx="229">
                  <c:v>1.8944444444444444</c:v>
                </c:pt>
                <c:pt idx="230">
                  <c:v>1.56</c:v>
                </c:pt>
                <c:pt idx="231">
                  <c:v>1.7485714285714287</c:v>
                </c:pt>
                <c:pt idx="232">
                  <c:v>1.276</c:v>
                </c:pt>
                <c:pt idx="233">
                  <c:v>2.2706422018348622</c:v>
                </c:pt>
                <c:pt idx="234">
                  <c:v>0.87238805970149258</c:v>
                </c:pt>
                <c:pt idx="235">
                  <c:v>1.5059523809523809</c:v>
                </c:pt>
                <c:pt idx="236">
                  <c:v>1.3636363636363635</c:v>
                </c:pt>
                <c:pt idx="237">
                  <c:v>2.859375</c:v>
                </c:pt>
                <c:pt idx="238">
                  <c:v>2.859375</c:v>
                </c:pt>
                <c:pt idx="239">
                  <c:v>0.95108695652173914</c:v>
                </c:pt>
                <c:pt idx="240">
                  <c:v>0.71104690221920286</c:v>
                </c:pt>
                <c:pt idx="241">
                  <c:v>0.70224119530416218</c:v>
                </c:pt>
                <c:pt idx="242">
                  <c:v>1.8036866359447006</c:v>
                </c:pt>
                <c:pt idx="243">
                  <c:v>1.6594827586206897</c:v>
                </c:pt>
                <c:pt idx="244">
                  <c:v>1.09375</c:v>
                </c:pt>
                <c:pt idx="245">
                  <c:v>1.2406639004149378</c:v>
                </c:pt>
                <c:pt idx="246">
                  <c:v>1.0484503954081634</c:v>
                </c:pt>
                <c:pt idx="247">
                  <c:v>1.3071895424836601</c:v>
                </c:pt>
                <c:pt idx="248">
                  <c:v>1.2433749999999999</c:v>
                </c:pt>
                <c:pt idx="249">
                  <c:v>2.1383219954648527</c:v>
                </c:pt>
                <c:pt idx="250">
                  <c:v>1.3383050847457627</c:v>
                </c:pt>
                <c:pt idx="251">
                  <c:v>1.1211031175059951</c:v>
                </c:pt>
                <c:pt idx="252">
                  <c:v>2.2477272727272726</c:v>
                </c:pt>
                <c:pt idx="253">
                  <c:v>1.0693710132980772</c:v>
                </c:pt>
                <c:pt idx="254">
                  <c:v>1.3380000000000001</c:v>
                </c:pt>
                <c:pt idx="255">
                  <c:v>1.363728813559322</c:v>
                </c:pt>
                <c:pt idx="256">
                  <c:v>1.363728813559322</c:v>
                </c:pt>
                <c:pt idx="257">
                  <c:v>2.2062428501389117</c:v>
                </c:pt>
                <c:pt idx="258">
                  <c:v>2.0580474934036941</c:v>
                </c:pt>
                <c:pt idx="259">
                  <c:v>1.425</c:v>
                </c:pt>
                <c:pt idx="260">
                  <c:v>1.28</c:v>
                </c:pt>
                <c:pt idx="263">
                  <c:v>1.5590909090909091</c:v>
                </c:pt>
                <c:pt idx="264">
                  <c:v>0.81558468607454326</c:v>
                </c:pt>
                <c:pt idx="265">
                  <c:v>1.1690437222352117</c:v>
                </c:pt>
                <c:pt idx="266">
                  <c:v>4.416666666666667</c:v>
                </c:pt>
                <c:pt idx="267">
                  <c:v>4.0875000000000004</c:v>
                </c:pt>
                <c:pt idx="268">
                  <c:v>4.125</c:v>
                </c:pt>
                <c:pt idx="269">
                  <c:v>1.4478260869565218</c:v>
                </c:pt>
                <c:pt idx="270">
                  <c:v>1.3875</c:v>
                </c:pt>
                <c:pt idx="271">
                  <c:v>1.3919999999999999</c:v>
                </c:pt>
              </c:numCache>
            </c:numRef>
          </c:yVal>
          <c:smooth val="1"/>
          <c:extLst>
            <c:ext xmlns:c16="http://schemas.microsoft.com/office/drawing/2014/chart" uri="{C3380CC4-5D6E-409C-BE32-E72D297353CC}">
              <c16:uniqueId val="{00000000-8291-4FEF-9A13-47B9BF8FB6CF}"/>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66572200675190729"/>
                  <c:y val="-0.59000969054777208"/>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Stats'!$AB$5:$AB$12</c:f>
              <c:numCache>
                <c:formatCode>0.000</c:formatCode>
                <c:ptCount val="8"/>
                <c:pt idx="0">
                  <c:v>5.6803900744404476</c:v>
                </c:pt>
                <c:pt idx="1">
                  <c:v>3.9923378136292706</c:v>
                </c:pt>
                <c:pt idx="2">
                  <c:v>4.8228051239780942</c:v>
                </c:pt>
                <c:pt idx="3">
                  <c:v>3.3101255485581182</c:v>
                </c:pt>
                <c:pt idx="4">
                  <c:v>3.6441531796698787</c:v>
                </c:pt>
                <c:pt idx="5">
                  <c:v>4.5618882345661875</c:v>
                </c:pt>
                <c:pt idx="6">
                  <c:v>3.1936420465467181</c:v>
                </c:pt>
                <c:pt idx="7">
                  <c:v>3.9632432750887769</c:v>
                </c:pt>
              </c:numCache>
            </c:numRef>
          </c:xVal>
          <c:yVal>
            <c:numRef>
              <c:f>'Task 1 Converted AMI PDF Stats'!$AF$5:$AF$12</c:f>
              <c:numCache>
                <c:formatCode>0.000</c:formatCode>
                <c:ptCount val="8"/>
                <c:pt idx="0">
                  <c:v>0.77377924152646393</c:v>
                </c:pt>
                <c:pt idx="2">
                  <c:v>1.1228903734821429</c:v>
                </c:pt>
                <c:pt idx="3">
                  <c:v>1.3932922832728796</c:v>
                </c:pt>
                <c:pt idx="4">
                  <c:v>0.86999505684626788</c:v>
                </c:pt>
                <c:pt idx="6">
                  <c:v>1.3287770314485183</c:v>
                </c:pt>
                <c:pt idx="7">
                  <c:v>1.3894350580965908</c:v>
                </c:pt>
              </c:numCache>
            </c:numRef>
          </c:yVal>
          <c:smooth val="1"/>
          <c:extLst>
            <c:ext xmlns:c16="http://schemas.microsoft.com/office/drawing/2014/chart" uri="{C3380CC4-5D6E-409C-BE32-E72D297353CC}">
              <c16:uniqueId val="{00000001-8291-4FEF-9A13-47B9BF8FB6CF}"/>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4299836205391501"/>
                  <c:y val="-0.60998148823073217"/>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Stats'!$AB$13:$AB$98</c:f>
              <c:numCache>
                <c:formatCode>0.000</c:formatCode>
                <c:ptCount val="86"/>
                <c:pt idx="0">
                  <c:v>18.129526171050145</c:v>
                </c:pt>
                <c:pt idx="1">
                  <c:v>11.188148212798456</c:v>
                </c:pt>
                <c:pt idx="2">
                  <c:v>8.863427590462317</c:v>
                </c:pt>
                <c:pt idx="3">
                  <c:v>8.863427590462317</c:v>
                </c:pt>
                <c:pt idx="4">
                  <c:v>8.9965666544738383</c:v>
                </c:pt>
                <c:pt idx="5">
                  <c:v>5.0689235672315451</c:v>
                </c:pt>
                <c:pt idx="6">
                  <c:v>5.5582782984152885</c:v>
                </c:pt>
                <c:pt idx="7">
                  <c:v>4.7965941162487971</c:v>
                </c:pt>
                <c:pt idx="8">
                  <c:v>4.7605281343966332</c:v>
                </c:pt>
                <c:pt idx="9">
                  <c:v>4.7605281343966332</c:v>
                </c:pt>
                <c:pt idx="10">
                  <c:v>4.0966169296767658</c:v>
                </c:pt>
                <c:pt idx="11">
                  <c:v>3.2426354680371099</c:v>
                </c:pt>
                <c:pt idx="12">
                  <c:v>7.0860736483274085</c:v>
                </c:pt>
                <c:pt idx="13">
                  <c:v>7.0053596384384758</c:v>
                </c:pt>
                <c:pt idx="14">
                  <c:v>4.2842992937255229</c:v>
                </c:pt>
                <c:pt idx="15">
                  <c:v>5.1055302681839416</c:v>
                </c:pt>
                <c:pt idx="16">
                  <c:v>5.1055302681839416</c:v>
                </c:pt>
                <c:pt idx="17">
                  <c:v>4.6955662604360784</c:v>
                </c:pt>
                <c:pt idx="18">
                  <c:v>9.8944034103881986</c:v>
                </c:pt>
                <c:pt idx="19">
                  <c:v>6.8050409881831788</c:v>
                </c:pt>
                <c:pt idx="20">
                  <c:v>2.5129238144239823</c:v>
                </c:pt>
                <c:pt idx="21">
                  <c:v>8.305420139539029</c:v>
                </c:pt>
                <c:pt idx="22">
                  <c:v>8.305420139539029</c:v>
                </c:pt>
                <c:pt idx="23">
                  <c:v>8.305420139539029</c:v>
                </c:pt>
                <c:pt idx="24">
                  <c:v>5.6234006641283614</c:v>
                </c:pt>
                <c:pt idx="25">
                  <c:v>5.6234006641283614</c:v>
                </c:pt>
                <c:pt idx="26">
                  <c:v>5.6234006641283614</c:v>
                </c:pt>
                <c:pt idx="27">
                  <c:v>5.6234006641283614</c:v>
                </c:pt>
                <c:pt idx="28">
                  <c:v>4.6930852438451076</c:v>
                </c:pt>
                <c:pt idx="29">
                  <c:v>5.5784115314974922</c:v>
                </c:pt>
                <c:pt idx="30">
                  <c:v>5.5784115314974922</c:v>
                </c:pt>
                <c:pt idx="31">
                  <c:v>3.5589208971827708</c:v>
                </c:pt>
                <c:pt idx="32">
                  <c:v>5.8556225474611105</c:v>
                </c:pt>
                <c:pt idx="33">
                  <c:v>1.1392700630547294</c:v>
                </c:pt>
                <c:pt idx="34">
                  <c:v>5.1842030401547756</c:v>
                </c:pt>
                <c:pt idx="35">
                  <c:v>4.4355850125336005</c:v>
                </c:pt>
                <c:pt idx="36">
                  <c:v>6.9211593339039119</c:v>
                </c:pt>
                <c:pt idx="37">
                  <c:v>5.8588291530871377</c:v>
                </c:pt>
                <c:pt idx="38">
                  <c:v>5.2356717337406913</c:v>
                </c:pt>
                <c:pt idx="39">
                  <c:v>5.6866071697399789</c:v>
                </c:pt>
                <c:pt idx="40">
                  <c:v>6.8294775542007615</c:v>
                </c:pt>
                <c:pt idx="41">
                  <c:v>7.1752198553821742</c:v>
                </c:pt>
                <c:pt idx="42">
                  <c:v>6.7941368049661968</c:v>
                </c:pt>
                <c:pt idx="43">
                  <c:v>6.7854151820217625</c:v>
                </c:pt>
                <c:pt idx="44">
                  <c:v>6.1238372017746396</c:v>
                </c:pt>
                <c:pt idx="45">
                  <c:v>6.7854151820217625</c:v>
                </c:pt>
                <c:pt idx="46">
                  <c:v>6.7854151820217625</c:v>
                </c:pt>
                <c:pt idx="47">
                  <c:v>5.6141584251646828</c:v>
                </c:pt>
                <c:pt idx="48">
                  <c:v>4.0496950621754619</c:v>
                </c:pt>
                <c:pt idx="49">
                  <c:v>4.0496950621754619</c:v>
                </c:pt>
                <c:pt idx="50">
                  <c:v>5.4613993762532758</c:v>
                </c:pt>
                <c:pt idx="51">
                  <c:v>5.4613993762532758</c:v>
                </c:pt>
                <c:pt idx="52">
                  <c:v>6.0622869333689282</c:v>
                </c:pt>
                <c:pt idx="53">
                  <c:v>6.7172154386359315</c:v>
                </c:pt>
                <c:pt idx="54">
                  <c:v>6.7172154386359315</c:v>
                </c:pt>
                <c:pt idx="55">
                  <c:v>3.0567340951131738</c:v>
                </c:pt>
                <c:pt idx="56">
                  <c:v>7.0398058976127444</c:v>
                </c:pt>
                <c:pt idx="57">
                  <c:v>6.0472812112747194</c:v>
                </c:pt>
                <c:pt idx="58">
                  <c:v>5.7331911206614219</c:v>
                </c:pt>
                <c:pt idx="59">
                  <c:v>5.8532786159103924</c:v>
                </c:pt>
                <c:pt idx="60">
                  <c:v>6.0765439568897612</c:v>
                </c:pt>
                <c:pt idx="61">
                  <c:v>3.9034909240082651</c:v>
                </c:pt>
                <c:pt idx="62">
                  <c:v>3.6071194528722388</c:v>
                </c:pt>
                <c:pt idx="63">
                  <c:v>3.3371331501836887</c:v>
                </c:pt>
                <c:pt idx="64">
                  <c:v>5.9225484612567811</c:v>
                </c:pt>
                <c:pt idx="65">
                  <c:v>3.440476131000668</c:v>
                </c:pt>
                <c:pt idx="66">
                  <c:v>2.4980247596376381</c:v>
                </c:pt>
                <c:pt idx="67">
                  <c:v>5.3314991641785028</c:v>
                </c:pt>
                <c:pt idx="68">
                  <c:v>5.4681025812488215</c:v>
                </c:pt>
                <c:pt idx="69">
                  <c:v>5.3362894094626423</c:v>
                </c:pt>
                <c:pt idx="70">
                  <c:v>4.6657656094879973</c:v>
                </c:pt>
                <c:pt idx="71">
                  <c:v>3.240115006588888</c:v>
                </c:pt>
                <c:pt idx="72">
                  <c:v>5.1783563617722512</c:v>
                </c:pt>
                <c:pt idx="73">
                  <c:v>5.7377909825731326</c:v>
                </c:pt>
                <c:pt idx="74">
                  <c:v>3.6721862288468041</c:v>
                </c:pt>
                <c:pt idx="75">
                  <c:v>5.1663693828794512</c:v>
                </c:pt>
                <c:pt idx="76">
                  <c:v>5.1544926297626663</c:v>
                </c:pt>
                <c:pt idx="77">
                  <c:v>3.6169569931379084</c:v>
                </c:pt>
                <c:pt idx="78">
                  <c:v>3.1789661072501145</c:v>
                </c:pt>
                <c:pt idx="79">
                  <c:v>2.7140696587602111</c:v>
                </c:pt>
                <c:pt idx="80">
                  <c:v>2.7140696587602111</c:v>
                </c:pt>
                <c:pt idx="81">
                  <c:v>2.7140696587602111</c:v>
                </c:pt>
                <c:pt idx="82">
                  <c:v>3.3039312864773436</c:v>
                </c:pt>
                <c:pt idx="83">
                  <c:v>3.281666922279959</c:v>
                </c:pt>
                <c:pt idx="84">
                  <c:v>4.7704629024450051</c:v>
                </c:pt>
                <c:pt idx="85">
                  <c:v>3.7519991305130991</c:v>
                </c:pt>
              </c:numCache>
            </c:numRef>
          </c:xVal>
          <c:yVal>
            <c:numRef>
              <c:f>'Task 1 Converted AMI PDF Stats'!$AF$13:$AF$98</c:f>
              <c:numCache>
                <c:formatCode>0.000</c:formatCode>
                <c:ptCount val="86"/>
                <c:pt idx="0">
                  <c:v>0.16049382716049382</c:v>
                </c:pt>
                <c:pt idx="1">
                  <c:v>0.76165462902166781</c:v>
                </c:pt>
                <c:pt idx="2">
                  <c:v>0.61875000000000002</c:v>
                </c:pt>
                <c:pt idx="3">
                  <c:v>0.61875000000000002</c:v>
                </c:pt>
                <c:pt idx="4">
                  <c:v>0.62319999999999998</c:v>
                </c:pt>
                <c:pt idx="5">
                  <c:v>0.55500000000000005</c:v>
                </c:pt>
                <c:pt idx="6">
                  <c:v>0.68413793103448273</c:v>
                </c:pt>
                <c:pt idx="7">
                  <c:v>0.93127962085308058</c:v>
                </c:pt>
                <c:pt idx="8">
                  <c:v>1.675</c:v>
                </c:pt>
                <c:pt idx="9">
                  <c:v>0.91363636363636369</c:v>
                </c:pt>
                <c:pt idx="10">
                  <c:v>0.81083333333333329</c:v>
                </c:pt>
                <c:pt idx="11">
                  <c:v>0.67082388510959945</c:v>
                </c:pt>
                <c:pt idx="12">
                  <c:v>1.1757777777777778</c:v>
                </c:pt>
                <c:pt idx="13">
                  <c:v>0.91266666666666663</c:v>
                </c:pt>
                <c:pt idx="14">
                  <c:v>0.90625</c:v>
                </c:pt>
                <c:pt idx="15">
                  <c:v>0.75073313782991202</c:v>
                </c:pt>
                <c:pt idx="16">
                  <c:v>0.94814814814814818</c:v>
                </c:pt>
                <c:pt idx="17">
                  <c:v>0.8783333333333333</c:v>
                </c:pt>
                <c:pt idx="18">
                  <c:v>0.95327102803738317</c:v>
                </c:pt>
                <c:pt idx="19">
                  <c:v>0.53440553745928343</c:v>
                </c:pt>
                <c:pt idx="20">
                  <c:v>0.71106283422459893</c:v>
                </c:pt>
                <c:pt idx="21">
                  <c:v>0.66500000000000004</c:v>
                </c:pt>
                <c:pt idx="22">
                  <c:v>0.66500000000000004</c:v>
                </c:pt>
                <c:pt idx="23">
                  <c:v>0.66500000000000004</c:v>
                </c:pt>
                <c:pt idx="24">
                  <c:v>0.59791666666666665</c:v>
                </c:pt>
                <c:pt idx="25">
                  <c:v>0.59791666666666665</c:v>
                </c:pt>
                <c:pt idx="26">
                  <c:v>0.59791666666666665</c:v>
                </c:pt>
                <c:pt idx="27">
                  <c:v>0.89408099688473519</c:v>
                </c:pt>
                <c:pt idx="28">
                  <c:v>0.85833333333333328</c:v>
                </c:pt>
                <c:pt idx="29">
                  <c:v>0.61250000000000004</c:v>
                </c:pt>
                <c:pt idx="30">
                  <c:v>0.91588785046728971</c:v>
                </c:pt>
                <c:pt idx="31">
                  <c:v>1.2366666666666666</c:v>
                </c:pt>
                <c:pt idx="32">
                  <c:v>0.96448598130841123</c:v>
                </c:pt>
                <c:pt idx="33">
                  <c:v>2.4827586206896552</c:v>
                </c:pt>
                <c:pt idx="34">
                  <c:v>0.90196078431372551</c:v>
                </c:pt>
                <c:pt idx="35">
                  <c:v>0.86755555555555552</c:v>
                </c:pt>
                <c:pt idx="36">
                  <c:v>0.73684210526315785</c:v>
                </c:pt>
                <c:pt idx="37">
                  <c:v>0.66390070921985811</c:v>
                </c:pt>
                <c:pt idx="38">
                  <c:v>0.65175953079178883</c:v>
                </c:pt>
                <c:pt idx="39">
                  <c:v>0.77562500000000001</c:v>
                </c:pt>
                <c:pt idx="40">
                  <c:v>0.75</c:v>
                </c:pt>
                <c:pt idx="41">
                  <c:v>0.76649560117302051</c:v>
                </c:pt>
                <c:pt idx="42">
                  <c:v>0.7595307917888563</c:v>
                </c:pt>
                <c:pt idx="43">
                  <c:v>0.76246334310850439</c:v>
                </c:pt>
                <c:pt idx="44">
                  <c:v>0.68611111111111112</c:v>
                </c:pt>
                <c:pt idx="45">
                  <c:v>1.1099252934898614</c:v>
                </c:pt>
                <c:pt idx="46">
                  <c:v>1.1099252934898614</c:v>
                </c:pt>
                <c:pt idx="47">
                  <c:v>0.6908928571428572</c:v>
                </c:pt>
                <c:pt idx="48">
                  <c:v>0.63051654002609558</c:v>
                </c:pt>
                <c:pt idx="49">
                  <c:v>0.63051654002609558</c:v>
                </c:pt>
                <c:pt idx="50">
                  <c:v>0.79500000000000004</c:v>
                </c:pt>
                <c:pt idx="51">
                  <c:v>0.79500000000000004</c:v>
                </c:pt>
                <c:pt idx="52">
                  <c:v>0.84866666666666668</c:v>
                </c:pt>
                <c:pt idx="53">
                  <c:v>0.63809523809523805</c:v>
                </c:pt>
                <c:pt idx="54">
                  <c:v>0.78592375366568912</c:v>
                </c:pt>
                <c:pt idx="55">
                  <c:v>1.182899022801303</c:v>
                </c:pt>
                <c:pt idx="56">
                  <c:v>0.48130434782608694</c:v>
                </c:pt>
                <c:pt idx="57">
                  <c:v>0.85499999999999998</c:v>
                </c:pt>
                <c:pt idx="58">
                  <c:v>0.8671875</c:v>
                </c:pt>
                <c:pt idx="59">
                  <c:v>0.83978013029315957</c:v>
                </c:pt>
                <c:pt idx="60">
                  <c:v>0.78964843750000002</c:v>
                </c:pt>
                <c:pt idx="61">
                  <c:v>1.0183111111111112</c:v>
                </c:pt>
                <c:pt idx="62">
                  <c:v>0.80729166666666663</c:v>
                </c:pt>
                <c:pt idx="63">
                  <c:v>1.267100977198697</c:v>
                </c:pt>
                <c:pt idx="64">
                  <c:v>1.1848484848484848</c:v>
                </c:pt>
                <c:pt idx="65">
                  <c:v>2.9889999999999999</c:v>
                </c:pt>
                <c:pt idx="66">
                  <c:v>1.3624000000000001</c:v>
                </c:pt>
                <c:pt idx="67">
                  <c:v>0.99813333333333332</c:v>
                </c:pt>
                <c:pt idx="68">
                  <c:v>0.81149946638207049</c:v>
                </c:pt>
                <c:pt idx="69">
                  <c:v>0.8731323372465315</c:v>
                </c:pt>
                <c:pt idx="70">
                  <c:v>0.89683470105509966</c:v>
                </c:pt>
                <c:pt idx="71">
                  <c:v>1.7</c:v>
                </c:pt>
                <c:pt idx="72">
                  <c:v>0.92316384180790956</c:v>
                </c:pt>
                <c:pt idx="73">
                  <c:v>1.1466666666666667</c:v>
                </c:pt>
                <c:pt idx="74">
                  <c:v>0.91733333333333333</c:v>
                </c:pt>
                <c:pt idx="75">
                  <c:v>1.0882275132275132</c:v>
                </c:pt>
                <c:pt idx="76">
                  <c:v>0.93604519774011297</c:v>
                </c:pt>
                <c:pt idx="77">
                  <c:v>1.1052268017499425</c:v>
                </c:pt>
                <c:pt idx="78">
                  <c:v>1.0550996483001172</c:v>
                </c:pt>
                <c:pt idx="79">
                  <c:v>3.3460000000000001</c:v>
                </c:pt>
                <c:pt idx="80">
                  <c:v>3.3460000000000001</c:v>
                </c:pt>
                <c:pt idx="81">
                  <c:v>3.3460000000000001</c:v>
                </c:pt>
                <c:pt idx="82">
                  <c:v>0.91132530120481925</c:v>
                </c:pt>
                <c:pt idx="83">
                  <c:v>1.0291999999999999</c:v>
                </c:pt>
                <c:pt idx="84">
                  <c:v>1.3822751322751323</c:v>
                </c:pt>
              </c:numCache>
            </c:numRef>
          </c:yVal>
          <c:smooth val="1"/>
          <c:extLst>
            <c:ext xmlns:c16="http://schemas.microsoft.com/office/drawing/2014/chart" uri="{C3380CC4-5D6E-409C-BE32-E72D297353CC}">
              <c16:uniqueId val="{00000002-8291-4FEF-9A13-47B9BF8FB6CF}"/>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61221015877339047"/>
                  <c:y val="-0.46327675369013321"/>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Stats'!$AB$99:$AB$112</c:f>
              <c:numCache>
                <c:formatCode>0.000</c:formatCode>
                <c:ptCount val="14"/>
                <c:pt idx="0">
                  <c:v>6.3324181826484471</c:v>
                </c:pt>
                <c:pt idx="1">
                  <c:v>4.7007039020958699</c:v>
                </c:pt>
                <c:pt idx="2">
                  <c:v>5.5784115314974922</c:v>
                </c:pt>
                <c:pt idx="3">
                  <c:v>7.2462780401262519</c:v>
                </c:pt>
                <c:pt idx="4">
                  <c:v>5.9219169550715343</c:v>
                </c:pt>
                <c:pt idx="5">
                  <c:v>3.87739020323867</c:v>
                </c:pt>
                <c:pt idx="6">
                  <c:v>4.2901261921587643</c:v>
                </c:pt>
                <c:pt idx="7">
                  <c:v>3.6390077795635305</c:v>
                </c:pt>
                <c:pt idx="8">
                  <c:v>6.4197987961744323</c:v>
                </c:pt>
                <c:pt idx="9">
                  <c:v>3.440476131000668</c:v>
                </c:pt>
                <c:pt idx="10">
                  <c:v>5.8876210785228071</c:v>
                </c:pt>
                <c:pt idx="11">
                  <c:v>3.6169569931379084</c:v>
                </c:pt>
                <c:pt idx="12">
                  <c:v>3.4467760633543478</c:v>
                </c:pt>
                <c:pt idx="13">
                  <c:v>4.4956069295334311</c:v>
                </c:pt>
              </c:numCache>
            </c:numRef>
          </c:xVal>
          <c:yVal>
            <c:numRef>
              <c:f>'Task 1 Converted AMI PDF Stats'!$AF$99:$AF$112</c:f>
              <c:numCache>
                <c:formatCode>0.000</c:formatCode>
                <c:ptCount val="14"/>
                <c:pt idx="0">
                  <c:v>1.0551724137931036</c:v>
                </c:pt>
                <c:pt idx="1">
                  <c:v>0.96328928046989726</c:v>
                </c:pt>
                <c:pt idx="2">
                  <c:v>0.91588785046728971</c:v>
                </c:pt>
                <c:pt idx="3">
                  <c:v>0.73058823529411765</c:v>
                </c:pt>
                <c:pt idx="4">
                  <c:v>0.8393518518518519</c:v>
                </c:pt>
                <c:pt idx="5">
                  <c:v>0.99067909454061254</c:v>
                </c:pt>
                <c:pt idx="6">
                  <c:v>1.1504660452729694</c:v>
                </c:pt>
                <c:pt idx="7">
                  <c:v>0.87976539589442815</c:v>
                </c:pt>
                <c:pt idx="8">
                  <c:v>0.79947916666666663</c:v>
                </c:pt>
                <c:pt idx="9">
                  <c:v>2.9889999999999999</c:v>
                </c:pt>
                <c:pt idx="10">
                  <c:v>0.89943502824858756</c:v>
                </c:pt>
                <c:pt idx="11">
                  <c:v>0.96</c:v>
                </c:pt>
                <c:pt idx="12">
                  <c:v>1.0505050505050506</c:v>
                </c:pt>
                <c:pt idx="13">
                  <c:v>0.93333333333333335</c:v>
                </c:pt>
              </c:numCache>
            </c:numRef>
          </c:yVal>
          <c:smooth val="1"/>
          <c:extLst>
            <c:ext xmlns:c16="http://schemas.microsoft.com/office/drawing/2014/chart" uri="{C3380CC4-5D6E-409C-BE32-E72D297353CC}">
              <c16:uniqueId val="{00000003-8291-4FEF-9A13-47B9BF8FB6CF}"/>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7181948252798727"/>
                  <c:y val="-0.45049786603929953"/>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Stats'!$AB$113:$AB$276</c:f>
              <c:numCache>
                <c:formatCode>0.000</c:formatCode>
                <c:ptCount val="164"/>
                <c:pt idx="3">
                  <c:v>7.1834851768486478</c:v>
                </c:pt>
                <c:pt idx="4">
                  <c:v>7.1834851768486478</c:v>
                </c:pt>
                <c:pt idx="5">
                  <c:v>5.1067152802597597</c:v>
                </c:pt>
                <c:pt idx="6">
                  <c:v>3.8362077377942123</c:v>
                </c:pt>
                <c:pt idx="7">
                  <c:v>3.4659982135801473</c:v>
                </c:pt>
                <c:pt idx="9">
                  <c:v>10.097303762050604</c:v>
                </c:pt>
                <c:pt idx="10">
                  <c:v>14.160000081823043</c:v>
                </c:pt>
                <c:pt idx="11">
                  <c:v>2.4177627884427548</c:v>
                </c:pt>
                <c:pt idx="12">
                  <c:v>17.285043813397259</c:v>
                </c:pt>
                <c:pt idx="13">
                  <c:v>3.5431422306317368</c:v>
                </c:pt>
                <c:pt idx="14">
                  <c:v>3.225531743210281</c:v>
                </c:pt>
                <c:pt idx="15">
                  <c:v>3.5080593101703723</c:v>
                </c:pt>
                <c:pt idx="17">
                  <c:v>2.6270895132408647</c:v>
                </c:pt>
                <c:pt idx="18">
                  <c:v>4.0294923623779111</c:v>
                </c:pt>
                <c:pt idx="19">
                  <c:v>5.5405187257332082</c:v>
                </c:pt>
                <c:pt idx="20">
                  <c:v>3.243922085049844</c:v>
                </c:pt>
                <c:pt idx="21">
                  <c:v>4.4703576559571561</c:v>
                </c:pt>
                <c:pt idx="22">
                  <c:v>3.7749691518737158</c:v>
                </c:pt>
                <c:pt idx="23">
                  <c:v>2.9179424898981434</c:v>
                </c:pt>
                <c:pt idx="24">
                  <c:v>3.7610904635237801</c:v>
                </c:pt>
                <c:pt idx="25">
                  <c:v>1.9497492962907272</c:v>
                </c:pt>
                <c:pt idx="26">
                  <c:v>4.3709832815252243</c:v>
                </c:pt>
                <c:pt idx="27">
                  <c:v>6.1397625243920837</c:v>
                </c:pt>
                <c:pt idx="28">
                  <c:v>6.1176768568257005</c:v>
                </c:pt>
                <c:pt idx="30">
                  <c:v>3.1547578371282512</c:v>
                </c:pt>
                <c:pt idx="31">
                  <c:v>4.0242501684858212</c:v>
                </c:pt>
                <c:pt idx="32">
                  <c:v>5.3577295142562713</c:v>
                </c:pt>
                <c:pt idx="33">
                  <c:v>4.0100801561959187</c:v>
                </c:pt>
                <c:pt idx="34">
                  <c:v>12.012444254876828</c:v>
                </c:pt>
                <c:pt idx="35">
                  <c:v>2.6160434155065087</c:v>
                </c:pt>
                <c:pt idx="36">
                  <c:v>4.3094119352600435</c:v>
                </c:pt>
                <c:pt idx="37">
                  <c:v>1.158634758999957</c:v>
                </c:pt>
                <c:pt idx="38">
                  <c:v>1.9152941934489078</c:v>
                </c:pt>
                <c:pt idx="39">
                  <c:v>2.3483646029011305</c:v>
                </c:pt>
                <c:pt idx="40">
                  <c:v>2.3483646029011305</c:v>
                </c:pt>
                <c:pt idx="41">
                  <c:v>5.2838203565275439</c:v>
                </c:pt>
                <c:pt idx="42">
                  <c:v>3.6569232472378053</c:v>
                </c:pt>
                <c:pt idx="43">
                  <c:v>3.6446926433477898</c:v>
                </c:pt>
                <c:pt idx="44">
                  <c:v>2.8224499830085281</c:v>
                </c:pt>
                <c:pt idx="45">
                  <c:v>4.2232004690800098</c:v>
                </c:pt>
                <c:pt idx="46">
                  <c:v>5.180189204809805</c:v>
                </c:pt>
                <c:pt idx="47">
                  <c:v>1.6581187712688867</c:v>
                </c:pt>
                <c:pt idx="48">
                  <c:v>3.5745849436155295</c:v>
                </c:pt>
                <c:pt idx="49">
                  <c:v>5.0842376287569335</c:v>
                </c:pt>
                <c:pt idx="50">
                  <c:v>3.2539120824044372</c:v>
                </c:pt>
                <c:pt idx="51">
                  <c:v>5.0842376287569335</c:v>
                </c:pt>
                <c:pt idx="52">
                  <c:v>4.3637950173074156</c:v>
                </c:pt>
                <c:pt idx="53">
                  <c:v>5.0094585657865736</c:v>
                </c:pt>
                <c:pt idx="54">
                  <c:v>3.2060534821034068</c:v>
                </c:pt>
                <c:pt idx="55">
                  <c:v>3.4787906706851204</c:v>
                </c:pt>
                <c:pt idx="56">
                  <c:v>6.8184297145428356</c:v>
                </c:pt>
                <c:pt idx="57">
                  <c:v>3.2060534821034068</c:v>
                </c:pt>
                <c:pt idx="58">
                  <c:v>5.683225037623167</c:v>
                </c:pt>
                <c:pt idx="59">
                  <c:v>2.927574423230888</c:v>
                </c:pt>
                <c:pt idx="60">
                  <c:v>9.7072709793952185</c:v>
                </c:pt>
                <c:pt idx="61">
                  <c:v>4.3023249276878639</c:v>
                </c:pt>
                <c:pt idx="62">
                  <c:v>2.656027123725671</c:v>
                </c:pt>
                <c:pt idx="63">
                  <c:v>5.4714159488675005</c:v>
                </c:pt>
                <c:pt idx="64">
                  <c:v>2.3563422201665696</c:v>
                </c:pt>
                <c:pt idx="65">
                  <c:v>2.3563422201665696</c:v>
                </c:pt>
                <c:pt idx="66">
                  <c:v>2.798132647884243</c:v>
                </c:pt>
                <c:pt idx="67">
                  <c:v>5.4030160790471182</c:v>
                </c:pt>
                <c:pt idx="68">
                  <c:v>5.3635765994289457</c:v>
                </c:pt>
                <c:pt idx="69">
                  <c:v>3.2426354680371099</c:v>
                </c:pt>
                <c:pt idx="70">
                  <c:v>8.2817515247069799</c:v>
                </c:pt>
                <c:pt idx="71">
                  <c:v>2.4936581708581032</c:v>
                </c:pt>
                <c:pt idx="72">
                  <c:v>2.2669147957356732</c:v>
                </c:pt>
                <c:pt idx="73">
                  <c:v>3.5434669222605031</c:v>
                </c:pt>
                <c:pt idx="74">
                  <c:v>2.9474705272027482</c:v>
                </c:pt>
                <c:pt idx="75">
                  <c:v>3.9939246685859824</c:v>
                </c:pt>
                <c:pt idx="76">
                  <c:v>0.60970866026727233</c:v>
                </c:pt>
                <c:pt idx="77">
                  <c:v>4.2331802135669223</c:v>
                </c:pt>
                <c:pt idx="78">
                  <c:v>1.9861065605495485</c:v>
                </c:pt>
                <c:pt idx="79">
                  <c:v>1.9861065605495485</c:v>
                </c:pt>
                <c:pt idx="80">
                  <c:v>1.5989366414013348</c:v>
                </c:pt>
                <c:pt idx="81">
                  <c:v>4.1254734330831369</c:v>
                </c:pt>
                <c:pt idx="82">
                  <c:v>2.8144080811770875</c:v>
                </c:pt>
                <c:pt idx="83">
                  <c:v>3.8307221104910369</c:v>
                </c:pt>
                <c:pt idx="84">
                  <c:v>2.3648845682113029</c:v>
                </c:pt>
                <c:pt idx="85">
                  <c:v>3.7584270097761285</c:v>
                </c:pt>
                <c:pt idx="86">
                  <c:v>2.3202534090964879</c:v>
                </c:pt>
                <c:pt idx="87">
                  <c:v>2.5359794491984338</c:v>
                </c:pt>
                <c:pt idx="88">
                  <c:v>5.2205701704670986</c:v>
                </c:pt>
                <c:pt idx="89">
                  <c:v>5.2205701704670986</c:v>
                </c:pt>
                <c:pt idx="90">
                  <c:v>2.99066695380102</c:v>
                </c:pt>
                <c:pt idx="91">
                  <c:v>3.4323419964421507</c:v>
                </c:pt>
                <c:pt idx="92">
                  <c:v>2.9426800381019809</c:v>
                </c:pt>
                <c:pt idx="93">
                  <c:v>3.6912978397951255</c:v>
                </c:pt>
                <c:pt idx="94">
                  <c:v>2.6885936741497143</c:v>
                </c:pt>
                <c:pt idx="95">
                  <c:v>3.4027513688457325</c:v>
                </c:pt>
                <c:pt idx="96">
                  <c:v>5.717929254919099</c:v>
                </c:pt>
                <c:pt idx="97">
                  <c:v>3.155363409245151</c:v>
                </c:pt>
                <c:pt idx="98">
                  <c:v>4.7395544564949299</c:v>
                </c:pt>
                <c:pt idx="99">
                  <c:v>3.3741554675632859</c:v>
                </c:pt>
                <c:pt idx="100">
                  <c:v>3.8732738996412217</c:v>
                </c:pt>
                <c:pt idx="101">
                  <c:v>6.5756948991692861</c:v>
                </c:pt>
                <c:pt idx="102">
                  <c:v>4.0984247986512186</c:v>
                </c:pt>
                <c:pt idx="103">
                  <c:v>4.959094006367974</c:v>
                </c:pt>
                <c:pt idx="104">
                  <c:v>4.0984247986512186</c:v>
                </c:pt>
                <c:pt idx="105">
                  <c:v>6.2251481146602732</c:v>
                </c:pt>
                <c:pt idx="106">
                  <c:v>4.0476650894663226</c:v>
                </c:pt>
                <c:pt idx="107">
                  <c:v>7.1320297634823948</c:v>
                </c:pt>
                <c:pt idx="108">
                  <c:v>3.4339419918239478</c:v>
                </c:pt>
                <c:pt idx="109">
                  <c:v>5.183167127984345</c:v>
                </c:pt>
                <c:pt idx="110">
                  <c:v>3.8931521253209498</c:v>
                </c:pt>
                <c:pt idx="111">
                  <c:v>3.8928083666007542</c:v>
                </c:pt>
                <c:pt idx="112">
                  <c:v>2.2729500681618564</c:v>
                </c:pt>
                <c:pt idx="113">
                  <c:v>1.7186768001223864</c:v>
                </c:pt>
                <c:pt idx="114">
                  <c:v>7.1752198553821742</c:v>
                </c:pt>
                <c:pt idx="115">
                  <c:v>5.1950834987354115</c:v>
                </c:pt>
                <c:pt idx="116">
                  <c:v>3.8167960398872416</c:v>
                </c:pt>
                <c:pt idx="117">
                  <c:v>2.0453230173358823</c:v>
                </c:pt>
                <c:pt idx="118">
                  <c:v>2.8558956784854206</c:v>
                </c:pt>
                <c:pt idx="119">
                  <c:v>2.6313526806070402</c:v>
                </c:pt>
                <c:pt idx="120">
                  <c:v>2.0269280514244907</c:v>
                </c:pt>
                <c:pt idx="121">
                  <c:v>3.1326476245312533</c:v>
                </c:pt>
                <c:pt idx="122">
                  <c:v>1.6310436884380415</c:v>
                </c:pt>
                <c:pt idx="123">
                  <c:v>2.1248556044623652</c:v>
                </c:pt>
                <c:pt idx="124">
                  <c:v>1.0141229952496562</c:v>
                </c:pt>
                <c:pt idx="125">
                  <c:v>0.88130337034408956</c:v>
                </c:pt>
                <c:pt idx="126">
                  <c:v>4.7789757406283035</c:v>
                </c:pt>
                <c:pt idx="127">
                  <c:v>1.9873729031593514</c:v>
                </c:pt>
                <c:pt idx="128">
                  <c:v>2.1620195680066696</c:v>
                </c:pt>
                <c:pt idx="129">
                  <c:v>3.491699137392716</c:v>
                </c:pt>
                <c:pt idx="130">
                  <c:v>3.491699137392716</c:v>
                </c:pt>
                <c:pt idx="131">
                  <c:v>2.9427488564535231</c:v>
                </c:pt>
                <c:pt idx="132">
                  <c:v>4.5941157410181814</c:v>
                </c:pt>
                <c:pt idx="133">
                  <c:v>4.5939651880287649</c:v>
                </c:pt>
                <c:pt idx="134">
                  <c:v>1.5858208906955265</c:v>
                </c:pt>
                <c:pt idx="135">
                  <c:v>1.4882891226076289</c:v>
                </c:pt>
                <c:pt idx="136">
                  <c:v>2.32545175407442</c:v>
                </c:pt>
                <c:pt idx="137">
                  <c:v>1.9598147827285595</c:v>
                </c:pt>
                <c:pt idx="138">
                  <c:v>5.909085629636321</c:v>
                </c:pt>
                <c:pt idx="139">
                  <c:v>1.4694479941602776</c:v>
                </c:pt>
                <c:pt idx="140">
                  <c:v>2.1941739283451733</c:v>
                </c:pt>
                <c:pt idx="141">
                  <c:v>1.9274151986548655</c:v>
                </c:pt>
                <c:pt idx="142">
                  <c:v>2.8269415758684477</c:v>
                </c:pt>
                <c:pt idx="143">
                  <c:v>1.7424618479878016</c:v>
                </c:pt>
                <c:pt idx="144">
                  <c:v>1.897057143613242</c:v>
                </c:pt>
                <c:pt idx="145">
                  <c:v>6.2593134163108948</c:v>
                </c:pt>
                <c:pt idx="146">
                  <c:v>2.040602542145026</c:v>
                </c:pt>
                <c:pt idx="147">
                  <c:v>2.580710250199584</c:v>
                </c:pt>
                <c:pt idx="148">
                  <c:v>2.580710250199584</c:v>
                </c:pt>
                <c:pt idx="149">
                  <c:v>3.1789661072501145</c:v>
                </c:pt>
                <c:pt idx="150">
                  <c:v>2.3877567650011966</c:v>
                </c:pt>
                <c:pt idx="151">
                  <c:v>1.9981994712492421</c:v>
                </c:pt>
                <c:pt idx="152">
                  <c:v>3.1113078864115056</c:v>
                </c:pt>
                <c:pt idx="153">
                  <c:v>1.6731922411368541</c:v>
                </c:pt>
                <c:pt idx="154">
                  <c:v>3.3035670574349605</c:v>
                </c:pt>
                <c:pt idx="155">
                  <c:v>2.6917306238322545</c:v>
                </c:pt>
                <c:pt idx="156">
                  <c:v>4.9408101079158815</c:v>
                </c:pt>
                <c:pt idx="157">
                  <c:v>1.3641146802538073</c:v>
                </c:pt>
                <c:pt idx="158">
                  <c:v>0.75255478429539235</c:v>
                </c:pt>
                <c:pt idx="159">
                  <c:v>0.74558628427704932</c:v>
                </c:pt>
                <c:pt idx="160">
                  <c:v>0.7433200505887303</c:v>
                </c:pt>
                <c:pt idx="161">
                  <c:v>1.8971676703014757</c:v>
                </c:pt>
                <c:pt idx="162">
                  <c:v>2.0585586700319833</c:v>
                </c:pt>
                <c:pt idx="163">
                  <c:v>1.8695082172798838</c:v>
                </c:pt>
              </c:numCache>
            </c:numRef>
          </c:xVal>
          <c:yVal>
            <c:numRef>
              <c:f>'Task 1 Converted AMI PDF Stats'!$AF$113:$AF$276</c:f>
              <c:numCache>
                <c:formatCode>0.000</c:formatCode>
                <c:ptCount val="164"/>
                <c:pt idx="3">
                  <c:v>0.53181818181818186</c:v>
                </c:pt>
                <c:pt idx="4">
                  <c:v>0.53181818181818186</c:v>
                </c:pt>
                <c:pt idx="5">
                  <c:v>0.42714285714285716</c:v>
                </c:pt>
                <c:pt idx="6">
                  <c:v>0.44626865671641791</c:v>
                </c:pt>
                <c:pt idx="7">
                  <c:v>0.91384615384615386</c:v>
                </c:pt>
                <c:pt idx="9">
                  <c:v>0.45916666666666667</c:v>
                </c:pt>
                <c:pt idx="10">
                  <c:v>0.57111597374179435</c:v>
                </c:pt>
                <c:pt idx="11">
                  <c:v>1.3834771886559802</c:v>
                </c:pt>
                <c:pt idx="12">
                  <c:v>0.65645514223194745</c:v>
                </c:pt>
                <c:pt idx="13">
                  <c:v>0.94874999999999998</c:v>
                </c:pt>
                <c:pt idx="14">
                  <c:v>0.92125000000000001</c:v>
                </c:pt>
                <c:pt idx="15">
                  <c:v>0.97750000000000004</c:v>
                </c:pt>
                <c:pt idx="17">
                  <c:v>0.51851851851851849</c:v>
                </c:pt>
                <c:pt idx="18">
                  <c:v>0.69548872180451127</c:v>
                </c:pt>
                <c:pt idx="19">
                  <c:v>0.57954545454545459</c:v>
                </c:pt>
                <c:pt idx="20">
                  <c:v>0.70516934046345814</c:v>
                </c:pt>
                <c:pt idx="21">
                  <c:v>0.87293233082706767</c:v>
                </c:pt>
                <c:pt idx="22">
                  <c:v>0.96899224806201545</c:v>
                </c:pt>
                <c:pt idx="23">
                  <c:v>1.5315384615384615</c:v>
                </c:pt>
                <c:pt idx="24">
                  <c:v>0.84888059701492535</c:v>
                </c:pt>
                <c:pt idx="25">
                  <c:v>0.6552</c:v>
                </c:pt>
                <c:pt idx="26">
                  <c:v>0.92</c:v>
                </c:pt>
                <c:pt idx="27">
                  <c:v>0.6862470862470863</c:v>
                </c:pt>
                <c:pt idx="28">
                  <c:v>0.91009174311926611</c:v>
                </c:pt>
                <c:pt idx="30">
                  <c:v>2.1083333333333334</c:v>
                </c:pt>
                <c:pt idx="31">
                  <c:v>0.66054054054054057</c:v>
                </c:pt>
                <c:pt idx="32">
                  <c:v>1.3623188405797102</c:v>
                </c:pt>
                <c:pt idx="33">
                  <c:v>0.83700440528634357</c:v>
                </c:pt>
                <c:pt idx="34">
                  <c:v>0.57785888077858882</c:v>
                </c:pt>
                <c:pt idx="35">
                  <c:v>0.73888888888888893</c:v>
                </c:pt>
                <c:pt idx="36">
                  <c:v>0.74057142857142855</c:v>
                </c:pt>
                <c:pt idx="37">
                  <c:v>1.0418604651162791</c:v>
                </c:pt>
                <c:pt idx="38">
                  <c:v>0.34560000000000002</c:v>
                </c:pt>
                <c:pt idx="39">
                  <c:v>0.9468599033816425</c:v>
                </c:pt>
                <c:pt idx="40">
                  <c:v>0.84409991386735572</c:v>
                </c:pt>
                <c:pt idx="41">
                  <c:v>0.62820512820512819</c:v>
                </c:pt>
                <c:pt idx="42">
                  <c:v>1.03125</c:v>
                </c:pt>
                <c:pt idx="43">
                  <c:v>1.9841269841269842</c:v>
                </c:pt>
                <c:pt idx="44">
                  <c:v>0.81481481481481477</c:v>
                </c:pt>
                <c:pt idx="45">
                  <c:v>1.0353383458646617</c:v>
                </c:pt>
                <c:pt idx="46">
                  <c:v>0.71691176470588236</c:v>
                </c:pt>
                <c:pt idx="47">
                  <c:v>1.6227272727272728</c:v>
                </c:pt>
                <c:pt idx="48">
                  <c:v>1.4971751412429379</c:v>
                </c:pt>
                <c:pt idx="49">
                  <c:v>0.66</c:v>
                </c:pt>
                <c:pt idx="50">
                  <c:v>0.88</c:v>
                </c:pt>
                <c:pt idx="51">
                  <c:v>0.94745908699397074</c:v>
                </c:pt>
                <c:pt idx="52">
                  <c:v>0.60254491017964074</c:v>
                </c:pt>
                <c:pt idx="53">
                  <c:v>1.3218390804597702</c:v>
                </c:pt>
                <c:pt idx="54">
                  <c:v>0.61333333333333329</c:v>
                </c:pt>
                <c:pt idx="55">
                  <c:v>0.54041353383458646</c:v>
                </c:pt>
                <c:pt idx="56">
                  <c:v>0.77403846153846156</c:v>
                </c:pt>
                <c:pt idx="57">
                  <c:v>0.81176470588235294</c:v>
                </c:pt>
                <c:pt idx="58">
                  <c:v>0.80695652173913046</c:v>
                </c:pt>
                <c:pt idx="59">
                  <c:v>0.65842916564717402</c:v>
                </c:pt>
                <c:pt idx="60">
                  <c:v>0.55533333333333335</c:v>
                </c:pt>
                <c:pt idx="61">
                  <c:v>0.76363636363636367</c:v>
                </c:pt>
                <c:pt idx="62">
                  <c:v>0.50769230769230766</c:v>
                </c:pt>
                <c:pt idx="63">
                  <c:v>0.69333333333333336</c:v>
                </c:pt>
                <c:pt idx="64">
                  <c:v>1.8827586206896552</c:v>
                </c:pt>
                <c:pt idx="65">
                  <c:v>0.77556818181818177</c:v>
                </c:pt>
                <c:pt idx="66">
                  <c:v>0.76098765432098769</c:v>
                </c:pt>
                <c:pt idx="67">
                  <c:v>0.6</c:v>
                </c:pt>
                <c:pt idx="68">
                  <c:v>0.73599999999999999</c:v>
                </c:pt>
                <c:pt idx="69">
                  <c:v>0.43082524271844658</c:v>
                </c:pt>
                <c:pt idx="70">
                  <c:v>1.1697341513292434</c:v>
                </c:pt>
                <c:pt idx="71">
                  <c:v>0.53166666666666662</c:v>
                </c:pt>
                <c:pt idx="72">
                  <c:v>0.76649999999999996</c:v>
                </c:pt>
                <c:pt idx="73">
                  <c:v>0.89383640552995391</c:v>
                </c:pt>
                <c:pt idx="74">
                  <c:v>1.1839999999999999</c:v>
                </c:pt>
                <c:pt idx="75">
                  <c:v>0.72413793103448276</c:v>
                </c:pt>
                <c:pt idx="76">
                  <c:v>4.4285714285714288</c:v>
                </c:pt>
                <c:pt idx="77">
                  <c:v>0.90190000000000003</c:v>
                </c:pt>
                <c:pt idx="78">
                  <c:v>1.1489361702127661</c:v>
                </c:pt>
                <c:pt idx="79">
                  <c:v>0.73636363636363633</c:v>
                </c:pt>
                <c:pt idx="80">
                  <c:v>0.67500000000000004</c:v>
                </c:pt>
                <c:pt idx="81">
                  <c:v>0.78001921229586935</c:v>
                </c:pt>
                <c:pt idx="82">
                  <c:v>0.65175718849840258</c:v>
                </c:pt>
                <c:pt idx="83">
                  <c:v>0.72121212121212119</c:v>
                </c:pt>
                <c:pt idx="84">
                  <c:v>0.38958333333333334</c:v>
                </c:pt>
                <c:pt idx="85">
                  <c:v>0.875</c:v>
                </c:pt>
                <c:pt idx="86">
                  <c:v>0.82499999999999996</c:v>
                </c:pt>
                <c:pt idx="87">
                  <c:v>0.6918449197860963</c:v>
                </c:pt>
                <c:pt idx="88">
                  <c:v>1.0049061072576553</c:v>
                </c:pt>
                <c:pt idx="89">
                  <c:v>0.82499999999999996</c:v>
                </c:pt>
                <c:pt idx="90">
                  <c:v>1.1242236024844721</c:v>
                </c:pt>
                <c:pt idx="91">
                  <c:v>1.703187250996016</c:v>
                </c:pt>
                <c:pt idx="92">
                  <c:v>1.0303687635574836</c:v>
                </c:pt>
                <c:pt idx="93">
                  <c:v>1.1565217391304348</c:v>
                </c:pt>
                <c:pt idx="94">
                  <c:v>1.4181818181818182</c:v>
                </c:pt>
                <c:pt idx="95">
                  <c:v>0.92368421052631577</c:v>
                </c:pt>
                <c:pt idx="96">
                  <c:v>0.95188284518828448</c:v>
                </c:pt>
                <c:pt idx="97">
                  <c:v>1.2596273291925466</c:v>
                </c:pt>
                <c:pt idx="98">
                  <c:v>0.83116883116883122</c:v>
                </c:pt>
                <c:pt idx="99">
                  <c:v>1.0567514677103718</c:v>
                </c:pt>
                <c:pt idx="100">
                  <c:v>1.462608695652174</c:v>
                </c:pt>
                <c:pt idx="101">
                  <c:v>0.70838881491344874</c:v>
                </c:pt>
                <c:pt idx="102">
                  <c:v>0.94029850746268662</c:v>
                </c:pt>
                <c:pt idx="103">
                  <c:v>0.96250000000000002</c:v>
                </c:pt>
                <c:pt idx="104">
                  <c:v>0.92375366568914952</c:v>
                </c:pt>
                <c:pt idx="105">
                  <c:v>0.56170729933992347</c:v>
                </c:pt>
                <c:pt idx="106">
                  <c:v>1.0900000000000001</c:v>
                </c:pt>
                <c:pt idx="107">
                  <c:v>0.66786290187500008</c:v>
                </c:pt>
                <c:pt idx="108">
                  <c:v>1.8988505747126436</c:v>
                </c:pt>
                <c:pt idx="109">
                  <c:v>0.91527389629365086</c:v>
                </c:pt>
                <c:pt idx="110">
                  <c:v>1.1970684039087949</c:v>
                </c:pt>
                <c:pt idx="112">
                  <c:v>0.95833333333333337</c:v>
                </c:pt>
                <c:pt idx="113">
                  <c:v>1.0869565217391304</c:v>
                </c:pt>
                <c:pt idx="114">
                  <c:v>0.76649560117302051</c:v>
                </c:pt>
                <c:pt idx="115">
                  <c:v>0.83165783220617806</c:v>
                </c:pt>
                <c:pt idx="116">
                  <c:v>1.1436950146627567</c:v>
                </c:pt>
                <c:pt idx="118">
                  <c:v>1.1789655172413793</c:v>
                </c:pt>
                <c:pt idx="119">
                  <c:v>1.0676569220481835</c:v>
                </c:pt>
                <c:pt idx="120">
                  <c:v>0.87096774193548387</c:v>
                </c:pt>
                <c:pt idx="121">
                  <c:v>1.8944444444444444</c:v>
                </c:pt>
                <c:pt idx="122">
                  <c:v>1.56</c:v>
                </c:pt>
                <c:pt idx="123">
                  <c:v>1.7485714285714287</c:v>
                </c:pt>
                <c:pt idx="124">
                  <c:v>1.276</c:v>
                </c:pt>
                <c:pt idx="125">
                  <c:v>2.2706422018348622</c:v>
                </c:pt>
                <c:pt idx="126">
                  <c:v>0.87238805970149258</c:v>
                </c:pt>
                <c:pt idx="127">
                  <c:v>1.5059523809523809</c:v>
                </c:pt>
                <c:pt idx="128">
                  <c:v>1.3636363636363635</c:v>
                </c:pt>
                <c:pt idx="129">
                  <c:v>2.859375</c:v>
                </c:pt>
                <c:pt idx="130">
                  <c:v>2.859375</c:v>
                </c:pt>
                <c:pt idx="131">
                  <c:v>0.95108695652173914</c:v>
                </c:pt>
                <c:pt idx="132">
                  <c:v>0.71104690221920286</c:v>
                </c:pt>
                <c:pt idx="133">
                  <c:v>0.70224119530416218</c:v>
                </c:pt>
                <c:pt idx="134">
                  <c:v>1.8036866359447006</c:v>
                </c:pt>
                <c:pt idx="135">
                  <c:v>1.6594827586206897</c:v>
                </c:pt>
                <c:pt idx="136">
                  <c:v>1.09375</c:v>
                </c:pt>
                <c:pt idx="137">
                  <c:v>1.2406639004149378</c:v>
                </c:pt>
                <c:pt idx="138">
                  <c:v>1.0484503954081634</c:v>
                </c:pt>
                <c:pt idx="139">
                  <c:v>1.3071895424836601</c:v>
                </c:pt>
                <c:pt idx="140">
                  <c:v>1.2433749999999999</c:v>
                </c:pt>
                <c:pt idx="141">
                  <c:v>2.1383219954648527</c:v>
                </c:pt>
                <c:pt idx="142">
                  <c:v>1.3383050847457627</c:v>
                </c:pt>
                <c:pt idx="143">
                  <c:v>1.1211031175059951</c:v>
                </c:pt>
                <c:pt idx="144">
                  <c:v>2.2477272727272726</c:v>
                </c:pt>
                <c:pt idx="145">
                  <c:v>1.0693710132980772</c:v>
                </c:pt>
                <c:pt idx="146">
                  <c:v>1.3380000000000001</c:v>
                </c:pt>
                <c:pt idx="147">
                  <c:v>1.363728813559322</c:v>
                </c:pt>
                <c:pt idx="148">
                  <c:v>1.363728813559322</c:v>
                </c:pt>
                <c:pt idx="149">
                  <c:v>2.2062428501389117</c:v>
                </c:pt>
                <c:pt idx="150">
                  <c:v>2.0580474934036941</c:v>
                </c:pt>
                <c:pt idx="151">
                  <c:v>1.425</c:v>
                </c:pt>
                <c:pt idx="152">
                  <c:v>1.28</c:v>
                </c:pt>
                <c:pt idx="155">
                  <c:v>1.5590909090909091</c:v>
                </c:pt>
                <c:pt idx="156">
                  <c:v>0.81558468607454326</c:v>
                </c:pt>
                <c:pt idx="157">
                  <c:v>1.1690437222352117</c:v>
                </c:pt>
                <c:pt idx="158">
                  <c:v>4.416666666666667</c:v>
                </c:pt>
                <c:pt idx="159">
                  <c:v>4.0875000000000004</c:v>
                </c:pt>
                <c:pt idx="160">
                  <c:v>4.125</c:v>
                </c:pt>
                <c:pt idx="161">
                  <c:v>1.4478260869565218</c:v>
                </c:pt>
                <c:pt idx="162">
                  <c:v>1.3875</c:v>
                </c:pt>
                <c:pt idx="163">
                  <c:v>1.3919999999999999</c:v>
                </c:pt>
              </c:numCache>
            </c:numRef>
          </c:yVal>
          <c:smooth val="1"/>
          <c:extLst>
            <c:ext xmlns:c16="http://schemas.microsoft.com/office/drawing/2014/chart" uri="{C3380CC4-5D6E-409C-BE32-E72D297353CC}">
              <c16:uniqueId val="{00000004-8291-4FEF-9A13-47B9BF8FB6CF}"/>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Stats'!$AB$283</c:f>
              <c:numCache>
                <c:formatCode>0.000</c:formatCode>
                <c:ptCount val="1"/>
                <c:pt idx="0">
                  <c:v>3.7833497692533973</c:v>
                </c:pt>
              </c:numCache>
            </c:numRef>
          </c:xVal>
          <c:yVal>
            <c:numRef>
              <c:f>'Task 1 Converted AMI PDF Stats'!$AF$283</c:f>
              <c:numCache>
                <c:formatCode>0.000</c:formatCode>
                <c:ptCount val="1"/>
                <c:pt idx="0">
                  <c:v>0.69006849315068497</c:v>
                </c:pt>
              </c:numCache>
            </c:numRef>
          </c:yVal>
          <c:smooth val="1"/>
          <c:extLst>
            <c:ext xmlns:c16="http://schemas.microsoft.com/office/drawing/2014/chart" uri="{C3380CC4-5D6E-409C-BE32-E72D297353CC}">
              <c16:uniqueId val="{00000005-8291-4FEF-9A13-47B9BF8FB6CF}"/>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Stats'!$AB$284:$AB$294</c:f>
              <c:numCache>
                <c:formatCode>0.000</c:formatCode>
                <c:ptCount val="11"/>
                <c:pt idx="3">
                  <c:v>2.6313526806070402</c:v>
                </c:pt>
                <c:pt idx="6">
                  <c:v>3.8931521253209498</c:v>
                </c:pt>
                <c:pt idx="7">
                  <c:v>3.1326476245312533</c:v>
                </c:pt>
                <c:pt idx="8">
                  <c:v>4.7789757406283035</c:v>
                </c:pt>
                <c:pt idx="9">
                  <c:v>4.1254734330831369</c:v>
                </c:pt>
                <c:pt idx="10">
                  <c:v>3.7584270097761285</c:v>
                </c:pt>
              </c:numCache>
            </c:numRef>
          </c:xVal>
          <c:yVal>
            <c:numRef>
              <c:f>'Task 1 Converted AMI PDF Stats'!$AF$284:$AF$294</c:f>
              <c:numCache>
                <c:formatCode>0.000</c:formatCode>
                <c:ptCount val="11"/>
                <c:pt idx="3">
                  <c:v>1.0676569220481835</c:v>
                </c:pt>
                <c:pt idx="6">
                  <c:v>1.1970684039087949</c:v>
                </c:pt>
                <c:pt idx="7">
                  <c:v>1.8944444444444444</c:v>
                </c:pt>
                <c:pt idx="8">
                  <c:v>0.87238805970149258</c:v>
                </c:pt>
                <c:pt idx="9">
                  <c:v>0.78001921229586935</c:v>
                </c:pt>
                <c:pt idx="10">
                  <c:v>0.875</c:v>
                </c:pt>
              </c:numCache>
            </c:numRef>
          </c:yVal>
          <c:smooth val="1"/>
          <c:extLst>
            <c:ext xmlns:c16="http://schemas.microsoft.com/office/drawing/2014/chart" uri="{C3380CC4-5D6E-409C-BE32-E72D297353CC}">
              <c16:uniqueId val="{00000006-8291-4FEF-9A13-47B9BF8FB6CF}"/>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Stats'!$AB$295:$AB$298</c:f>
              <c:numCache>
                <c:formatCode>0.000</c:formatCode>
                <c:ptCount val="4"/>
                <c:pt idx="0">
                  <c:v>6.4197987961744323</c:v>
                </c:pt>
                <c:pt idx="1">
                  <c:v>3.87739020323867</c:v>
                </c:pt>
                <c:pt idx="2">
                  <c:v>4.2901261921587643</c:v>
                </c:pt>
                <c:pt idx="3">
                  <c:v>3.6390077795635305</c:v>
                </c:pt>
              </c:numCache>
            </c:numRef>
          </c:xVal>
          <c:yVal>
            <c:numRef>
              <c:f>'Task 1 Converted AMI PDF Stats'!$AF$295:$AF$298</c:f>
              <c:numCache>
                <c:formatCode>0.000</c:formatCode>
                <c:ptCount val="4"/>
                <c:pt idx="0">
                  <c:v>0.79947916666666663</c:v>
                </c:pt>
                <c:pt idx="1">
                  <c:v>0.99067909454061254</c:v>
                </c:pt>
                <c:pt idx="2">
                  <c:v>1.1504660452729694</c:v>
                </c:pt>
                <c:pt idx="3">
                  <c:v>0.87976539589442815</c:v>
                </c:pt>
              </c:numCache>
            </c:numRef>
          </c:yVal>
          <c:smooth val="1"/>
          <c:extLst>
            <c:ext xmlns:c16="http://schemas.microsoft.com/office/drawing/2014/chart" uri="{C3380CC4-5D6E-409C-BE32-E72D297353CC}">
              <c16:uniqueId val="{00000007-8291-4FEF-9A13-47B9BF8FB6CF}"/>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Stats'!$AB$299:$AB$300</c:f>
              <c:numCache>
                <c:formatCode>General</c:formatCode>
                <c:ptCount val="2"/>
                <c:pt idx="0" formatCode="0.000">
                  <c:v>6.7854151820217625</c:v>
                </c:pt>
              </c:numCache>
            </c:numRef>
          </c:xVal>
          <c:yVal>
            <c:numRef>
              <c:f>'Task 1 Converted AMI PDF Stats'!$AF$299:$AF$300</c:f>
              <c:numCache>
                <c:formatCode>General</c:formatCode>
                <c:ptCount val="2"/>
                <c:pt idx="0" formatCode="0.000">
                  <c:v>1.1099252934898614</c:v>
                </c:pt>
              </c:numCache>
            </c:numRef>
          </c:yVal>
          <c:smooth val="1"/>
          <c:extLst>
            <c:ext xmlns:c16="http://schemas.microsoft.com/office/drawing/2014/chart" uri="{C3380CC4-5D6E-409C-BE32-E72D297353CC}">
              <c16:uniqueId val="{00000008-8291-4FEF-9A13-47B9BF8FB6CF}"/>
            </c:ext>
          </c:extLst>
        </c:ser>
        <c:dLbls>
          <c:showLegendKey val="0"/>
          <c:showVal val="0"/>
          <c:showCatName val="0"/>
          <c:showSerName val="0"/>
          <c:showPercent val="0"/>
          <c:showBubbleSize val="0"/>
        </c:dLbls>
        <c:axId val="727679784"/>
        <c:axId val="1"/>
      </c:scatterChart>
      <c:valAx>
        <c:axId val="727679784"/>
        <c:scaling>
          <c:orientation val="minMax"/>
          <c:min val="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Fnv^2</a:t>
                </a:r>
              </a:p>
            </c:rich>
          </c:tx>
          <c:layout>
            <c:manualLayout>
              <c:xMode val="edge"/>
              <c:yMode val="edge"/>
              <c:x val="0.39067702552719202"/>
              <c:y val="0.94453507340946163"/>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4.5"/>
          <c:min val="0"/>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Disp X Vm/Pwr</a:t>
                </a:r>
              </a:p>
            </c:rich>
          </c:tx>
          <c:layout>
            <c:manualLayout>
              <c:xMode val="edge"/>
              <c:yMode val="edge"/>
              <c:x val="1.4428412874583796E-2"/>
              <c:y val="0.40619902120717782"/>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978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026637069922309"/>
          <c:y val="0.49429037520391517"/>
          <c:w val="0.21309655937846839"/>
          <c:h val="0.3996737357259380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Displacement-Length Ratio vs Volumetric Froude No</a:t>
            </a:r>
          </a:p>
        </c:rich>
      </c:tx>
      <c:layout>
        <c:manualLayout>
          <c:xMode val="edge"/>
          <c:yMode val="edge"/>
          <c:x val="0.27413984461709212"/>
          <c:y val="1.9575856443719411E-2"/>
        </c:manualLayout>
      </c:layout>
      <c:overlay val="0"/>
      <c:spPr>
        <a:noFill/>
        <a:ln w="25400">
          <a:noFill/>
        </a:ln>
      </c:spPr>
    </c:title>
    <c:autoTitleDeleted val="0"/>
    <c:plotArea>
      <c:layout>
        <c:manualLayout>
          <c:layoutTarget val="inner"/>
          <c:xMode val="edge"/>
          <c:yMode val="edge"/>
          <c:x val="7.5471698113207544E-2"/>
          <c:y val="7.01468189233279E-2"/>
          <c:w val="0.68368479467258603"/>
          <c:h val="0.8238172920065253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0944639085605155"/>
                  <c:y val="-0.24341241073574199"/>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Stats'!$AA$5:$AA$279</c:f>
              <c:numCache>
                <c:formatCode>0.000</c:formatCode>
                <c:ptCount val="275"/>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pt idx="8">
                  <c:v>4.2578781301312683</c:v>
                </c:pt>
                <c:pt idx="9">
                  <c:v>3.3448689380599737</c:v>
                </c:pt>
                <c:pt idx="10">
                  <c:v>2.9771509183214606</c:v>
                </c:pt>
                <c:pt idx="11">
                  <c:v>2.9771509183214606</c:v>
                </c:pt>
                <c:pt idx="12">
                  <c:v>2.999427721161795</c:v>
                </c:pt>
                <c:pt idx="13">
                  <c:v>2.2514270068628797</c:v>
                </c:pt>
                <c:pt idx="14">
                  <c:v>2.3576001141871554</c:v>
                </c:pt>
                <c:pt idx="15">
                  <c:v>2.190112809023498</c:v>
                </c:pt>
                <c:pt idx="16">
                  <c:v>2.1818634545719475</c:v>
                </c:pt>
                <c:pt idx="17">
                  <c:v>2.1818634545719475</c:v>
                </c:pt>
                <c:pt idx="18">
                  <c:v>2.0240101110609023</c:v>
                </c:pt>
                <c:pt idx="19">
                  <c:v>1.800731925644989</c:v>
                </c:pt>
                <c:pt idx="20">
                  <c:v>2.6619680028744539</c:v>
                </c:pt>
                <c:pt idx="21">
                  <c:v>2.6467639937173235</c:v>
                </c:pt>
                <c:pt idx="22">
                  <c:v>2.069854896780333</c:v>
                </c:pt>
                <c:pt idx="23">
                  <c:v>2.2595420483327904</c:v>
                </c:pt>
                <c:pt idx="24">
                  <c:v>2.2595420483327904</c:v>
                </c:pt>
                <c:pt idx="25">
                  <c:v>2.1669255318160054</c:v>
                </c:pt>
                <c:pt idx="26">
                  <c:v>3.1455370623135566</c:v>
                </c:pt>
                <c:pt idx="27">
                  <c:v>2.6086473483748582</c:v>
                </c:pt>
                <c:pt idx="28">
                  <c:v>1.5852204308625291</c:v>
                </c:pt>
                <c:pt idx="29">
                  <c:v>2.8819125836046848</c:v>
                </c:pt>
                <c:pt idx="30">
                  <c:v>2.8819125836046848</c:v>
                </c:pt>
                <c:pt idx="31">
                  <c:v>2.8819125836046848</c:v>
                </c:pt>
                <c:pt idx="32">
                  <c:v>2.371371051549791</c:v>
                </c:pt>
                <c:pt idx="33">
                  <c:v>2.371371051549791</c:v>
                </c:pt>
                <c:pt idx="34">
                  <c:v>2.371371051549791</c:v>
                </c:pt>
                <c:pt idx="35">
                  <c:v>2.371371051549791</c:v>
                </c:pt>
                <c:pt idx="36">
                  <c:v>2.1663529822826906</c:v>
                </c:pt>
                <c:pt idx="37">
                  <c:v>2.3618661121023545</c:v>
                </c:pt>
                <c:pt idx="38">
                  <c:v>2.3618661121023545</c:v>
                </c:pt>
                <c:pt idx="39">
                  <c:v>1.8865102430633052</c:v>
                </c:pt>
                <c:pt idx="40">
                  <c:v>2.4198393639787561</c:v>
                </c:pt>
                <c:pt idx="41">
                  <c:v>1.0673659461753169</c:v>
                </c:pt>
                <c:pt idx="42">
                  <c:v>2.2768845030336466</c:v>
                </c:pt>
                <c:pt idx="43">
                  <c:v>2.1060828598451677</c:v>
                </c:pt>
                <c:pt idx="44">
                  <c:v>2.6308096346759702</c:v>
                </c:pt>
                <c:pt idx="45">
                  <c:v>2.4205018391001354</c:v>
                </c:pt>
                <c:pt idx="46">
                  <c:v>2.2881590271964689</c:v>
                </c:pt>
                <c:pt idx="47">
                  <c:v>2.3846608081108682</c:v>
                </c:pt>
                <c:pt idx="48">
                  <c:v>2.6133269129982115</c:v>
                </c:pt>
                <c:pt idx="49">
                  <c:v>2.6786600858231666</c:v>
                </c:pt>
                <c:pt idx="50">
                  <c:v>2.6065565033135569</c:v>
                </c:pt>
                <c:pt idx="51">
                  <c:v>2.6048829497737058</c:v>
                </c:pt>
                <c:pt idx="52">
                  <c:v>2.4746388022850203</c:v>
                </c:pt>
                <c:pt idx="53">
                  <c:v>2.6048829497737058</c:v>
                </c:pt>
                <c:pt idx="54">
                  <c:v>2.6048829497737058</c:v>
                </c:pt>
                <c:pt idx="55">
                  <c:v>2.3694215380899792</c:v>
                </c:pt>
                <c:pt idx="56">
                  <c:v>2.0123854159120369</c:v>
                </c:pt>
                <c:pt idx="57">
                  <c:v>2.0123854159120369</c:v>
                </c:pt>
                <c:pt idx="58">
                  <c:v>2.3369637088010751</c:v>
                </c:pt>
                <c:pt idx="59">
                  <c:v>2.3369637088010751</c:v>
                </c:pt>
                <c:pt idx="60">
                  <c:v>2.4621711827915069</c:v>
                </c:pt>
                <c:pt idx="61">
                  <c:v>2.5917591397805335</c:v>
                </c:pt>
                <c:pt idx="62">
                  <c:v>2.5917591397805335</c:v>
                </c:pt>
                <c:pt idx="63">
                  <c:v>1.7483518224639953</c:v>
                </c:pt>
                <c:pt idx="64">
                  <c:v>2.6532632544873387</c:v>
                </c:pt>
                <c:pt idx="65">
                  <c:v>2.4591220407443628</c:v>
                </c:pt>
                <c:pt idx="66">
                  <c:v>2.3944083028300378</c:v>
                </c:pt>
                <c:pt idx="67">
                  <c:v>2.4193549999763144</c:v>
                </c:pt>
                <c:pt idx="68">
                  <c:v>2.4650646962888745</c:v>
                </c:pt>
                <c:pt idx="69">
                  <c:v>1.9757254171590406</c:v>
                </c:pt>
                <c:pt idx="70">
                  <c:v>1.8992418100053081</c:v>
                </c:pt>
                <c:pt idx="71">
                  <c:v>1.8267821846579544</c:v>
                </c:pt>
                <c:pt idx="72">
                  <c:v>2.4336286613320408</c:v>
                </c:pt>
                <c:pt idx="73">
                  <c:v>1.8548520509735185</c:v>
                </c:pt>
                <c:pt idx="74">
                  <c:v>1.5805140808096707</c:v>
                </c:pt>
                <c:pt idx="75">
                  <c:v>2.3090039333397643</c:v>
                </c:pt>
                <c:pt idx="76">
                  <c:v>2.3383974386850541</c:v>
                </c:pt>
                <c:pt idx="77">
                  <c:v>2.3100409973553808</c:v>
                </c:pt>
                <c:pt idx="78">
                  <c:v>2.160038335189447</c:v>
                </c:pt>
                <c:pt idx="79">
                  <c:v>1.800031945991206</c:v>
                </c:pt>
                <c:pt idx="80">
                  <c:v>2.2756002201116634</c:v>
                </c:pt>
                <c:pt idx="81">
                  <c:v>2.3953686527491196</c:v>
                </c:pt>
                <c:pt idx="82">
                  <c:v>1.9162949221992955</c:v>
                </c:pt>
                <c:pt idx="83">
                  <c:v>2.2729648881756734</c:v>
                </c:pt>
                <c:pt idx="84">
                  <c:v>2.2703507724055916</c:v>
                </c:pt>
                <c:pt idx="85">
                  <c:v>1.9018299064684803</c:v>
                </c:pt>
                <c:pt idx="86">
                  <c:v>1.7829655373142002</c:v>
                </c:pt>
                <c:pt idx="87">
                  <c:v>1.6474433704258884</c:v>
                </c:pt>
                <c:pt idx="88">
                  <c:v>1.6474433704258884</c:v>
                </c:pt>
                <c:pt idx="89">
                  <c:v>1.6474433704258884</c:v>
                </c:pt>
                <c:pt idx="90">
                  <c:v>1.8176719413792313</c:v>
                </c:pt>
                <c:pt idx="91">
                  <c:v>1.8115371711008192</c:v>
                </c:pt>
                <c:pt idx="92">
                  <c:v>2.184138938448057</c:v>
                </c:pt>
                <c:pt idx="93">
                  <c:v>1.9370077776077976</c:v>
                </c:pt>
                <c:pt idx="94">
                  <c:v>2.5164296498508452</c:v>
                </c:pt>
                <c:pt idx="95">
                  <c:v>2.1681106757026658</c:v>
                </c:pt>
                <c:pt idx="96">
                  <c:v>2.3618661121023545</c:v>
                </c:pt>
                <c:pt idx="97">
                  <c:v>2.6918911642423904</c:v>
                </c:pt>
                <c:pt idx="98">
                  <c:v>2.4334989120752724</c:v>
                </c:pt>
                <c:pt idx="99">
                  <c:v>1.9691089871408007</c:v>
                </c:pt>
                <c:pt idx="100">
                  <c:v>2.0712619805709669</c:v>
                </c:pt>
                <c:pt idx="101">
                  <c:v>1.9076183527014858</c:v>
                </c:pt>
                <c:pt idx="102">
                  <c:v>2.5337321871449698</c:v>
                </c:pt>
                <c:pt idx="103">
                  <c:v>1.8548520509735185</c:v>
                </c:pt>
                <c:pt idx="104">
                  <c:v>2.4264420616455706</c:v>
                </c:pt>
                <c:pt idx="105">
                  <c:v>1.9018299064684803</c:v>
                </c:pt>
                <c:pt idx="106">
                  <c:v>1.8565495046872162</c:v>
                </c:pt>
                <c:pt idx="107">
                  <c:v>2.1202846340841672</c:v>
                </c:pt>
                <c:pt idx="111">
                  <c:v>2.6802024507205884</c:v>
                </c:pt>
                <c:pt idx="112">
                  <c:v>2.6802024507205884</c:v>
                </c:pt>
                <c:pt idx="113">
                  <c:v>2.2598042570673593</c:v>
                </c:pt>
                <c:pt idx="114">
                  <c:v>1.9586239398603837</c:v>
                </c:pt>
                <c:pt idx="115">
                  <c:v>1.8617191553991561</c:v>
                </c:pt>
                <c:pt idx="117">
                  <c:v>3.1776254911569746</c:v>
                </c:pt>
                <c:pt idx="118">
                  <c:v>3.76297755531747</c:v>
                </c:pt>
                <c:pt idx="119">
                  <c:v>1.5549156853163308</c:v>
                </c:pt>
                <c:pt idx="120">
                  <c:v>4.1575285703645211</c:v>
                </c:pt>
                <c:pt idx="121">
                  <c:v>1.8823236253715079</c:v>
                </c:pt>
                <c:pt idx="122">
                  <c:v>1.7959765430568075</c:v>
                </c:pt>
                <c:pt idx="123">
                  <c:v>1.8729813961089876</c:v>
                </c:pt>
                <c:pt idx="125">
                  <c:v>1.6208298841151914</c:v>
                </c:pt>
                <c:pt idx="126">
                  <c:v>2.0073595498509755</c:v>
                </c:pt>
                <c:pt idx="127">
                  <c:v>2.3538306493316821</c:v>
                </c:pt>
                <c:pt idx="128">
                  <c:v>1.8010891385630652</c:v>
                </c:pt>
                <c:pt idx="129">
                  <c:v>2.1143220322262066</c:v>
                </c:pt>
                <c:pt idx="130">
                  <c:v>1.9429279842221934</c:v>
                </c:pt>
                <c:pt idx="131">
                  <c:v>1.7081986096172024</c:v>
                </c:pt>
                <c:pt idx="132">
                  <c:v>1.9393531043942926</c:v>
                </c:pt>
                <c:pt idx="133">
                  <c:v>1.3963342351638905</c:v>
                </c:pt>
                <c:pt idx="134">
                  <c:v>2.0906896664797538</c:v>
                </c:pt>
                <c:pt idx="135">
                  <c:v>2.4778544195315599</c:v>
                </c:pt>
                <c:pt idx="136">
                  <c:v>2.4733937933183427</c:v>
                </c:pt>
                <c:pt idx="138">
                  <c:v>1.7761637979443932</c:v>
                </c:pt>
                <c:pt idx="139">
                  <c:v>2.0060533812652697</c:v>
                </c:pt>
                <c:pt idx="140">
                  <c:v>2.3146769783830035</c:v>
                </c:pt>
                <c:pt idx="141">
                  <c:v>2.0025184533971014</c:v>
                </c:pt>
                <c:pt idx="142">
                  <c:v>3.4658973231872907</c:v>
                </c:pt>
                <c:pt idx="143">
                  <c:v>1.6174187508207356</c:v>
                </c:pt>
                <c:pt idx="144">
                  <c:v>2.0759123139622355</c:v>
                </c:pt>
                <c:pt idx="145">
                  <c:v>1.0763989776100482</c:v>
                </c:pt>
                <c:pt idx="146">
                  <c:v>1.3839415426414903</c:v>
                </c:pt>
                <c:pt idx="147">
                  <c:v>1.5324374711227635</c:v>
                </c:pt>
                <c:pt idx="148">
                  <c:v>1.5324374711227635</c:v>
                </c:pt>
                <c:pt idx="149">
                  <c:v>2.2986562066841452</c:v>
                </c:pt>
                <c:pt idx="150">
                  <c:v>1.9123083556889577</c:v>
                </c:pt>
                <c:pt idx="151">
                  <c:v>1.9091078134426536</c:v>
                </c:pt>
                <c:pt idx="152">
                  <c:v>1.680014875829535</c:v>
                </c:pt>
                <c:pt idx="153">
                  <c:v>2.0550426927633425</c:v>
                </c:pt>
                <c:pt idx="154">
                  <c:v>2.2760029008790399</c:v>
                </c:pt>
                <c:pt idx="155">
                  <c:v>1.2876796073825534</c:v>
                </c:pt>
                <c:pt idx="156">
                  <c:v>1.8906572782012951</c:v>
                </c:pt>
                <c:pt idx="157">
                  <c:v>2.2548254098171179</c:v>
                </c:pt>
                <c:pt idx="158">
                  <c:v>1.8038603278536942</c:v>
                </c:pt>
                <c:pt idx="159">
                  <c:v>2.2548254098171179</c:v>
                </c:pt>
                <c:pt idx="160">
                  <c:v>2.0889698459545594</c:v>
                </c:pt>
                <c:pt idx="161">
                  <c:v>2.2381819778084564</c:v>
                </c:pt>
                <c:pt idx="162">
                  <c:v>1.7905455822467651</c:v>
                </c:pt>
                <c:pt idx="163">
                  <c:v>1.8651516481737136</c:v>
                </c:pt>
                <c:pt idx="164">
                  <c:v>2.611212307443199</c:v>
                </c:pt>
                <c:pt idx="165">
                  <c:v>1.7905455822467651</c:v>
                </c:pt>
                <c:pt idx="166">
                  <c:v>2.3839515594120546</c:v>
                </c:pt>
                <c:pt idx="167">
                  <c:v>1.7110156116268747</c:v>
                </c:pt>
                <c:pt idx="168">
                  <c:v>3.1156493672098629</c:v>
                </c:pt>
                <c:pt idx="169">
                  <c:v>2.0742046494229696</c:v>
                </c:pt>
                <c:pt idx="170">
                  <c:v>1.6297322245466188</c:v>
                </c:pt>
                <c:pt idx="171">
                  <c:v>2.339105801127324</c:v>
                </c:pt>
                <c:pt idx="172">
                  <c:v>1.5350381819898062</c:v>
                </c:pt>
                <c:pt idx="173">
                  <c:v>1.5350381819898062</c:v>
                </c:pt>
                <c:pt idx="174">
                  <c:v>1.6727619818384931</c:v>
                </c:pt>
                <c:pt idx="175">
                  <c:v>2.324438874018226</c:v>
                </c:pt>
                <c:pt idx="176">
                  <c:v>2.3159396795747824</c:v>
                </c:pt>
                <c:pt idx="177">
                  <c:v>1.800731925644989</c:v>
                </c:pt>
                <c:pt idx="178">
                  <c:v>2.8778032463507612</c:v>
                </c:pt>
                <c:pt idx="179">
                  <c:v>1.5791320941764508</c:v>
                </c:pt>
                <c:pt idx="180">
                  <c:v>1.5056277082119847</c:v>
                </c:pt>
                <c:pt idx="181">
                  <c:v>1.882409870952791</c:v>
                </c:pt>
                <c:pt idx="182">
                  <c:v>1.7168198878166423</c:v>
                </c:pt>
                <c:pt idx="183">
                  <c:v>1.9984805899948046</c:v>
                </c:pt>
                <c:pt idx="184">
                  <c:v>0.78083843416373422</c:v>
                </c:pt>
                <c:pt idx="185">
                  <c:v>2.0574693712342165</c:v>
                </c:pt>
                <c:pt idx="186">
                  <c:v>1.409292929290979</c:v>
                </c:pt>
                <c:pt idx="187">
                  <c:v>1.409292929290979</c:v>
                </c:pt>
                <c:pt idx="188">
                  <c:v>1.2644906648138352</c:v>
                </c:pt>
                <c:pt idx="189">
                  <c:v>2.0311261489831538</c:v>
                </c:pt>
                <c:pt idx="190">
                  <c:v>1.6776197665672301</c:v>
                </c:pt>
                <c:pt idx="191">
                  <c:v>1.957223060995102</c:v>
                </c:pt>
                <c:pt idx="192">
                  <c:v>1.5378181193532943</c:v>
                </c:pt>
                <c:pt idx="193">
                  <c:v>1.9386662966524508</c:v>
                </c:pt>
                <c:pt idx="194">
                  <c:v>1.52323780451264</c:v>
                </c:pt>
                <c:pt idx="195">
                  <c:v>1.5924758865359419</c:v>
                </c:pt>
                <c:pt idx="196">
                  <c:v>2.2848567067689602</c:v>
                </c:pt>
                <c:pt idx="197">
                  <c:v>2.2848567067689602</c:v>
                </c:pt>
                <c:pt idx="198">
                  <c:v>1.7293544904966767</c:v>
                </c:pt>
                <c:pt idx="199">
                  <c:v>1.8526580894601548</c:v>
                </c:pt>
                <c:pt idx="200">
                  <c:v>1.7154241569075506</c:v>
                </c:pt>
                <c:pt idx="201">
                  <c:v>1.9212750557364568</c:v>
                </c:pt>
                <c:pt idx="202">
                  <c:v>1.6396931646346868</c:v>
                </c:pt>
                <c:pt idx="203">
                  <c:v>1.8446548102140228</c:v>
                </c:pt>
                <c:pt idx="204">
                  <c:v>2.3912191984255853</c:v>
                </c:pt>
                <c:pt idx="205">
                  <c:v>1.7763342616875775</c:v>
                </c:pt>
                <c:pt idx="206">
                  <c:v>2.1770517808483403</c:v>
                </c:pt>
                <c:pt idx="207">
                  <c:v>1.8368874400907873</c:v>
                </c:pt>
                <c:pt idx="208">
                  <c:v>1.9680634897383829</c:v>
                </c:pt>
                <c:pt idx="209">
                  <c:v>2.5643117788539844</c:v>
                </c:pt>
                <c:pt idx="210">
                  <c:v>2.0244566675163038</c:v>
                </c:pt>
                <c:pt idx="211">
                  <c:v>2.2269023342679342</c:v>
                </c:pt>
                <c:pt idx="212">
                  <c:v>2.0244566675163038</c:v>
                </c:pt>
                <c:pt idx="213">
                  <c:v>2.4950246721546208</c:v>
                </c:pt>
                <c:pt idx="214">
                  <c:v>2.0118809829277482</c:v>
                </c:pt>
                <c:pt idx="215">
                  <c:v>2.6705860337166438</c:v>
                </c:pt>
                <c:pt idx="216">
                  <c:v>1.8530898499058128</c:v>
                </c:pt>
                <c:pt idx="217">
                  <c:v>2.2766570071014969</c:v>
                </c:pt>
                <c:pt idx="218">
                  <c:v>1.9731072260069775</c:v>
                </c:pt>
                <c:pt idx="219">
                  <c:v>1.9730201130755749</c:v>
                </c:pt>
                <c:pt idx="220">
                  <c:v>1.5076306139641289</c:v>
                </c:pt>
                <c:pt idx="221">
                  <c:v>1.3109831425775034</c:v>
                </c:pt>
                <c:pt idx="222">
                  <c:v>2.6786600858231666</c:v>
                </c:pt>
                <c:pt idx="223">
                  <c:v>2.2792725810519925</c:v>
                </c:pt>
                <c:pt idx="224">
                  <c:v>1.9536622123302794</c:v>
                </c:pt>
                <c:pt idx="225">
                  <c:v>1.4301479005109514</c:v>
                </c:pt>
                <c:pt idx="226">
                  <c:v>1.6899395487665885</c:v>
                </c:pt>
                <c:pt idx="227">
                  <c:v>1.6221444697088605</c:v>
                </c:pt>
                <c:pt idx="228">
                  <c:v>1.4237022341151575</c:v>
                </c:pt>
                <c:pt idx="229">
                  <c:v>1.7699287060588778</c:v>
                </c:pt>
                <c:pt idx="230">
                  <c:v>1.2771232080101127</c:v>
                </c:pt>
                <c:pt idx="231">
                  <c:v>1.4576884456091312</c:v>
                </c:pt>
                <c:pt idx="232">
                  <c:v>1.0070367397715221</c:v>
                </c:pt>
                <c:pt idx="233">
                  <c:v>0.93877759365255919</c:v>
                </c:pt>
                <c:pt idx="234">
                  <c:v>2.1860868556917641</c:v>
                </c:pt>
                <c:pt idx="235">
                  <c:v>1.4097421406623807</c:v>
                </c:pt>
                <c:pt idx="236">
                  <c:v>1.4703807561331417</c:v>
                </c:pt>
                <c:pt idx="237">
                  <c:v>1.8686088775858676</c:v>
                </c:pt>
                <c:pt idx="238">
                  <c:v>1.8686088775858676</c:v>
                </c:pt>
                <c:pt idx="239">
                  <c:v>1.7154442154886655</c:v>
                </c:pt>
                <c:pt idx="240">
                  <c:v>2.1433888450344658</c:v>
                </c:pt>
                <c:pt idx="241">
                  <c:v>2.1433537244301895</c:v>
                </c:pt>
                <c:pt idx="242">
                  <c:v>1.2592938063436692</c:v>
                </c:pt>
                <c:pt idx="243">
                  <c:v>1.2199545575994333</c:v>
                </c:pt>
                <c:pt idx="244">
                  <c:v>1.5249431969992915</c:v>
                </c:pt>
                <c:pt idx="245">
                  <c:v>1.399933849411664</c:v>
                </c:pt>
                <c:pt idx="246">
                  <c:v>2.4308610880995074</c:v>
                </c:pt>
                <c:pt idx="247">
                  <c:v>1.2122079005518309</c:v>
                </c:pt>
                <c:pt idx="248">
                  <c:v>1.4812744270880982</c:v>
                </c:pt>
                <c:pt idx="249">
                  <c:v>1.3883137968971084</c:v>
                </c:pt>
                <c:pt idx="250">
                  <c:v>1.6813511161766443</c:v>
                </c:pt>
                <c:pt idx="251">
                  <c:v>1.3200234270602176</c:v>
                </c:pt>
                <c:pt idx="252">
                  <c:v>1.3773369753307438</c:v>
                </c:pt>
                <c:pt idx="253">
                  <c:v>2.5018619898609304</c:v>
                </c:pt>
                <c:pt idx="254">
                  <c:v>1.4284966020768219</c:v>
                </c:pt>
                <c:pt idx="255">
                  <c:v>1.6064589164368892</c:v>
                </c:pt>
                <c:pt idx="256">
                  <c:v>1.6064589164368892</c:v>
                </c:pt>
                <c:pt idx="257">
                  <c:v>1.7829655373142002</c:v>
                </c:pt>
                <c:pt idx="258">
                  <c:v>1.5452367990056399</c:v>
                </c:pt>
                <c:pt idx="259">
                  <c:v>1.4135768359906165</c:v>
                </c:pt>
                <c:pt idx="260">
                  <c:v>1.7638899870489388</c:v>
                </c:pt>
                <c:pt idx="261">
                  <c:v>1.2935193238358884</c:v>
                </c:pt>
                <c:pt idx="262">
                  <c:v>1.8175717475343196</c:v>
                </c:pt>
                <c:pt idx="263">
                  <c:v>1.6406494518428532</c:v>
                </c:pt>
                <c:pt idx="264">
                  <c:v>2.2227933120098866</c:v>
                </c:pt>
                <c:pt idx="265">
                  <c:v>1.1679532012258913</c:v>
                </c:pt>
                <c:pt idx="266">
                  <c:v>0.8674991552130713</c:v>
                </c:pt>
                <c:pt idx="267">
                  <c:v>0.86347338365293536</c:v>
                </c:pt>
                <c:pt idx="268">
                  <c:v>0.86216010728212789</c:v>
                </c:pt>
                <c:pt idx="269">
                  <c:v>1.3773770980749882</c:v>
                </c:pt>
                <c:pt idx="270">
                  <c:v>1.4347678104947794</c:v>
                </c:pt>
                <c:pt idx="271">
                  <c:v>1.3672996077231514</c:v>
                </c:pt>
              </c:numCache>
            </c:numRef>
          </c:xVal>
          <c:yVal>
            <c:numRef>
              <c:f>'Task 1 Converted AMI PDF Stats'!$AE$5:$AE$279</c:f>
              <c:numCache>
                <c:formatCode>0.000</c:formatCode>
                <c:ptCount val="275"/>
                <c:pt idx="0">
                  <c:v>74.693443458185143</c:v>
                </c:pt>
                <c:pt idx="1">
                  <c:v>75.807368272330649</c:v>
                </c:pt>
                <c:pt idx="2">
                  <c:v>70.766041734035667</c:v>
                </c:pt>
                <c:pt idx="3">
                  <c:v>60.949896448041642</c:v>
                </c:pt>
                <c:pt idx="4">
                  <c:v>65.199754036808656</c:v>
                </c:pt>
                <c:pt idx="5">
                  <c:v>72.928269381198533</c:v>
                </c:pt>
                <c:pt idx="6">
                  <c:v>76.820356633567471</c:v>
                </c:pt>
                <c:pt idx="7">
                  <c:v>68.250480393762885</c:v>
                </c:pt>
                <c:pt idx="8">
                  <c:v>94.241903361005313</c:v>
                </c:pt>
                <c:pt idx="9">
                  <c:v>105.115969133429</c:v>
                </c:pt>
                <c:pt idx="10">
                  <c:v>113.94482881483445</c:v>
                </c:pt>
                <c:pt idx="11">
                  <c:v>113.94482881483445</c:v>
                </c:pt>
                <c:pt idx="12">
                  <c:v>140.04062561074153</c:v>
                </c:pt>
                <c:pt idx="13">
                  <c:v>95.925434489173099</c:v>
                </c:pt>
                <c:pt idx="14">
                  <c:v>123.76074023271204</c:v>
                </c:pt>
                <c:pt idx="15">
                  <c:v>63.509230401643009</c:v>
                </c:pt>
                <c:pt idx="16">
                  <c:v>64.963640258169178</c:v>
                </c:pt>
                <c:pt idx="17">
                  <c:v>64.963640258169178</c:v>
                </c:pt>
                <c:pt idx="18">
                  <c:v>67.387656685712813</c:v>
                </c:pt>
                <c:pt idx="19">
                  <c:v>122.71542069786108</c:v>
                </c:pt>
                <c:pt idx="20">
                  <c:v>113.71272702437696</c:v>
                </c:pt>
                <c:pt idx="21">
                  <c:v>82.740334888785114</c:v>
                </c:pt>
                <c:pt idx="22">
                  <c:v>61.631171085053985</c:v>
                </c:pt>
                <c:pt idx="23">
                  <c:v>93.175583350030948</c:v>
                </c:pt>
                <c:pt idx="24">
                  <c:v>61.155122806795617</c:v>
                </c:pt>
                <c:pt idx="25">
                  <c:v>95.814349194871312</c:v>
                </c:pt>
                <c:pt idx="26">
                  <c:v>115.21823767342488</c:v>
                </c:pt>
                <c:pt idx="27">
                  <c:v>47.729284889787074</c:v>
                </c:pt>
                <c:pt idx="28">
                  <c:v>88.315847011953025</c:v>
                </c:pt>
                <c:pt idx="29">
                  <c:v>70.088625305668728</c:v>
                </c:pt>
                <c:pt idx="30">
                  <c:v>70.139922175045882</c:v>
                </c:pt>
                <c:pt idx="31">
                  <c:v>70.088625305668728</c:v>
                </c:pt>
                <c:pt idx="32">
                  <c:v>100.93753118830074</c:v>
                </c:pt>
                <c:pt idx="33">
                  <c:v>100.93753118830074</c:v>
                </c:pt>
                <c:pt idx="34">
                  <c:v>100.93753118830074</c:v>
                </c:pt>
                <c:pt idx="35">
                  <c:v>100.93753118830074</c:v>
                </c:pt>
                <c:pt idx="36">
                  <c:v>116.10444667143229</c:v>
                </c:pt>
                <c:pt idx="37">
                  <c:v>103.39942219289344</c:v>
                </c:pt>
                <c:pt idx="38">
                  <c:v>103.39942219289344</c:v>
                </c:pt>
                <c:pt idx="39">
                  <c:v>63.73271241622178</c:v>
                </c:pt>
                <c:pt idx="40">
                  <c:v>122.16751360486808</c:v>
                </c:pt>
                <c:pt idx="41">
                  <c:v>50.545769348590554</c:v>
                </c:pt>
                <c:pt idx="42">
                  <c:v>81.999745610967082</c:v>
                </c:pt>
                <c:pt idx="43">
                  <c:v>76.332859979555849</c:v>
                </c:pt>
                <c:pt idx="44">
                  <c:v>55.171353428562576</c:v>
                </c:pt>
                <c:pt idx="45">
                  <c:v>117.13659266148193</c:v>
                </c:pt>
                <c:pt idx="46">
                  <c:v>79.461255880357314</c:v>
                </c:pt>
                <c:pt idx="47">
                  <c:v>69.551634050259679</c:v>
                </c:pt>
                <c:pt idx="48">
                  <c:v>79.243449130316733</c:v>
                </c:pt>
                <c:pt idx="49">
                  <c:v>79.774095470437459</c:v>
                </c:pt>
                <c:pt idx="50">
                  <c:v>81.025453830758053</c:v>
                </c:pt>
                <c:pt idx="51">
                  <c:v>81.338293420838198</c:v>
                </c:pt>
                <c:pt idx="52">
                  <c:v>80.79724225051902</c:v>
                </c:pt>
                <c:pt idx="53">
                  <c:v>81.351414274640732</c:v>
                </c:pt>
                <c:pt idx="54">
                  <c:v>81.338293420838198</c:v>
                </c:pt>
                <c:pt idx="55">
                  <c:v>72.279149111054181</c:v>
                </c:pt>
                <c:pt idx="56">
                  <c:v>72.279149111054181</c:v>
                </c:pt>
                <c:pt idx="57">
                  <c:v>72.275774261677569</c:v>
                </c:pt>
                <c:pt idx="58">
                  <c:v>72.279149111054181</c:v>
                </c:pt>
                <c:pt idx="59">
                  <c:v>72.279149111054181</c:v>
                </c:pt>
                <c:pt idx="60">
                  <c:v>83.841010141479373</c:v>
                </c:pt>
                <c:pt idx="61">
                  <c:v>49.008641938095366</c:v>
                </c:pt>
                <c:pt idx="62">
                  <c:v>81.101328179470457</c:v>
                </c:pt>
                <c:pt idx="63">
                  <c:v>84.153849731559518</c:v>
                </c:pt>
                <c:pt idx="64">
                  <c:v>60.438453612696463</c:v>
                </c:pt>
                <c:pt idx="65">
                  <c:v>60.438453612696463</c:v>
                </c:pt>
                <c:pt idx="66">
                  <c:v>61.90653078787799</c:v>
                </c:pt>
                <c:pt idx="67">
                  <c:v>75.006664171848669</c:v>
                </c:pt>
                <c:pt idx="68">
                  <c:v>74.857079622253991</c:v>
                </c:pt>
                <c:pt idx="69">
                  <c:v>55.910640084371678</c:v>
                </c:pt>
                <c:pt idx="70">
                  <c:v>93.08223081767521</c:v>
                </c:pt>
                <c:pt idx="71">
                  <c:v>56.167091490342926</c:v>
                </c:pt>
                <c:pt idx="72">
                  <c:v>57.938872337254963</c:v>
                </c:pt>
                <c:pt idx="73">
                  <c:v>54.602788220353212</c:v>
                </c:pt>
                <c:pt idx="74">
                  <c:v>56.744645130346456</c:v>
                </c:pt>
                <c:pt idx="75">
                  <c:v>61.207941842903679</c:v>
                </c:pt>
                <c:pt idx="76">
                  <c:v>63.693299290476084</c:v>
                </c:pt>
                <c:pt idx="77">
                  <c:v>68.530765059372996</c:v>
                </c:pt>
                <c:pt idx="78">
                  <c:v>67.801720511664655</c:v>
                </c:pt>
                <c:pt idx="79">
                  <c:v>61.365074250374661</c:v>
                </c:pt>
                <c:pt idx="80">
                  <c:v>68.599387811801876</c:v>
                </c:pt>
                <c:pt idx="81">
                  <c:v>66.800545666113152</c:v>
                </c:pt>
                <c:pt idx="82">
                  <c:v>50.600875682874907</c:v>
                </c:pt>
                <c:pt idx="83">
                  <c:v>63.498740664357847</c:v>
                </c:pt>
                <c:pt idx="84">
                  <c:v>62.953346760384363</c:v>
                </c:pt>
                <c:pt idx="85">
                  <c:v>65.311440747155572</c:v>
                </c:pt>
                <c:pt idx="86">
                  <c:v>57.831229967489271</c:v>
                </c:pt>
                <c:pt idx="87">
                  <c:v>54.65245767251448</c:v>
                </c:pt>
                <c:pt idx="88">
                  <c:v>54.65245767251448</c:v>
                </c:pt>
                <c:pt idx="89">
                  <c:v>54.65245767251448</c:v>
                </c:pt>
                <c:pt idx="90">
                  <c:v>58.833550904757047</c:v>
                </c:pt>
                <c:pt idx="91">
                  <c:v>60.039156456084037</c:v>
                </c:pt>
                <c:pt idx="92">
                  <c:v>64.101715393494189</c:v>
                </c:pt>
                <c:pt idx="93">
                  <c:v>68.914983455986217</c:v>
                </c:pt>
                <c:pt idx="94">
                  <c:v>98.189804732121047</c:v>
                </c:pt>
                <c:pt idx="95">
                  <c:v>101.72610209935796</c:v>
                </c:pt>
                <c:pt idx="96">
                  <c:v>103.39942219289344</c:v>
                </c:pt>
                <c:pt idx="97">
                  <c:v>78.583089543843457</c:v>
                </c:pt>
                <c:pt idx="98">
                  <c:v>120.63265922504235</c:v>
                </c:pt>
                <c:pt idx="99">
                  <c:v>63.502189531704843</c:v>
                </c:pt>
                <c:pt idx="100">
                  <c:v>58.322127565342186</c:v>
                </c:pt>
                <c:pt idx="101">
                  <c:v>93.227587212137323</c:v>
                </c:pt>
                <c:pt idx="102">
                  <c:v>61.828552017067437</c:v>
                </c:pt>
                <c:pt idx="103">
                  <c:v>54.602788220353212</c:v>
                </c:pt>
                <c:pt idx="104">
                  <c:v>58.976141151476916</c:v>
                </c:pt>
                <c:pt idx="105">
                  <c:v>65.311440747155572</c:v>
                </c:pt>
                <c:pt idx="106">
                  <c:v>52.641811997164069</c:v>
                </c:pt>
                <c:pt idx="107">
                  <c:v>60.493517245424478</c:v>
                </c:pt>
                <c:pt idx="111">
                  <c:v>70.681427520753985</c:v>
                </c:pt>
                <c:pt idx="112">
                  <c:v>79.889851346338347</c:v>
                </c:pt>
                <c:pt idx="113">
                  <c:v>48.245276382281048</c:v>
                </c:pt>
                <c:pt idx="114">
                  <c:v>71.583410563218536</c:v>
                </c:pt>
                <c:pt idx="115">
                  <c:v>88.014697108076518</c:v>
                </c:pt>
                <c:pt idx="116">
                  <c:v>79.128353343635041</c:v>
                </c:pt>
                <c:pt idx="117">
                  <c:v>83.44444534419695</c:v>
                </c:pt>
                <c:pt idx="118">
                  <c:v>105.115969133429</c:v>
                </c:pt>
                <c:pt idx="119">
                  <c:v>97.794107897862787</c:v>
                </c:pt>
                <c:pt idx="120">
                  <c:v>108.74065772423691</c:v>
                </c:pt>
                <c:pt idx="121">
                  <c:v>115.40991021922882</c:v>
                </c:pt>
                <c:pt idx="122">
                  <c:v>117.15854522255046</c:v>
                </c:pt>
                <c:pt idx="123">
                  <c:v>118.90718022587211</c:v>
                </c:pt>
                <c:pt idx="125">
                  <c:v>82.123082614411999</c:v>
                </c:pt>
                <c:pt idx="126">
                  <c:v>134.11347785989219</c:v>
                </c:pt>
                <c:pt idx="127">
                  <c:v>89.148880271606288</c:v>
                </c:pt>
                <c:pt idx="128">
                  <c:v>135.41142501288078</c:v>
                </c:pt>
                <c:pt idx="129">
                  <c:v>99.853936075651191</c:v>
                </c:pt>
                <c:pt idx="130">
                  <c:v>94.392932052288998</c:v>
                </c:pt>
                <c:pt idx="131">
                  <c:v>78.209475867298792</c:v>
                </c:pt>
                <c:pt idx="132">
                  <c:v>138.47280883024186</c:v>
                </c:pt>
                <c:pt idx="133">
                  <c:v>86.500186130962007</c:v>
                </c:pt>
                <c:pt idx="134">
                  <c:v>106.82048975534778</c:v>
                </c:pt>
                <c:pt idx="135">
                  <c:v>126.64757253492509</c:v>
                </c:pt>
                <c:pt idx="136">
                  <c:v>80.369958626063948</c:v>
                </c:pt>
                <c:pt idx="138">
                  <c:v>70.426794361452863</c:v>
                </c:pt>
                <c:pt idx="139">
                  <c:v>132.27624950876449</c:v>
                </c:pt>
                <c:pt idx="140">
                  <c:v>78.991619476293906</c:v>
                </c:pt>
                <c:pt idx="141">
                  <c:v>144.55952570190084</c:v>
                </c:pt>
                <c:pt idx="142">
                  <c:v>110.30376659519608</c:v>
                </c:pt>
                <c:pt idx="143">
                  <c:v>110.30376659519608</c:v>
                </c:pt>
                <c:pt idx="144">
                  <c:v>87.809806469646688</c:v>
                </c:pt>
                <c:pt idx="145">
                  <c:v>110.31968096909655</c:v>
                </c:pt>
                <c:pt idx="146">
                  <c:v>87.809806469646688</c:v>
                </c:pt>
                <c:pt idx="147">
                  <c:v>114.97231566017679</c:v>
                </c:pt>
                <c:pt idx="148">
                  <c:v>114.97231566017679</c:v>
                </c:pt>
                <c:pt idx="149">
                  <c:v>83.901883363589164</c:v>
                </c:pt>
                <c:pt idx="150">
                  <c:v>74.5695469709501</c:v>
                </c:pt>
                <c:pt idx="151">
                  <c:v>99.807048574767776</c:v>
                </c:pt>
                <c:pt idx="152">
                  <c:v>104.88103561365445</c:v>
                </c:pt>
                <c:pt idx="153">
                  <c:v>126.09732765268653</c:v>
                </c:pt>
                <c:pt idx="154">
                  <c:v>79.755633674727079</c:v>
                </c:pt>
                <c:pt idx="155">
                  <c:v>121.9146893946904</c:v>
                </c:pt>
                <c:pt idx="156">
                  <c:v>105.79547148925384</c:v>
                </c:pt>
                <c:pt idx="157">
                  <c:v>82.855052189944558</c:v>
                </c:pt>
                <c:pt idx="158">
                  <c:v>104.56066455391013</c:v>
                </c:pt>
                <c:pt idx="159">
                  <c:v>86.678541829466496</c:v>
                </c:pt>
                <c:pt idx="160">
                  <c:v>75.954662526040167</c:v>
                </c:pt>
                <c:pt idx="161">
                  <c:v>99.382206903197357</c:v>
                </c:pt>
                <c:pt idx="162">
                  <c:v>93.99522056483471</c:v>
                </c:pt>
                <c:pt idx="163">
                  <c:v>104.19020922639253</c:v>
                </c:pt>
                <c:pt idx="164">
                  <c:v>75.954662526040167</c:v>
                </c:pt>
                <c:pt idx="165">
                  <c:v>93.99522056483471</c:v>
                </c:pt>
                <c:pt idx="166">
                  <c:v>75.285620908828861</c:v>
                </c:pt>
                <c:pt idx="167">
                  <c:v>107.0182016348819</c:v>
                </c:pt>
                <c:pt idx="168">
                  <c:v>69.872059050066241</c:v>
                </c:pt>
                <c:pt idx="169">
                  <c:v>79.257039157607124</c:v>
                </c:pt>
                <c:pt idx="170">
                  <c:v>93.703971002604305</c:v>
                </c:pt>
                <c:pt idx="171">
                  <c:v>89.649278407331821</c:v>
                </c:pt>
                <c:pt idx="172">
                  <c:v>124.77530645600487</c:v>
                </c:pt>
                <c:pt idx="173">
                  <c:v>124.77530645600487</c:v>
                </c:pt>
                <c:pt idx="174">
                  <c:v>83.399007287915822</c:v>
                </c:pt>
                <c:pt idx="175">
                  <c:v>78.616898451588611</c:v>
                </c:pt>
                <c:pt idx="176">
                  <c:v>80.36394063940169</c:v>
                </c:pt>
                <c:pt idx="177">
                  <c:v>90.644047450925697</c:v>
                </c:pt>
                <c:pt idx="178">
                  <c:v>123.57961380136715</c:v>
                </c:pt>
                <c:pt idx="179">
                  <c:v>86.557164644176112</c:v>
                </c:pt>
                <c:pt idx="180">
                  <c:v>117.16342419814956</c:v>
                </c:pt>
                <c:pt idx="181">
                  <c:v>63.344462615078463</c:v>
                </c:pt>
                <c:pt idx="182">
                  <c:v>102.95492316914783</c:v>
                </c:pt>
                <c:pt idx="183">
                  <c:v>135.90027290399027</c:v>
                </c:pt>
                <c:pt idx="184">
                  <c:v>261.6209590692186</c:v>
                </c:pt>
                <c:pt idx="185">
                  <c:v>83.502085314167161</c:v>
                </c:pt>
                <c:pt idx="186">
                  <c:v>146.77229473630948</c:v>
                </c:pt>
                <c:pt idx="187">
                  <c:v>146.77229473630948</c:v>
                </c:pt>
                <c:pt idx="188">
                  <c:v>149.49030019438928</c:v>
                </c:pt>
                <c:pt idx="189">
                  <c:v>126.54226152646078</c:v>
                </c:pt>
                <c:pt idx="190">
                  <c:v>138.94945648714696</c:v>
                </c:pt>
                <c:pt idx="191">
                  <c:v>64.977317982220342</c:v>
                </c:pt>
                <c:pt idx="192">
                  <c:v>74.102266794457961</c:v>
                </c:pt>
                <c:pt idx="193">
                  <c:v>96.729105304140447</c:v>
                </c:pt>
                <c:pt idx="194">
                  <c:v>78.461223664720194</c:v>
                </c:pt>
                <c:pt idx="195">
                  <c:v>85.928932227846175</c:v>
                </c:pt>
                <c:pt idx="196">
                  <c:v>141.83761390276337</c:v>
                </c:pt>
                <c:pt idx="197">
                  <c:v>123.05660802878002</c:v>
                </c:pt>
                <c:pt idx="198">
                  <c:v>60.239253534579881</c:v>
                </c:pt>
                <c:pt idx="199">
                  <c:v>135.69104750524511</c:v>
                </c:pt>
                <c:pt idx="200">
                  <c:v>102.0282714449631</c:v>
                </c:pt>
                <c:pt idx="201">
                  <c:v>73.669120794371551</c:v>
                </c:pt>
                <c:pt idx="202">
                  <c:v>68.970525033956164</c:v>
                </c:pt>
                <c:pt idx="203">
                  <c:v>81.905320645486441</c:v>
                </c:pt>
                <c:pt idx="204">
                  <c:v>69.415038696440305</c:v>
                </c:pt>
                <c:pt idx="205">
                  <c:v>61.013560705980545</c:v>
                </c:pt>
                <c:pt idx="206">
                  <c:v>96.214809175002443</c:v>
                </c:pt>
                <c:pt idx="207">
                  <c:v>107.39818046838221</c:v>
                </c:pt>
                <c:pt idx="208">
                  <c:v>109.00915317540795</c:v>
                </c:pt>
                <c:pt idx="209">
                  <c:v>103.39942219289344</c:v>
                </c:pt>
                <c:pt idx="210">
                  <c:v>88.859103057354531</c:v>
                </c:pt>
                <c:pt idx="211">
                  <c:v>121.29328819850247</c:v>
                </c:pt>
                <c:pt idx="212">
                  <c:v>110.10438776943653</c:v>
                </c:pt>
                <c:pt idx="213">
                  <c:v>97.650848543365527</c:v>
                </c:pt>
                <c:pt idx="214">
                  <c:v>106.17440647999042</c:v>
                </c:pt>
                <c:pt idx="215">
                  <c:v>67.757341574101773</c:v>
                </c:pt>
                <c:pt idx="216">
                  <c:v>78.38093200975446</c:v>
                </c:pt>
                <c:pt idx="217">
                  <c:v>82.048921053647476</c:v>
                </c:pt>
                <c:pt idx="218">
                  <c:v>94.994392603268579</c:v>
                </c:pt>
                <c:pt idx="219">
                  <c:v>93.66859193980342</c:v>
                </c:pt>
                <c:pt idx="220">
                  <c:v>64.014303963412132</c:v>
                </c:pt>
                <c:pt idx="221">
                  <c:v>64.014303963412132</c:v>
                </c:pt>
                <c:pt idx="222">
                  <c:v>79.786964000128407</c:v>
                </c:pt>
                <c:pt idx="223">
                  <c:v>66.168661772958657</c:v>
                </c:pt>
                <c:pt idx="224">
                  <c:v>75.516613509747884</c:v>
                </c:pt>
                <c:pt idx="225">
                  <c:v>74.010769320793599</c:v>
                </c:pt>
                <c:pt idx="226">
                  <c:v>74.072605461759949</c:v>
                </c:pt>
                <c:pt idx="227">
                  <c:v>53.209981773949856</c:v>
                </c:pt>
                <c:pt idx="228">
                  <c:v>60.801083370252634</c:v>
                </c:pt>
                <c:pt idx="229">
                  <c:v>92.748502216103887</c:v>
                </c:pt>
                <c:pt idx="230">
                  <c:v>97.236332968496001</c:v>
                </c:pt>
                <c:pt idx="231">
                  <c:v>89.054056574538677</c:v>
                </c:pt>
                <c:pt idx="232">
                  <c:v>103.20541959741951</c:v>
                </c:pt>
                <c:pt idx="233">
                  <c:v>148.22636377603743</c:v>
                </c:pt>
                <c:pt idx="234">
                  <c:v>67.655814126111181</c:v>
                </c:pt>
                <c:pt idx="235">
                  <c:v>67.259100342089781</c:v>
                </c:pt>
                <c:pt idx="236">
                  <c:v>47.717109314560048</c:v>
                </c:pt>
                <c:pt idx="237">
                  <c:v>52.234810159776671</c:v>
                </c:pt>
                <c:pt idx="238">
                  <c:v>52.234810159776671</c:v>
                </c:pt>
                <c:pt idx="239">
                  <c:v>55.858396546106746</c:v>
                </c:pt>
                <c:pt idx="240">
                  <c:v>59.659649047520851</c:v>
                </c:pt>
                <c:pt idx="241">
                  <c:v>59.665514720748057</c:v>
                </c:pt>
                <c:pt idx="242">
                  <c:v>91.56636340030883</c:v>
                </c:pt>
                <c:pt idx="243">
                  <c:v>87.21906921631502</c:v>
                </c:pt>
                <c:pt idx="244">
                  <c:v>50.982122094169831</c:v>
                </c:pt>
                <c:pt idx="245">
                  <c:v>67.10944740301737</c:v>
                </c:pt>
                <c:pt idx="246">
                  <c:v>61.158007880196458</c:v>
                </c:pt>
                <c:pt idx="247">
                  <c:v>96.279202086500305</c:v>
                </c:pt>
                <c:pt idx="248">
                  <c:v>71.022712998512318</c:v>
                </c:pt>
                <c:pt idx="249">
                  <c:v>82.5746565888807</c:v>
                </c:pt>
                <c:pt idx="250">
                  <c:v>61.076297430372904</c:v>
                </c:pt>
                <c:pt idx="251">
                  <c:v>61.365074250374661</c:v>
                </c:pt>
                <c:pt idx="252">
                  <c:v>66.800545666113152</c:v>
                </c:pt>
                <c:pt idx="253">
                  <c:v>64.090057409938623</c:v>
                </c:pt>
                <c:pt idx="254">
                  <c:v>77.5921278215488</c:v>
                </c:pt>
                <c:pt idx="255">
                  <c:v>64.541619270394065</c:v>
                </c:pt>
                <c:pt idx="256">
                  <c:v>64.541619270394065</c:v>
                </c:pt>
                <c:pt idx="257">
                  <c:v>88.06337684178564</c:v>
                </c:pt>
                <c:pt idx="258">
                  <c:v>162.59649907104063</c:v>
                </c:pt>
                <c:pt idx="259">
                  <c:v>83.093075552446678</c:v>
                </c:pt>
                <c:pt idx="260">
                  <c:v>86.321840011238223</c:v>
                </c:pt>
                <c:pt idx="261">
                  <c:v>69.665536796965952</c:v>
                </c:pt>
                <c:pt idx="262">
                  <c:v>58.853012822942745</c:v>
                </c:pt>
                <c:pt idx="263">
                  <c:v>52.931827589746419</c:v>
                </c:pt>
                <c:pt idx="264">
                  <c:v>71.479598397337313</c:v>
                </c:pt>
                <c:pt idx="265">
                  <c:v>85.102568341657985</c:v>
                </c:pt>
                <c:pt idx="266">
                  <c:v>133.19723468234437</c:v>
                </c:pt>
                <c:pt idx="267">
                  <c:v>135.27950878835466</c:v>
                </c:pt>
                <c:pt idx="268">
                  <c:v>136.52060519925698</c:v>
                </c:pt>
                <c:pt idx="269">
                  <c:v>87.13815711977287</c:v>
                </c:pt>
                <c:pt idx="270">
                  <c:v>95.501905919678563</c:v>
                </c:pt>
                <c:pt idx="271">
                  <c:v>62.654000004189633</c:v>
                </c:pt>
              </c:numCache>
            </c:numRef>
          </c:yVal>
          <c:smooth val="1"/>
          <c:extLst>
            <c:ext xmlns:c16="http://schemas.microsoft.com/office/drawing/2014/chart" uri="{C3380CC4-5D6E-409C-BE32-E72D297353CC}">
              <c16:uniqueId val="{00000000-D872-4C82-9ACB-972616956BAD}"/>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53536755218978738"/>
                  <c:y val="-0.52337198154005549"/>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Stats'!$AA$5:$AA$12</c:f>
              <c:numCache>
                <c:formatCode>0.000</c:formatCode>
                <c:ptCount val="8"/>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numCache>
            </c:numRef>
          </c:xVal>
          <c:yVal>
            <c:numRef>
              <c:f>'Task 1 Converted AMI PDF Stats'!$AE$5:$AE$12</c:f>
              <c:numCache>
                <c:formatCode>0.000</c:formatCode>
                <c:ptCount val="8"/>
                <c:pt idx="0">
                  <c:v>74.693443458185143</c:v>
                </c:pt>
                <c:pt idx="1">
                  <c:v>75.807368272330649</c:v>
                </c:pt>
                <c:pt idx="2">
                  <c:v>70.766041734035667</c:v>
                </c:pt>
                <c:pt idx="3">
                  <c:v>60.949896448041642</c:v>
                </c:pt>
                <c:pt idx="4">
                  <c:v>65.199754036808656</c:v>
                </c:pt>
                <c:pt idx="5">
                  <c:v>72.928269381198533</c:v>
                </c:pt>
                <c:pt idx="6">
                  <c:v>76.820356633567471</c:v>
                </c:pt>
                <c:pt idx="7">
                  <c:v>68.250480393762885</c:v>
                </c:pt>
              </c:numCache>
            </c:numRef>
          </c:yVal>
          <c:smooth val="1"/>
          <c:extLst>
            <c:ext xmlns:c16="http://schemas.microsoft.com/office/drawing/2014/chart" uri="{C3380CC4-5D6E-409C-BE32-E72D297353CC}">
              <c16:uniqueId val="{00000001-D872-4C82-9ACB-972616956BAD}"/>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1497215349847487"/>
                  <c:y val="-0.35994353514544619"/>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Stats'!$AA$13:$AA$98</c:f>
              <c:numCache>
                <c:formatCode>0.000</c:formatCode>
                <c:ptCount val="86"/>
                <c:pt idx="0">
                  <c:v>4.2578781301312683</c:v>
                </c:pt>
                <c:pt idx="1">
                  <c:v>3.3448689380599737</c:v>
                </c:pt>
                <c:pt idx="2">
                  <c:v>2.9771509183214606</c:v>
                </c:pt>
                <c:pt idx="3">
                  <c:v>2.9771509183214606</c:v>
                </c:pt>
                <c:pt idx="4">
                  <c:v>2.999427721161795</c:v>
                </c:pt>
                <c:pt idx="5">
                  <c:v>2.2514270068628797</c:v>
                </c:pt>
                <c:pt idx="6">
                  <c:v>2.3576001141871554</c:v>
                </c:pt>
                <c:pt idx="7">
                  <c:v>2.190112809023498</c:v>
                </c:pt>
                <c:pt idx="8">
                  <c:v>2.1818634545719475</c:v>
                </c:pt>
                <c:pt idx="9">
                  <c:v>2.1818634545719475</c:v>
                </c:pt>
                <c:pt idx="10">
                  <c:v>2.0240101110609023</c:v>
                </c:pt>
                <c:pt idx="11">
                  <c:v>1.800731925644989</c:v>
                </c:pt>
                <c:pt idx="12">
                  <c:v>2.6619680028744539</c:v>
                </c:pt>
                <c:pt idx="13">
                  <c:v>2.6467639937173235</c:v>
                </c:pt>
                <c:pt idx="14">
                  <c:v>2.069854896780333</c:v>
                </c:pt>
                <c:pt idx="15">
                  <c:v>2.2595420483327904</c:v>
                </c:pt>
                <c:pt idx="16">
                  <c:v>2.2595420483327904</c:v>
                </c:pt>
                <c:pt idx="17">
                  <c:v>2.1669255318160054</c:v>
                </c:pt>
                <c:pt idx="18">
                  <c:v>3.1455370623135566</c:v>
                </c:pt>
                <c:pt idx="19">
                  <c:v>2.6086473483748582</c:v>
                </c:pt>
                <c:pt idx="20">
                  <c:v>1.5852204308625291</c:v>
                </c:pt>
                <c:pt idx="21">
                  <c:v>2.8819125836046848</c:v>
                </c:pt>
                <c:pt idx="22">
                  <c:v>2.8819125836046848</c:v>
                </c:pt>
                <c:pt idx="23">
                  <c:v>2.8819125836046848</c:v>
                </c:pt>
                <c:pt idx="24">
                  <c:v>2.371371051549791</c:v>
                </c:pt>
                <c:pt idx="25">
                  <c:v>2.371371051549791</c:v>
                </c:pt>
                <c:pt idx="26">
                  <c:v>2.371371051549791</c:v>
                </c:pt>
                <c:pt idx="27">
                  <c:v>2.371371051549791</c:v>
                </c:pt>
                <c:pt idx="28">
                  <c:v>2.1663529822826906</c:v>
                </c:pt>
                <c:pt idx="29">
                  <c:v>2.3618661121023545</c:v>
                </c:pt>
                <c:pt idx="30">
                  <c:v>2.3618661121023545</c:v>
                </c:pt>
                <c:pt idx="31">
                  <c:v>1.8865102430633052</c:v>
                </c:pt>
                <c:pt idx="32">
                  <c:v>2.4198393639787561</c:v>
                </c:pt>
                <c:pt idx="33">
                  <c:v>1.0673659461753169</c:v>
                </c:pt>
                <c:pt idx="34">
                  <c:v>2.2768845030336466</c:v>
                </c:pt>
                <c:pt idx="35">
                  <c:v>2.1060828598451677</c:v>
                </c:pt>
                <c:pt idx="36">
                  <c:v>2.6308096346759702</c:v>
                </c:pt>
                <c:pt idx="37">
                  <c:v>2.4205018391001354</c:v>
                </c:pt>
                <c:pt idx="38">
                  <c:v>2.2881590271964689</c:v>
                </c:pt>
                <c:pt idx="39">
                  <c:v>2.3846608081108682</c:v>
                </c:pt>
                <c:pt idx="40">
                  <c:v>2.6133269129982115</c:v>
                </c:pt>
                <c:pt idx="41">
                  <c:v>2.6786600858231666</c:v>
                </c:pt>
                <c:pt idx="42">
                  <c:v>2.6065565033135569</c:v>
                </c:pt>
                <c:pt idx="43">
                  <c:v>2.6048829497737058</c:v>
                </c:pt>
                <c:pt idx="44">
                  <c:v>2.4746388022850203</c:v>
                </c:pt>
                <c:pt idx="45">
                  <c:v>2.6048829497737058</c:v>
                </c:pt>
                <c:pt idx="46">
                  <c:v>2.6048829497737058</c:v>
                </c:pt>
                <c:pt idx="47">
                  <c:v>2.3694215380899792</c:v>
                </c:pt>
                <c:pt idx="48">
                  <c:v>2.0123854159120369</c:v>
                </c:pt>
                <c:pt idx="49">
                  <c:v>2.0123854159120369</c:v>
                </c:pt>
                <c:pt idx="50">
                  <c:v>2.3369637088010751</c:v>
                </c:pt>
                <c:pt idx="51">
                  <c:v>2.3369637088010751</c:v>
                </c:pt>
                <c:pt idx="52">
                  <c:v>2.4621711827915069</c:v>
                </c:pt>
                <c:pt idx="53">
                  <c:v>2.5917591397805335</c:v>
                </c:pt>
                <c:pt idx="54">
                  <c:v>2.5917591397805335</c:v>
                </c:pt>
                <c:pt idx="55">
                  <c:v>1.7483518224639953</c:v>
                </c:pt>
                <c:pt idx="56">
                  <c:v>2.6532632544873387</c:v>
                </c:pt>
                <c:pt idx="57">
                  <c:v>2.4591220407443628</c:v>
                </c:pt>
                <c:pt idx="58">
                  <c:v>2.3944083028300378</c:v>
                </c:pt>
                <c:pt idx="59">
                  <c:v>2.4193549999763144</c:v>
                </c:pt>
                <c:pt idx="60">
                  <c:v>2.4650646962888745</c:v>
                </c:pt>
                <c:pt idx="61">
                  <c:v>1.9757254171590406</c:v>
                </c:pt>
                <c:pt idx="62">
                  <c:v>1.8992418100053081</c:v>
                </c:pt>
                <c:pt idx="63">
                  <c:v>1.8267821846579544</c:v>
                </c:pt>
                <c:pt idx="64">
                  <c:v>2.4336286613320408</c:v>
                </c:pt>
                <c:pt idx="65">
                  <c:v>1.8548520509735185</c:v>
                </c:pt>
                <c:pt idx="66">
                  <c:v>1.5805140808096707</c:v>
                </c:pt>
                <c:pt idx="67">
                  <c:v>2.3090039333397643</c:v>
                </c:pt>
                <c:pt idx="68">
                  <c:v>2.3383974386850541</c:v>
                </c:pt>
                <c:pt idx="69">
                  <c:v>2.3100409973553808</c:v>
                </c:pt>
                <c:pt idx="70">
                  <c:v>2.160038335189447</c:v>
                </c:pt>
                <c:pt idx="71">
                  <c:v>1.800031945991206</c:v>
                </c:pt>
                <c:pt idx="72">
                  <c:v>2.2756002201116634</c:v>
                </c:pt>
                <c:pt idx="73">
                  <c:v>2.3953686527491196</c:v>
                </c:pt>
                <c:pt idx="74">
                  <c:v>1.9162949221992955</c:v>
                </c:pt>
                <c:pt idx="75">
                  <c:v>2.2729648881756734</c:v>
                </c:pt>
                <c:pt idx="76">
                  <c:v>2.2703507724055916</c:v>
                </c:pt>
                <c:pt idx="77">
                  <c:v>1.9018299064684803</c:v>
                </c:pt>
                <c:pt idx="78">
                  <c:v>1.7829655373142002</c:v>
                </c:pt>
                <c:pt idx="79">
                  <c:v>1.6474433704258884</c:v>
                </c:pt>
                <c:pt idx="80">
                  <c:v>1.6474433704258884</c:v>
                </c:pt>
                <c:pt idx="81">
                  <c:v>1.6474433704258884</c:v>
                </c:pt>
                <c:pt idx="82">
                  <c:v>1.8176719413792313</c:v>
                </c:pt>
                <c:pt idx="83">
                  <c:v>1.8115371711008192</c:v>
                </c:pt>
                <c:pt idx="84">
                  <c:v>2.184138938448057</c:v>
                </c:pt>
                <c:pt idx="85">
                  <c:v>1.9370077776077976</c:v>
                </c:pt>
              </c:numCache>
            </c:numRef>
          </c:xVal>
          <c:yVal>
            <c:numRef>
              <c:f>'Task 1 Converted AMI PDF Stats'!$AE$13:$AE$98</c:f>
              <c:numCache>
                <c:formatCode>0.000</c:formatCode>
                <c:ptCount val="86"/>
                <c:pt idx="0">
                  <c:v>94.241903361005313</c:v>
                </c:pt>
                <c:pt idx="1">
                  <c:v>105.115969133429</c:v>
                </c:pt>
                <c:pt idx="2">
                  <c:v>113.94482881483445</c:v>
                </c:pt>
                <c:pt idx="3">
                  <c:v>113.94482881483445</c:v>
                </c:pt>
                <c:pt idx="4">
                  <c:v>140.04062561074153</c:v>
                </c:pt>
                <c:pt idx="5">
                  <c:v>95.925434489173099</c:v>
                </c:pt>
                <c:pt idx="6">
                  <c:v>123.76074023271204</c:v>
                </c:pt>
                <c:pt idx="7">
                  <c:v>63.509230401643009</c:v>
                </c:pt>
                <c:pt idx="8">
                  <c:v>64.963640258169178</c:v>
                </c:pt>
                <c:pt idx="9">
                  <c:v>64.963640258169178</c:v>
                </c:pt>
                <c:pt idx="10">
                  <c:v>67.387656685712813</c:v>
                </c:pt>
                <c:pt idx="11">
                  <c:v>122.71542069786108</c:v>
                </c:pt>
                <c:pt idx="12">
                  <c:v>113.71272702437696</c:v>
                </c:pt>
                <c:pt idx="13">
                  <c:v>82.740334888785114</c:v>
                </c:pt>
                <c:pt idx="14">
                  <c:v>61.631171085053985</c:v>
                </c:pt>
                <c:pt idx="15">
                  <c:v>93.175583350030948</c:v>
                </c:pt>
                <c:pt idx="16">
                  <c:v>61.155122806795617</c:v>
                </c:pt>
                <c:pt idx="17">
                  <c:v>95.814349194871312</c:v>
                </c:pt>
                <c:pt idx="18">
                  <c:v>115.21823767342488</c:v>
                </c:pt>
                <c:pt idx="19">
                  <c:v>47.729284889787074</c:v>
                </c:pt>
                <c:pt idx="20">
                  <c:v>88.315847011953025</c:v>
                </c:pt>
                <c:pt idx="21">
                  <c:v>70.088625305668728</c:v>
                </c:pt>
                <c:pt idx="22">
                  <c:v>70.139922175045882</c:v>
                </c:pt>
                <c:pt idx="23">
                  <c:v>70.088625305668728</c:v>
                </c:pt>
                <c:pt idx="24">
                  <c:v>100.93753118830074</c:v>
                </c:pt>
                <c:pt idx="25">
                  <c:v>100.93753118830074</c:v>
                </c:pt>
                <c:pt idx="26">
                  <c:v>100.93753118830074</c:v>
                </c:pt>
                <c:pt idx="27">
                  <c:v>100.93753118830074</c:v>
                </c:pt>
                <c:pt idx="28">
                  <c:v>116.10444667143229</c:v>
                </c:pt>
                <c:pt idx="29">
                  <c:v>103.39942219289344</c:v>
                </c:pt>
                <c:pt idx="30">
                  <c:v>103.39942219289344</c:v>
                </c:pt>
                <c:pt idx="31">
                  <c:v>63.73271241622178</c:v>
                </c:pt>
                <c:pt idx="32">
                  <c:v>122.16751360486808</c:v>
                </c:pt>
                <c:pt idx="33">
                  <c:v>50.545769348590554</c:v>
                </c:pt>
                <c:pt idx="34">
                  <c:v>81.999745610967082</c:v>
                </c:pt>
                <c:pt idx="35">
                  <c:v>76.332859979555849</c:v>
                </c:pt>
                <c:pt idx="36">
                  <c:v>55.171353428562576</c:v>
                </c:pt>
                <c:pt idx="37">
                  <c:v>117.13659266148193</c:v>
                </c:pt>
                <c:pt idx="38">
                  <c:v>79.461255880357314</c:v>
                </c:pt>
                <c:pt idx="39">
                  <c:v>69.551634050259679</c:v>
                </c:pt>
                <c:pt idx="40">
                  <c:v>79.243449130316733</c:v>
                </c:pt>
                <c:pt idx="41">
                  <c:v>79.774095470437459</c:v>
                </c:pt>
                <c:pt idx="42">
                  <c:v>81.025453830758053</c:v>
                </c:pt>
                <c:pt idx="43">
                  <c:v>81.338293420838198</c:v>
                </c:pt>
                <c:pt idx="44">
                  <c:v>80.79724225051902</c:v>
                </c:pt>
                <c:pt idx="45">
                  <c:v>81.351414274640732</c:v>
                </c:pt>
                <c:pt idx="46">
                  <c:v>81.338293420838198</c:v>
                </c:pt>
                <c:pt idx="47">
                  <c:v>72.279149111054181</c:v>
                </c:pt>
                <c:pt idx="48">
                  <c:v>72.279149111054181</c:v>
                </c:pt>
                <c:pt idx="49">
                  <c:v>72.275774261677569</c:v>
                </c:pt>
                <c:pt idx="50">
                  <c:v>72.279149111054181</c:v>
                </c:pt>
                <c:pt idx="51">
                  <c:v>72.279149111054181</c:v>
                </c:pt>
                <c:pt idx="52">
                  <c:v>83.841010141479373</c:v>
                </c:pt>
                <c:pt idx="53">
                  <c:v>49.008641938095366</c:v>
                </c:pt>
                <c:pt idx="54">
                  <c:v>81.101328179470457</c:v>
                </c:pt>
                <c:pt idx="55">
                  <c:v>84.153849731559518</c:v>
                </c:pt>
                <c:pt idx="56">
                  <c:v>60.438453612696463</c:v>
                </c:pt>
                <c:pt idx="57">
                  <c:v>60.438453612696463</c:v>
                </c:pt>
                <c:pt idx="58">
                  <c:v>61.90653078787799</c:v>
                </c:pt>
                <c:pt idx="59">
                  <c:v>75.006664171848669</c:v>
                </c:pt>
                <c:pt idx="60">
                  <c:v>74.857079622253991</c:v>
                </c:pt>
                <c:pt idx="61">
                  <c:v>55.910640084371678</c:v>
                </c:pt>
                <c:pt idx="62">
                  <c:v>93.08223081767521</c:v>
                </c:pt>
                <c:pt idx="63">
                  <c:v>56.167091490342926</c:v>
                </c:pt>
                <c:pt idx="64">
                  <c:v>57.938872337254963</c:v>
                </c:pt>
                <c:pt idx="65">
                  <c:v>54.602788220353212</c:v>
                </c:pt>
                <c:pt idx="66">
                  <c:v>56.744645130346456</c:v>
                </c:pt>
                <c:pt idx="67">
                  <c:v>61.207941842903679</c:v>
                </c:pt>
                <c:pt idx="68">
                  <c:v>63.693299290476084</c:v>
                </c:pt>
                <c:pt idx="69">
                  <c:v>68.530765059372996</c:v>
                </c:pt>
                <c:pt idx="70">
                  <c:v>67.801720511664655</c:v>
                </c:pt>
                <c:pt idx="71">
                  <c:v>61.365074250374661</c:v>
                </c:pt>
                <c:pt idx="72">
                  <c:v>68.599387811801876</c:v>
                </c:pt>
                <c:pt idx="73">
                  <c:v>66.800545666113152</c:v>
                </c:pt>
                <c:pt idx="74">
                  <c:v>50.600875682874907</c:v>
                </c:pt>
                <c:pt idx="75">
                  <c:v>63.498740664357847</c:v>
                </c:pt>
                <c:pt idx="76">
                  <c:v>62.953346760384363</c:v>
                </c:pt>
                <c:pt idx="77">
                  <c:v>65.311440747155572</c:v>
                </c:pt>
                <c:pt idx="78">
                  <c:v>57.831229967489271</c:v>
                </c:pt>
                <c:pt idx="79">
                  <c:v>54.65245767251448</c:v>
                </c:pt>
                <c:pt idx="80">
                  <c:v>54.65245767251448</c:v>
                </c:pt>
                <c:pt idx="81">
                  <c:v>54.65245767251448</c:v>
                </c:pt>
                <c:pt idx="82">
                  <c:v>58.833550904757047</c:v>
                </c:pt>
                <c:pt idx="83">
                  <c:v>60.039156456084037</c:v>
                </c:pt>
                <c:pt idx="84">
                  <c:v>64.101715393494189</c:v>
                </c:pt>
                <c:pt idx="85">
                  <c:v>68.914983455986217</c:v>
                </c:pt>
              </c:numCache>
            </c:numRef>
          </c:yVal>
          <c:smooth val="1"/>
          <c:extLst>
            <c:ext xmlns:c16="http://schemas.microsoft.com/office/drawing/2014/chart" uri="{C3380CC4-5D6E-409C-BE32-E72D297353CC}">
              <c16:uniqueId val="{00000002-D872-4C82-9ACB-972616956BAD}"/>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47819299890580774"/>
                  <c:y val="-0.35065060279990817"/>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Stats'!$AA$99:$AA$112</c:f>
              <c:numCache>
                <c:formatCode>0.000</c:formatCode>
                <c:ptCount val="14"/>
                <c:pt idx="0">
                  <c:v>2.5164296498508452</c:v>
                </c:pt>
                <c:pt idx="1">
                  <c:v>2.1681106757026658</c:v>
                </c:pt>
                <c:pt idx="2">
                  <c:v>2.3618661121023545</c:v>
                </c:pt>
                <c:pt idx="3">
                  <c:v>2.6918911642423904</c:v>
                </c:pt>
                <c:pt idx="4">
                  <c:v>2.4334989120752724</c:v>
                </c:pt>
                <c:pt idx="5">
                  <c:v>1.9691089871408007</c:v>
                </c:pt>
                <c:pt idx="6">
                  <c:v>2.0712619805709669</c:v>
                </c:pt>
                <c:pt idx="7">
                  <c:v>1.9076183527014858</c:v>
                </c:pt>
                <c:pt idx="8">
                  <c:v>2.5337321871449698</c:v>
                </c:pt>
                <c:pt idx="9">
                  <c:v>1.8548520509735185</c:v>
                </c:pt>
                <c:pt idx="10">
                  <c:v>2.4264420616455706</c:v>
                </c:pt>
                <c:pt idx="11">
                  <c:v>1.9018299064684803</c:v>
                </c:pt>
                <c:pt idx="12">
                  <c:v>1.8565495046872162</c:v>
                </c:pt>
                <c:pt idx="13">
                  <c:v>2.1202846340841672</c:v>
                </c:pt>
              </c:numCache>
            </c:numRef>
          </c:xVal>
          <c:yVal>
            <c:numRef>
              <c:f>'Task 1 Converted AMI PDF Stats'!$AE$99:$AE$112</c:f>
              <c:numCache>
                <c:formatCode>0.000</c:formatCode>
                <c:ptCount val="14"/>
                <c:pt idx="0">
                  <c:v>98.189804732121047</c:v>
                </c:pt>
                <c:pt idx="1">
                  <c:v>101.72610209935796</c:v>
                </c:pt>
                <c:pt idx="2">
                  <c:v>103.39942219289344</c:v>
                </c:pt>
                <c:pt idx="3">
                  <c:v>78.583089543843457</c:v>
                </c:pt>
                <c:pt idx="4">
                  <c:v>120.63265922504235</c:v>
                </c:pt>
                <c:pt idx="5">
                  <c:v>63.502189531704843</c:v>
                </c:pt>
                <c:pt idx="6">
                  <c:v>58.322127565342186</c:v>
                </c:pt>
                <c:pt idx="7">
                  <c:v>93.227587212137323</c:v>
                </c:pt>
                <c:pt idx="8">
                  <c:v>61.828552017067437</c:v>
                </c:pt>
                <c:pt idx="9">
                  <c:v>54.602788220353212</c:v>
                </c:pt>
                <c:pt idx="10">
                  <c:v>58.976141151476916</c:v>
                </c:pt>
                <c:pt idx="11">
                  <c:v>65.311440747155572</c:v>
                </c:pt>
                <c:pt idx="12">
                  <c:v>52.641811997164069</c:v>
                </c:pt>
                <c:pt idx="13">
                  <c:v>60.493517245424478</c:v>
                </c:pt>
              </c:numCache>
            </c:numRef>
          </c:yVal>
          <c:smooth val="1"/>
          <c:extLst>
            <c:ext xmlns:c16="http://schemas.microsoft.com/office/drawing/2014/chart" uri="{C3380CC4-5D6E-409C-BE32-E72D297353CC}">
              <c16:uniqueId val="{00000003-D872-4C82-9ACB-972616956BAD}"/>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2326866474582918"/>
                  <c:y val="-0.31468710378871245"/>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Stats'!$AA$113:$AA$276</c:f>
              <c:numCache>
                <c:formatCode>0.000</c:formatCode>
                <c:ptCount val="164"/>
                <c:pt idx="3">
                  <c:v>2.6802024507205884</c:v>
                </c:pt>
                <c:pt idx="4">
                  <c:v>2.6802024507205884</c:v>
                </c:pt>
                <c:pt idx="5">
                  <c:v>2.2598042570673593</c:v>
                </c:pt>
                <c:pt idx="6">
                  <c:v>1.9586239398603837</c:v>
                </c:pt>
                <c:pt idx="7">
                  <c:v>1.8617191553991561</c:v>
                </c:pt>
                <c:pt idx="9">
                  <c:v>3.1776254911569746</c:v>
                </c:pt>
                <c:pt idx="10">
                  <c:v>3.76297755531747</c:v>
                </c:pt>
                <c:pt idx="11">
                  <c:v>1.5549156853163308</c:v>
                </c:pt>
                <c:pt idx="12">
                  <c:v>4.1575285703645211</c:v>
                </c:pt>
                <c:pt idx="13">
                  <c:v>1.8823236253715079</c:v>
                </c:pt>
                <c:pt idx="14">
                  <c:v>1.7959765430568075</c:v>
                </c:pt>
                <c:pt idx="15">
                  <c:v>1.8729813961089876</c:v>
                </c:pt>
                <c:pt idx="17">
                  <c:v>1.6208298841151914</c:v>
                </c:pt>
                <c:pt idx="18">
                  <c:v>2.0073595498509755</c:v>
                </c:pt>
                <c:pt idx="19">
                  <c:v>2.3538306493316821</c:v>
                </c:pt>
                <c:pt idx="20">
                  <c:v>1.8010891385630652</c:v>
                </c:pt>
                <c:pt idx="21">
                  <c:v>2.1143220322262066</c:v>
                </c:pt>
                <c:pt idx="22">
                  <c:v>1.9429279842221934</c:v>
                </c:pt>
                <c:pt idx="23">
                  <c:v>1.7081986096172024</c:v>
                </c:pt>
                <c:pt idx="24">
                  <c:v>1.9393531043942926</c:v>
                </c:pt>
                <c:pt idx="25">
                  <c:v>1.3963342351638905</c:v>
                </c:pt>
                <c:pt idx="26">
                  <c:v>2.0906896664797538</c:v>
                </c:pt>
                <c:pt idx="27">
                  <c:v>2.4778544195315599</c:v>
                </c:pt>
                <c:pt idx="28">
                  <c:v>2.4733937933183427</c:v>
                </c:pt>
                <c:pt idx="30">
                  <c:v>1.7761637979443932</c:v>
                </c:pt>
                <c:pt idx="31">
                  <c:v>2.0060533812652697</c:v>
                </c:pt>
                <c:pt idx="32">
                  <c:v>2.3146769783830035</c:v>
                </c:pt>
                <c:pt idx="33">
                  <c:v>2.0025184533971014</c:v>
                </c:pt>
                <c:pt idx="34">
                  <c:v>3.4658973231872907</c:v>
                </c:pt>
                <c:pt idx="35">
                  <c:v>1.6174187508207356</c:v>
                </c:pt>
                <c:pt idx="36">
                  <c:v>2.0759123139622355</c:v>
                </c:pt>
                <c:pt idx="37">
                  <c:v>1.0763989776100482</c:v>
                </c:pt>
                <c:pt idx="38">
                  <c:v>1.3839415426414903</c:v>
                </c:pt>
                <c:pt idx="39">
                  <c:v>1.5324374711227635</c:v>
                </c:pt>
                <c:pt idx="40">
                  <c:v>1.5324374711227635</c:v>
                </c:pt>
                <c:pt idx="41">
                  <c:v>2.2986562066841452</c:v>
                </c:pt>
                <c:pt idx="42">
                  <c:v>1.9123083556889577</c:v>
                </c:pt>
                <c:pt idx="43">
                  <c:v>1.9091078134426536</c:v>
                </c:pt>
                <c:pt idx="44">
                  <c:v>1.680014875829535</c:v>
                </c:pt>
                <c:pt idx="45">
                  <c:v>2.0550426927633425</c:v>
                </c:pt>
                <c:pt idx="46">
                  <c:v>2.2760029008790399</c:v>
                </c:pt>
                <c:pt idx="47">
                  <c:v>1.2876796073825534</c:v>
                </c:pt>
                <c:pt idx="48">
                  <c:v>1.8906572782012951</c:v>
                </c:pt>
                <c:pt idx="49">
                  <c:v>2.2548254098171179</c:v>
                </c:pt>
                <c:pt idx="50">
                  <c:v>1.8038603278536942</c:v>
                </c:pt>
                <c:pt idx="51">
                  <c:v>2.2548254098171179</c:v>
                </c:pt>
                <c:pt idx="52">
                  <c:v>2.0889698459545594</c:v>
                </c:pt>
                <c:pt idx="53">
                  <c:v>2.2381819778084564</c:v>
                </c:pt>
                <c:pt idx="54">
                  <c:v>1.7905455822467651</c:v>
                </c:pt>
                <c:pt idx="55">
                  <c:v>1.8651516481737136</c:v>
                </c:pt>
                <c:pt idx="56">
                  <c:v>2.611212307443199</c:v>
                </c:pt>
                <c:pt idx="57">
                  <c:v>1.7905455822467651</c:v>
                </c:pt>
                <c:pt idx="58">
                  <c:v>2.3839515594120546</c:v>
                </c:pt>
                <c:pt idx="59">
                  <c:v>1.7110156116268747</c:v>
                </c:pt>
                <c:pt idx="60">
                  <c:v>3.1156493672098629</c:v>
                </c:pt>
                <c:pt idx="61">
                  <c:v>2.0742046494229696</c:v>
                </c:pt>
                <c:pt idx="62">
                  <c:v>1.6297322245466188</c:v>
                </c:pt>
                <c:pt idx="63">
                  <c:v>2.339105801127324</c:v>
                </c:pt>
                <c:pt idx="64">
                  <c:v>1.5350381819898062</c:v>
                </c:pt>
                <c:pt idx="65">
                  <c:v>1.5350381819898062</c:v>
                </c:pt>
                <c:pt idx="66">
                  <c:v>1.6727619818384931</c:v>
                </c:pt>
                <c:pt idx="67">
                  <c:v>2.324438874018226</c:v>
                </c:pt>
                <c:pt idx="68">
                  <c:v>2.3159396795747824</c:v>
                </c:pt>
                <c:pt idx="69">
                  <c:v>1.800731925644989</c:v>
                </c:pt>
                <c:pt idx="70">
                  <c:v>2.8778032463507612</c:v>
                </c:pt>
                <c:pt idx="71">
                  <c:v>1.5791320941764508</c:v>
                </c:pt>
                <c:pt idx="72">
                  <c:v>1.5056277082119847</c:v>
                </c:pt>
                <c:pt idx="73">
                  <c:v>1.882409870952791</c:v>
                </c:pt>
                <c:pt idx="74">
                  <c:v>1.7168198878166423</c:v>
                </c:pt>
                <c:pt idx="75">
                  <c:v>1.9984805899948046</c:v>
                </c:pt>
                <c:pt idx="76">
                  <c:v>0.78083843416373422</c:v>
                </c:pt>
                <c:pt idx="77">
                  <c:v>2.0574693712342165</c:v>
                </c:pt>
                <c:pt idx="78">
                  <c:v>1.409292929290979</c:v>
                </c:pt>
                <c:pt idx="79">
                  <c:v>1.409292929290979</c:v>
                </c:pt>
                <c:pt idx="80">
                  <c:v>1.2644906648138352</c:v>
                </c:pt>
                <c:pt idx="81">
                  <c:v>2.0311261489831538</c:v>
                </c:pt>
                <c:pt idx="82">
                  <c:v>1.6776197665672301</c:v>
                </c:pt>
                <c:pt idx="83">
                  <c:v>1.957223060995102</c:v>
                </c:pt>
                <c:pt idx="84">
                  <c:v>1.5378181193532943</c:v>
                </c:pt>
                <c:pt idx="85">
                  <c:v>1.9386662966524508</c:v>
                </c:pt>
                <c:pt idx="86">
                  <c:v>1.52323780451264</c:v>
                </c:pt>
                <c:pt idx="87">
                  <c:v>1.5924758865359419</c:v>
                </c:pt>
                <c:pt idx="88">
                  <c:v>2.2848567067689602</c:v>
                </c:pt>
                <c:pt idx="89">
                  <c:v>2.2848567067689602</c:v>
                </c:pt>
                <c:pt idx="90">
                  <c:v>1.7293544904966767</c:v>
                </c:pt>
                <c:pt idx="91">
                  <c:v>1.8526580894601548</c:v>
                </c:pt>
                <c:pt idx="92">
                  <c:v>1.7154241569075506</c:v>
                </c:pt>
                <c:pt idx="93">
                  <c:v>1.9212750557364568</c:v>
                </c:pt>
                <c:pt idx="94">
                  <c:v>1.6396931646346868</c:v>
                </c:pt>
                <c:pt idx="95">
                  <c:v>1.8446548102140228</c:v>
                </c:pt>
                <c:pt idx="96">
                  <c:v>2.3912191984255853</c:v>
                </c:pt>
                <c:pt idx="97">
                  <c:v>1.7763342616875775</c:v>
                </c:pt>
                <c:pt idx="98">
                  <c:v>2.1770517808483403</c:v>
                </c:pt>
                <c:pt idx="99">
                  <c:v>1.8368874400907873</c:v>
                </c:pt>
                <c:pt idx="100">
                  <c:v>1.9680634897383829</c:v>
                </c:pt>
                <c:pt idx="101">
                  <c:v>2.5643117788539844</c:v>
                </c:pt>
                <c:pt idx="102">
                  <c:v>2.0244566675163038</c:v>
                </c:pt>
                <c:pt idx="103">
                  <c:v>2.2269023342679342</c:v>
                </c:pt>
                <c:pt idx="104">
                  <c:v>2.0244566675163038</c:v>
                </c:pt>
                <c:pt idx="105">
                  <c:v>2.4950246721546208</c:v>
                </c:pt>
                <c:pt idx="106">
                  <c:v>2.0118809829277482</c:v>
                </c:pt>
                <c:pt idx="107">
                  <c:v>2.6705860337166438</c:v>
                </c:pt>
                <c:pt idx="108">
                  <c:v>1.8530898499058128</c:v>
                </c:pt>
                <c:pt idx="109">
                  <c:v>2.2766570071014969</c:v>
                </c:pt>
                <c:pt idx="110">
                  <c:v>1.9731072260069775</c:v>
                </c:pt>
                <c:pt idx="111">
                  <c:v>1.9730201130755749</c:v>
                </c:pt>
                <c:pt idx="112">
                  <c:v>1.5076306139641289</c:v>
                </c:pt>
                <c:pt idx="113">
                  <c:v>1.3109831425775034</c:v>
                </c:pt>
                <c:pt idx="114">
                  <c:v>2.6786600858231666</c:v>
                </c:pt>
                <c:pt idx="115">
                  <c:v>2.2792725810519925</c:v>
                </c:pt>
                <c:pt idx="116">
                  <c:v>1.9536622123302794</c:v>
                </c:pt>
                <c:pt idx="117">
                  <c:v>1.4301479005109514</c:v>
                </c:pt>
                <c:pt idx="118">
                  <c:v>1.6899395487665885</c:v>
                </c:pt>
                <c:pt idx="119">
                  <c:v>1.6221444697088605</c:v>
                </c:pt>
                <c:pt idx="120">
                  <c:v>1.4237022341151575</c:v>
                </c:pt>
                <c:pt idx="121">
                  <c:v>1.7699287060588778</c:v>
                </c:pt>
                <c:pt idx="122">
                  <c:v>1.2771232080101127</c:v>
                </c:pt>
                <c:pt idx="123">
                  <c:v>1.4576884456091312</c:v>
                </c:pt>
                <c:pt idx="124">
                  <c:v>1.0070367397715221</c:v>
                </c:pt>
                <c:pt idx="125">
                  <c:v>0.93877759365255919</c:v>
                </c:pt>
                <c:pt idx="126">
                  <c:v>2.1860868556917641</c:v>
                </c:pt>
                <c:pt idx="127">
                  <c:v>1.4097421406623807</c:v>
                </c:pt>
                <c:pt idx="128">
                  <c:v>1.4703807561331417</c:v>
                </c:pt>
                <c:pt idx="129">
                  <c:v>1.8686088775858676</c:v>
                </c:pt>
                <c:pt idx="130">
                  <c:v>1.8686088775858676</c:v>
                </c:pt>
                <c:pt idx="131">
                  <c:v>1.7154442154886655</c:v>
                </c:pt>
                <c:pt idx="132">
                  <c:v>2.1433888450344658</c:v>
                </c:pt>
                <c:pt idx="133">
                  <c:v>2.1433537244301895</c:v>
                </c:pt>
                <c:pt idx="134">
                  <c:v>1.2592938063436692</c:v>
                </c:pt>
                <c:pt idx="135">
                  <c:v>1.2199545575994333</c:v>
                </c:pt>
                <c:pt idx="136">
                  <c:v>1.5249431969992915</c:v>
                </c:pt>
                <c:pt idx="137">
                  <c:v>1.399933849411664</c:v>
                </c:pt>
                <c:pt idx="138">
                  <c:v>2.4308610880995074</c:v>
                </c:pt>
                <c:pt idx="139">
                  <c:v>1.2122079005518309</c:v>
                </c:pt>
                <c:pt idx="140">
                  <c:v>1.4812744270880982</c:v>
                </c:pt>
                <c:pt idx="141">
                  <c:v>1.3883137968971084</c:v>
                </c:pt>
                <c:pt idx="142">
                  <c:v>1.6813511161766443</c:v>
                </c:pt>
                <c:pt idx="143">
                  <c:v>1.3200234270602176</c:v>
                </c:pt>
                <c:pt idx="144">
                  <c:v>1.3773369753307438</c:v>
                </c:pt>
                <c:pt idx="145">
                  <c:v>2.5018619898609304</c:v>
                </c:pt>
                <c:pt idx="146">
                  <c:v>1.4284966020768219</c:v>
                </c:pt>
                <c:pt idx="147">
                  <c:v>1.6064589164368892</c:v>
                </c:pt>
                <c:pt idx="148">
                  <c:v>1.6064589164368892</c:v>
                </c:pt>
                <c:pt idx="149">
                  <c:v>1.7829655373142002</c:v>
                </c:pt>
                <c:pt idx="150">
                  <c:v>1.5452367990056399</c:v>
                </c:pt>
                <c:pt idx="151">
                  <c:v>1.4135768359906165</c:v>
                </c:pt>
                <c:pt idx="152">
                  <c:v>1.7638899870489388</c:v>
                </c:pt>
                <c:pt idx="153">
                  <c:v>1.2935193238358884</c:v>
                </c:pt>
                <c:pt idx="154">
                  <c:v>1.8175717475343196</c:v>
                </c:pt>
                <c:pt idx="155">
                  <c:v>1.6406494518428532</c:v>
                </c:pt>
                <c:pt idx="156">
                  <c:v>2.2227933120098866</c:v>
                </c:pt>
                <c:pt idx="157">
                  <c:v>1.1679532012258913</c:v>
                </c:pt>
                <c:pt idx="158">
                  <c:v>0.8674991552130713</c:v>
                </c:pt>
                <c:pt idx="159">
                  <c:v>0.86347338365293536</c:v>
                </c:pt>
                <c:pt idx="160">
                  <c:v>0.86216010728212789</c:v>
                </c:pt>
                <c:pt idx="161">
                  <c:v>1.3773770980749882</c:v>
                </c:pt>
                <c:pt idx="162">
                  <c:v>1.4347678104947794</c:v>
                </c:pt>
                <c:pt idx="163">
                  <c:v>1.3672996077231514</c:v>
                </c:pt>
              </c:numCache>
            </c:numRef>
          </c:xVal>
          <c:yVal>
            <c:numRef>
              <c:f>'Task 1 Converted AMI PDF Stats'!$AE$113:$AE$276</c:f>
              <c:numCache>
                <c:formatCode>0.000</c:formatCode>
                <c:ptCount val="164"/>
                <c:pt idx="3">
                  <c:v>70.681427520753985</c:v>
                </c:pt>
                <c:pt idx="4">
                  <c:v>79.889851346338347</c:v>
                </c:pt>
                <c:pt idx="5">
                  <c:v>48.245276382281048</c:v>
                </c:pt>
                <c:pt idx="6">
                  <c:v>71.583410563218536</c:v>
                </c:pt>
                <c:pt idx="7">
                  <c:v>88.014697108076518</c:v>
                </c:pt>
                <c:pt idx="8">
                  <c:v>79.128353343635041</c:v>
                </c:pt>
                <c:pt idx="9">
                  <c:v>83.44444534419695</c:v>
                </c:pt>
                <c:pt idx="10">
                  <c:v>105.115969133429</c:v>
                </c:pt>
                <c:pt idx="11">
                  <c:v>97.794107897862787</c:v>
                </c:pt>
                <c:pt idx="12">
                  <c:v>108.74065772423691</c:v>
                </c:pt>
                <c:pt idx="13">
                  <c:v>115.40991021922882</c:v>
                </c:pt>
                <c:pt idx="14">
                  <c:v>117.15854522255046</c:v>
                </c:pt>
                <c:pt idx="15">
                  <c:v>118.90718022587211</c:v>
                </c:pt>
                <c:pt idx="17">
                  <c:v>82.123082614411999</c:v>
                </c:pt>
                <c:pt idx="18">
                  <c:v>134.11347785989219</c:v>
                </c:pt>
                <c:pt idx="19">
                  <c:v>89.148880271606288</c:v>
                </c:pt>
                <c:pt idx="20">
                  <c:v>135.41142501288078</c:v>
                </c:pt>
                <c:pt idx="21">
                  <c:v>99.853936075651191</c:v>
                </c:pt>
                <c:pt idx="22">
                  <c:v>94.392932052288998</c:v>
                </c:pt>
                <c:pt idx="23">
                  <c:v>78.209475867298792</c:v>
                </c:pt>
                <c:pt idx="24">
                  <c:v>138.47280883024186</c:v>
                </c:pt>
                <c:pt idx="25">
                  <c:v>86.500186130962007</c:v>
                </c:pt>
                <c:pt idx="26">
                  <c:v>106.82048975534778</c:v>
                </c:pt>
                <c:pt idx="27">
                  <c:v>126.64757253492509</c:v>
                </c:pt>
                <c:pt idx="28">
                  <c:v>80.369958626063948</c:v>
                </c:pt>
                <c:pt idx="30">
                  <c:v>70.426794361452863</c:v>
                </c:pt>
                <c:pt idx="31">
                  <c:v>132.27624950876449</c:v>
                </c:pt>
                <c:pt idx="32">
                  <c:v>78.991619476293906</c:v>
                </c:pt>
                <c:pt idx="33">
                  <c:v>144.55952570190084</c:v>
                </c:pt>
                <c:pt idx="34">
                  <c:v>110.30376659519608</c:v>
                </c:pt>
                <c:pt idx="35">
                  <c:v>110.30376659519608</c:v>
                </c:pt>
                <c:pt idx="36">
                  <c:v>87.809806469646688</c:v>
                </c:pt>
                <c:pt idx="37">
                  <c:v>110.31968096909655</c:v>
                </c:pt>
                <c:pt idx="38">
                  <c:v>87.809806469646688</c:v>
                </c:pt>
                <c:pt idx="39">
                  <c:v>114.97231566017679</c:v>
                </c:pt>
                <c:pt idx="40">
                  <c:v>114.97231566017679</c:v>
                </c:pt>
                <c:pt idx="41">
                  <c:v>83.901883363589164</c:v>
                </c:pt>
                <c:pt idx="42">
                  <c:v>74.5695469709501</c:v>
                </c:pt>
                <c:pt idx="43">
                  <c:v>99.807048574767776</c:v>
                </c:pt>
                <c:pt idx="44">
                  <c:v>104.88103561365445</c:v>
                </c:pt>
                <c:pt idx="45">
                  <c:v>126.09732765268653</c:v>
                </c:pt>
                <c:pt idx="46">
                  <c:v>79.755633674727079</c:v>
                </c:pt>
                <c:pt idx="47">
                  <c:v>121.9146893946904</c:v>
                </c:pt>
                <c:pt idx="48">
                  <c:v>105.79547148925384</c:v>
                </c:pt>
                <c:pt idx="49">
                  <c:v>82.855052189944558</c:v>
                </c:pt>
                <c:pt idx="50">
                  <c:v>104.56066455391013</c:v>
                </c:pt>
                <c:pt idx="51">
                  <c:v>86.678541829466496</c:v>
                </c:pt>
                <c:pt idx="52">
                  <c:v>75.954662526040167</c:v>
                </c:pt>
                <c:pt idx="53">
                  <c:v>99.382206903197357</c:v>
                </c:pt>
                <c:pt idx="54">
                  <c:v>93.99522056483471</c:v>
                </c:pt>
                <c:pt idx="55">
                  <c:v>104.19020922639253</c:v>
                </c:pt>
                <c:pt idx="56">
                  <c:v>75.954662526040167</c:v>
                </c:pt>
                <c:pt idx="57">
                  <c:v>93.99522056483471</c:v>
                </c:pt>
                <c:pt idx="58">
                  <c:v>75.285620908828861</c:v>
                </c:pt>
                <c:pt idx="59">
                  <c:v>107.0182016348819</c:v>
                </c:pt>
                <c:pt idx="60">
                  <c:v>69.872059050066241</c:v>
                </c:pt>
                <c:pt idx="61">
                  <c:v>79.257039157607124</c:v>
                </c:pt>
                <c:pt idx="62">
                  <c:v>93.703971002604305</c:v>
                </c:pt>
                <c:pt idx="63">
                  <c:v>89.649278407331821</c:v>
                </c:pt>
                <c:pt idx="64">
                  <c:v>124.77530645600487</c:v>
                </c:pt>
                <c:pt idx="65">
                  <c:v>124.77530645600487</c:v>
                </c:pt>
                <c:pt idx="66">
                  <c:v>83.399007287915822</c:v>
                </c:pt>
                <c:pt idx="67">
                  <c:v>78.616898451588611</c:v>
                </c:pt>
                <c:pt idx="68">
                  <c:v>80.36394063940169</c:v>
                </c:pt>
                <c:pt idx="69">
                  <c:v>90.644047450925697</c:v>
                </c:pt>
                <c:pt idx="70">
                  <c:v>123.57961380136715</c:v>
                </c:pt>
                <c:pt idx="71">
                  <c:v>86.557164644176112</c:v>
                </c:pt>
                <c:pt idx="72">
                  <c:v>117.16342419814956</c:v>
                </c:pt>
                <c:pt idx="73">
                  <c:v>63.344462615078463</c:v>
                </c:pt>
                <c:pt idx="74">
                  <c:v>102.95492316914783</c:v>
                </c:pt>
                <c:pt idx="75">
                  <c:v>135.90027290399027</c:v>
                </c:pt>
                <c:pt idx="76">
                  <c:v>261.6209590692186</c:v>
                </c:pt>
                <c:pt idx="77">
                  <c:v>83.502085314167161</c:v>
                </c:pt>
                <c:pt idx="78">
                  <c:v>146.77229473630948</c:v>
                </c:pt>
                <c:pt idx="79">
                  <c:v>146.77229473630948</c:v>
                </c:pt>
                <c:pt idx="80">
                  <c:v>149.49030019438928</c:v>
                </c:pt>
                <c:pt idx="81">
                  <c:v>126.54226152646078</c:v>
                </c:pt>
                <c:pt idx="82">
                  <c:v>138.94945648714696</c:v>
                </c:pt>
                <c:pt idx="83">
                  <c:v>64.977317982220342</c:v>
                </c:pt>
                <c:pt idx="84">
                  <c:v>74.102266794457961</c:v>
                </c:pt>
                <c:pt idx="85">
                  <c:v>96.729105304140447</c:v>
                </c:pt>
                <c:pt idx="86">
                  <c:v>78.461223664720194</c:v>
                </c:pt>
                <c:pt idx="87">
                  <c:v>85.928932227846175</c:v>
                </c:pt>
                <c:pt idx="88">
                  <c:v>141.83761390276337</c:v>
                </c:pt>
                <c:pt idx="89">
                  <c:v>123.05660802878002</c:v>
                </c:pt>
                <c:pt idx="90">
                  <c:v>60.239253534579881</c:v>
                </c:pt>
                <c:pt idx="91">
                  <c:v>135.69104750524511</c:v>
                </c:pt>
                <c:pt idx="92">
                  <c:v>102.0282714449631</c:v>
                </c:pt>
                <c:pt idx="93">
                  <c:v>73.669120794371551</c:v>
                </c:pt>
                <c:pt idx="94">
                  <c:v>68.970525033956164</c:v>
                </c:pt>
                <c:pt idx="95">
                  <c:v>81.905320645486441</c:v>
                </c:pt>
                <c:pt idx="96">
                  <c:v>69.415038696440305</c:v>
                </c:pt>
                <c:pt idx="97">
                  <c:v>61.013560705980545</c:v>
                </c:pt>
                <c:pt idx="98">
                  <c:v>96.214809175002443</c:v>
                </c:pt>
                <c:pt idx="99">
                  <c:v>107.39818046838221</c:v>
                </c:pt>
                <c:pt idx="100">
                  <c:v>109.00915317540795</c:v>
                </c:pt>
                <c:pt idx="101">
                  <c:v>103.39942219289344</c:v>
                </c:pt>
                <c:pt idx="102">
                  <c:v>88.859103057354531</c:v>
                </c:pt>
                <c:pt idx="103">
                  <c:v>121.29328819850247</c:v>
                </c:pt>
                <c:pt idx="104">
                  <c:v>110.10438776943653</c:v>
                </c:pt>
                <c:pt idx="105">
                  <c:v>97.650848543365527</c:v>
                </c:pt>
                <c:pt idx="106">
                  <c:v>106.17440647999042</c:v>
                </c:pt>
                <c:pt idx="107">
                  <c:v>67.757341574101773</c:v>
                </c:pt>
                <c:pt idx="108">
                  <c:v>78.38093200975446</c:v>
                </c:pt>
                <c:pt idx="109">
                  <c:v>82.048921053647476</c:v>
                </c:pt>
                <c:pt idx="110">
                  <c:v>94.994392603268579</c:v>
                </c:pt>
                <c:pt idx="111">
                  <c:v>93.66859193980342</c:v>
                </c:pt>
                <c:pt idx="112">
                  <c:v>64.014303963412132</c:v>
                </c:pt>
                <c:pt idx="113">
                  <c:v>64.014303963412132</c:v>
                </c:pt>
                <c:pt idx="114">
                  <c:v>79.786964000128407</c:v>
                </c:pt>
                <c:pt idx="115">
                  <c:v>66.168661772958657</c:v>
                </c:pt>
                <c:pt idx="116">
                  <c:v>75.516613509747884</c:v>
                </c:pt>
                <c:pt idx="117">
                  <c:v>74.010769320793599</c:v>
                </c:pt>
                <c:pt idx="118">
                  <c:v>74.072605461759949</c:v>
                </c:pt>
                <c:pt idx="119">
                  <c:v>53.209981773949856</c:v>
                </c:pt>
                <c:pt idx="120">
                  <c:v>60.801083370252634</c:v>
                </c:pt>
                <c:pt idx="121">
                  <c:v>92.748502216103887</c:v>
                </c:pt>
                <c:pt idx="122">
                  <c:v>97.236332968496001</c:v>
                </c:pt>
                <c:pt idx="123">
                  <c:v>89.054056574538677</c:v>
                </c:pt>
                <c:pt idx="124">
                  <c:v>103.20541959741951</c:v>
                </c:pt>
                <c:pt idx="125">
                  <c:v>148.22636377603743</c:v>
                </c:pt>
                <c:pt idx="126">
                  <c:v>67.655814126111181</c:v>
                </c:pt>
                <c:pt idx="127">
                  <c:v>67.259100342089781</c:v>
                </c:pt>
                <c:pt idx="128">
                  <c:v>47.717109314560048</c:v>
                </c:pt>
                <c:pt idx="129">
                  <c:v>52.234810159776671</c:v>
                </c:pt>
                <c:pt idx="130">
                  <c:v>52.234810159776671</c:v>
                </c:pt>
                <c:pt idx="131">
                  <c:v>55.858396546106746</c:v>
                </c:pt>
                <c:pt idx="132">
                  <c:v>59.659649047520851</c:v>
                </c:pt>
                <c:pt idx="133">
                  <c:v>59.665514720748057</c:v>
                </c:pt>
                <c:pt idx="134">
                  <c:v>91.56636340030883</c:v>
                </c:pt>
                <c:pt idx="135">
                  <c:v>87.21906921631502</c:v>
                </c:pt>
                <c:pt idx="136">
                  <c:v>50.982122094169831</c:v>
                </c:pt>
                <c:pt idx="137">
                  <c:v>67.10944740301737</c:v>
                </c:pt>
                <c:pt idx="138">
                  <c:v>61.158007880196458</c:v>
                </c:pt>
                <c:pt idx="139">
                  <c:v>96.279202086500305</c:v>
                </c:pt>
                <c:pt idx="140">
                  <c:v>71.022712998512318</c:v>
                </c:pt>
                <c:pt idx="141">
                  <c:v>82.5746565888807</c:v>
                </c:pt>
                <c:pt idx="142">
                  <c:v>61.076297430372904</c:v>
                </c:pt>
                <c:pt idx="143">
                  <c:v>61.365074250374661</c:v>
                </c:pt>
                <c:pt idx="144">
                  <c:v>66.800545666113152</c:v>
                </c:pt>
                <c:pt idx="145">
                  <c:v>64.090057409938623</c:v>
                </c:pt>
                <c:pt idx="146">
                  <c:v>77.5921278215488</c:v>
                </c:pt>
                <c:pt idx="147">
                  <c:v>64.541619270394065</c:v>
                </c:pt>
                <c:pt idx="148">
                  <c:v>64.541619270394065</c:v>
                </c:pt>
                <c:pt idx="149">
                  <c:v>88.06337684178564</c:v>
                </c:pt>
                <c:pt idx="150">
                  <c:v>162.59649907104063</c:v>
                </c:pt>
                <c:pt idx="151">
                  <c:v>83.093075552446678</c:v>
                </c:pt>
                <c:pt idx="152">
                  <c:v>86.321840011238223</c:v>
                </c:pt>
                <c:pt idx="153">
                  <c:v>69.665536796965952</c:v>
                </c:pt>
                <c:pt idx="154">
                  <c:v>58.853012822942745</c:v>
                </c:pt>
                <c:pt idx="155">
                  <c:v>52.931827589746419</c:v>
                </c:pt>
                <c:pt idx="156">
                  <c:v>71.479598397337313</c:v>
                </c:pt>
                <c:pt idx="157">
                  <c:v>85.102568341657985</c:v>
                </c:pt>
                <c:pt idx="158">
                  <c:v>133.19723468234437</c:v>
                </c:pt>
                <c:pt idx="159">
                  <c:v>135.27950878835466</c:v>
                </c:pt>
                <c:pt idx="160">
                  <c:v>136.52060519925698</c:v>
                </c:pt>
                <c:pt idx="161">
                  <c:v>87.13815711977287</c:v>
                </c:pt>
                <c:pt idx="162">
                  <c:v>95.501905919678563</c:v>
                </c:pt>
                <c:pt idx="163">
                  <c:v>62.654000004189633</c:v>
                </c:pt>
              </c:numCache>
            </c:numRef>
          </c:yVal>
          <c:smooth val="1"/>
          <c:extLst>
            <c:ext xmlns:c16="http://schemas.microsoft.com/office/drawing/2014/chart" uri="{C3380CC4-5D6E-409C-BE32-E72D297353CC}">
              <c16:uniqueId val="{00000004-D872-4C82-9ACB-972616956BAD}"/>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Stats'!$AA$283</c:f>
              <c:numCache>
                <c:formatCode>0.000</c:formatCode>
                <c:ptCount val="1"/>
                <c:pt idx="0">
                  <c:v>1.9450834864481774</c:v>
                </c:pt>
              </c:numCache>
            </c:numRef>
          </c:xVal>
          <c:yVal>
            <c:numRef>
              <c:f>'Task 1 Converted AMI PDF Stats'!$AE$283</c:f>
              <c:numCache>
                <c:formatCode>0.000</c:formatCode>
                <c:ptCount val="1"/>
                <c:pt idx="0">
                  <c:v>134.77117892595302</c:v>
                </c:pt>
              </c:numCache>
            </c:numRef>
          </c:yVal>
          <c:smooth val="1"/>
          <c:extLst>
            <c:ext xmlns:c16="http://schemas.microsoft.com/office/drawing/2014/chart" uri="{C3380CC4-5D6E-409C-BE32-E72D297353CC}">
              <c16:uniqueId val="{00000005-D872-4C82-9ACB-972616956BAD}"/>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Stats'!$AA$284:$AA$294</c:f>
              <c:numCache>
                <c:formatCode>0.000</c:formatCode>
                <c:ptCount val="11"/>
                <c:pt idx="3">
                  <c:v>1.6221444697088605</c:v>
                </c:pt>
                <c:pt idx="6">
                  <c:v>1.9731072260069775</c:v>
                </c:pt>
                <c:pt idx="7">
                  <c:v>1.7699287060588778</c:v>
                </c:pt>
                <c:pt idx="8">
                  <c:v>2.1860868556917641</c:v>
                </c:pt>
                <c:pt idx="9">
                  <c:v>2.0311261489831538</c:v>
                </c:pt>
                <c:pt idx="10">
                  <c:v>1.9386662966524508</c:v>
                </c:pt>
              </c:numCache>
            </c:numRef>
          </c:xVal>
          <c:yVal>
            <c:numRef>
              <c:f>'Task 1 Converted AMI PDF Stats'!$AE$284:$AE$294</c:f>
              <c:numCache>
                <c:formatCode>0.000</c:formatCode>
                <c:ptCount val="11"/>
                <c:pt idx="3">
                  <c:v>53.209981773949856</c:v>
                </c:pt>
                <c:pt idx="6">
                  <c:v>94.994392603268579</c:v>
                </c:pt>
                <c:pt idx="7">
                  <c:v>92.748502216103887</c:v>
                </c:pt>
                <c:pt idx="8">
                  <c:v>67.655814126111181</c:v>
                </c:pt>
                <c:pt idx="9">
                  <c:v>126.54226152646078</c:v>
                </c:pt>
                <c:pt idx="10">
                  <c:v>96.729105304140447</c:v>
                </c:pt>
              </c:numCache>
            </c:numRef>
          </c:yVal>
          <c:smooth val="1"/>
          <c:extLst>
            <c:ext xmlns:c16="http://schemas.microsoft.com/office/drawing/2014/chart" uri="{C3380CC4-5D6E-409C-BE32-E72D297353CC}">
              <c16:uniqueId val="{00000006-D872-4C82-9ACB-972616956BAD}"/>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Stats'!$AA$295:$AA$298</c:f>
              <c:numCache>
                <c:formatCode>0.000</c:formatCode>
                <c:ptCount val="4"/>
                <c:pt idx="0">
                  <c:v>2.5337321871449698</c:v>
                </c:pt>
                <c:pt idx="1">
                  <c:v>1.9691089871408007</c:v>
                </c:pt>
                <c:pt idx="2">
                  <c:v>2.0712619805709669</c:v>
                </c:pt>
                <c:pt idx="3">
                  <c:v>1.9076183527014858</c:v>
                </c:pt>
              </c:numCache>
            </c:numRef>
          </c:xVal>
          <c:yVal>
            <c:numRef>
              <c:f>'Task 1 Converted AMI PDF Stats'!$AE$295:$AE$298</c:f>
              <c:numCache>
                <c:formatCode>0.000</c:formatCode>
                <c:ptCount val="4"/>
                <c:pt idx="0">
                  <c:v>61.828552017067437</c:v>
                </c:pt>
                <c:pt idx="1">
                  <c:v>63.502189531704843</c:v>
                </c:pt>
                <c:pt idx="2">
                  <c:v>58.322127565342186</c:v>
                </c:pt>
                <c:pt idx="3">
                  <c:v>93.227587212137323</c:v>
                </c:pt>
              </c:numCache>
            </c:numRef>
          </c:yVal>
          <c:smooth val="1"/>
          <c:extLst>
            <c:ext xmlns:c16="http://schemas.microsoft.com/office/drawing/2014/chart" uri="{C3380CC4-5D6E-409C-BE32-E72D297353CC}">
              <c16:uniqueId val="{00000007-D872-4C82-9ACB-972616956BAD}"/>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Stats'!$AA$299:$AA$300</c:f>
              <c:numCache>
                <c:formatCode>0.000</c:formatCode>
                <c:ptCount val="2"/>
                <c:pt idx="0">
                  <c:v>2.6048829497737058</c:v>
                </c:pt>
              </c:numCache>
            </c:numRef>
          </c:xVal>
          <c:yVal>
            <c:numRef>
              <c:f>'Task 1 Converted AMI PDF Stats'!$AE$299:$AE$300</c:f>
              <c:numCache>
                <c:formatCode>General</c:formatCode>
                <c:ptCount val="2"/>
                <c:pt idx="0" formatCode="0.000">
                  <c:v>81.338293420838198</c:v>
                </c:pt>
              </c:numCache>
            </c:numRef>
          </c:yVal>
          <c:smooth val="1"/>
          <c:extLst>
            <c:ext xmlns:c16="http://schemas.microsoft.com/office/drawing/2014/chart" uri="{C3380CC4-5D6E-409C-BE32-E72D297353CC}">
              <c16:uniqueId val="{00000008-D872-4C82-9ACB-972616956BAD}"/>
            </c:ext>
          </c:extLst>
        </c:ser>
        <c:dLbls>
          <c:showLegendKey val="0"/>
          <c:showVal val="0"/>
          <c:showCatName val="0"/>
          <c:showSerName val="0"/>
          <c:showPercent val="0"/>
          <c:showBubbleSize val="0"/>
        </c:dLbls>
        <c:axId val="727677488"/>
        <c:axId val="1"/>
      </c:scatterChart>
      <c:valAx>
        <c:axId val="727677488"/>
        <c:scaling>
          <c:orientation val="minMax"/>
          <c:min val="0.5"/>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Fnv</a:t>
                </a:r>
              </a:p>
            </c:rich>
          </c:tx>
          <c:layout>
            <c:manualLayout>
              <c:xMode val="edge"/>
              <c:yMode val="edge"/>
              <c:x val="0.40288568257491675"/>
              <c:y val="0.94453507340946163"/>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Cdl</a:t>
                </a:r>
              </a:p>
            </c:rich>
          </c:tx>
          <c:layout>
            <c:manualLayout>
              <c:xMode val="edge"/>
              <c:yMode val="edge"/>
              <c:x val="1.4428412874583796E-2"/>
              <c:y val="0.463295269168026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7488"/>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803551609322973"/>
          <c:y val="0.49429037520391517"/>
          <c:w val="0.21309655937846839"/>
          <c:h val="0.3996737357259380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Merit Factor vs Volumetric Froude No</a:t>
            </a:r>
          </a:p>
        </c:rich>
      </c:tx>
      <c:layout>
        <c:manualLayout>
          <c:xMode val="edge"/>
          <c:yMode val="edge"/>
          <c:x val="0.33962264150943394"/>
          <c:y val="1.9575856443719411E-2"/>
        </c:manualLayout>
      </c:layout>
      <c:overlay val="0"/>
      <c:spPr>
        <a:noFill/>
        <a:ln w="25400">
          <a:noFill/>
        </a:ln>
      </c:spPr>
    </c:title>
    <c:autoTitleDeleted val="0"/>
    <c:plotArea>
      <c:layout>
        <c:manualLayout>
          <c:layoutTarget val="inner"/>
          <c:xMode val="edge"/>
          <c:yMode val="edge"/>
          <c:x val="6.6592674805771371E-2"/>
          <c:y val="7.01468189233279E-2"/>
          <c:w val="0.6925638179800222"/>
          <c:h val="0.8238172920065253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0885030236464741"/>
                  <c:y val="-1.551817749704465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Stats'!$AA$5:$AA$279</c:f>
              <c:numCache>
                <c:formatCode>0.000</c:formatCode>
                <c:ptCount val="275"/>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pt idx="8">
                  <c:v>4.2578781301312683</c:v>
                </c:pt>
                <c:pt idx="9">
                  <c:v>3.3448689380599737</c:v>
                </c:pt>
                <c:pt idx="10">
                  <c:v>2.9771509183214606</c:v>
                </c:pt>
                <c:pt idx="11">
                  <c:v>2.9771509183214606</c:v>
                </c:pt>
                <c:pt idx="12">
                  <c:v>2.999427721161795</c:v>
                </c:pt>
                <c:pt idx="13">
                  <c:v>2.2514270068628797</c:v>
                </c:pt>
                <c:pt idx="14">
                  <c:v>2.3576001141871554</c:v>
                </c:pt>
                <c:pt idx="15">
                  <c:v>2.190112809023498</c:v>
                </c:pt>
                <c:pt idx="16">
                  <c:v>2.1818634545719475</c:v>
                </c:pt>
                <c:pt idx="17">
                  <c:v>2.1818634545719475</c:v>
                </c:pt>
                <c:pt idx="18">
                  <c:v>2.0240101110609023</c:v>
                </c:pt>
                <c:pt idx="19">
                  <c:v>1.800731925644989</c:v>
                </c:pt>
                <c:pt idx="20">
                  <c:v>2.6619680028744539</c:v>
                </c:pt>
                <c:pt idx="21">
                  <c:v>2.6467639937173235</c:v>
                </c:pt>
                <c:pt idx="22">
                  <c:v>2.069854896780333</c:v>
                </c:pt>
                <c:pt idx="23">
                  <c:v>2.2595420483327904</c:v>
                </c:pt>
                <c:pt idx="24">
                  <c:v>2.2595420483327904</c:v>
                </c:pt>
                <c:pt idx="25">
                  <c:v>2.1669255318160054</c:v>
                </c:pt>
                <c:pt idx="26">
                  <c:v>3.1455370623135566</c:v>
                </c:pt>
                <c:pt idx="27">
                  <c:v>2.6086473483748582</c:v>
                </c:pt>
                <c:pt idx="28">
                  <c:v>1.5852204308625291</c:v>
                </c:pt>
                <c:pt idx="29">
                  <c:v>2.8819125836046848</c:v>
                </c:pt>
                <c:pt idx="30">
                  <c:v>2.8819125836046848</c:v>
                </c:pt>
                <c:pt idx="31">
                  <c:v>2.8819125836046848</c:v>
                </c:pt>
                <c:pt idx="32">
                  <c:v>2.371371051549791</c:v>
                </c:pt>
                <c:pt idx="33">
                  <c:v>2.371371051549791</c:v>
                </c:pt>
                <c:pt idx="34">
                  <c:v>2.371371051549791</c:v>
                </c:pt>
                <c:pt idx="35">
                  <c:v>2.371371051549791</c:v>
                </c:pt>
                <c:pt idx="36">
                  <c:v>2.1663529822826906</c:v>
                </c:pt>
                <c:pt idx="37">
                  <c:v>2.3618661121023545</c:v>
                </c:pt>
                <c:pt idx="38">
                  <c:v>2.3618661121023545</c:v>
                </c:pt>
                <c:pt idx="39">
                  <c:v>1.8865102430633052</c:v>
                </c:pt>
                <c:pt idx="40">
                  <c:v>2.4198393639787561</c:v>
                </c:pt>
                <c:pt idx="41">
                  <c:v>1.0673659461753169</c:v>
                </c:pt>
                <c:pt idx="42">
                  <c:v>2.2768845030336466</c:v>
                </c:pt>
                <c:pt idx="43">
                  <c:v>2.1060828598451677</c:v>
                </c:pt>
                <c:pt idx="44">
                  <c:v>2.6308096346759702</c:v>
                </c:pt>
                <c:pt idx="45">
                  <c:v>2.4205018391001354</c:v>
                </c:pt>
                <c:pt idx="46">
                  <c:v>2.2881590271964689</c:v>
                </c:pt>
                <c:pt idx="47">
                  <c:v>2.3846608081108682</c:v>
                </c:pt>
                <c:pt idx="48">
                  <c:v>2.6133269129982115</c:v>
                </c:pt>
                <c:pt idx="49">
                  <c:v>2.6786600858231666</c:v>
                </c:pt>
                <c:pt idx="50">
                  <c:v>2.6065565033135569</c:v>
                </c:pt>
                <c:pt idx="51">
                  <c:v>2.6048829497737058</c:v>
                </c:pt>
                <c:pt idx="52">
                  <c:v>2.4746388022850203</c:v>
                </c:pt>
                <c:pt idx="53">
                  <c:v>2.6048829497737058</c:v>
                </c:pt>
                <c:pt idx="54">
                  <c:v>2.6048829497737058</c:v>
                </c:pt>
                <c:pt idx="55">
                  <c:v>2.3694215380899792</c:v>
                </c:pt>
                <c:pt idx="56">
                  <c:v>2.0123854159120369</c:v>
                </c:pt>
                <c:pt idx="57">
                  <c:v>2.0123854159120369</c:v>
                </c:pt>
                <c:pt idx="58">
                  <c:v>2.3369637088010751</c:v>
                </c:pt>
                <c:pt idx="59">
                  <c:v>2.3369637088010751</c:v>
                </c:pt>
                <c:pt idx="60">
                  <c:v>2.4621711827915069</c:v>
                </c:pt>
                <c:pt idx="61">
                  <c:v>2.5917591397805335</c:v>
                </c:pt>
                <c:pt idx="62">
                  <c:v>2.5917591397805335</c:v>
                </c:pt>
                <c:pt idx="63">
                  <c:v>1.7483518224639953</c:v>
                </c:pt>
                <c:pt idx="64">
                  <c:v>2.6532632544873387</c:v>
                </c:pt>
                <c:pt idx="65">
                  <c:v>2.4591220407443628</c:v>
                </c:pt>
                <c:pt idx="66">
                  <c:v>2.3944083028300378</c:v>
                </c:pt>
                <c:pt idx="67">
                  <c:v>2.4193549999763144</c:v>
                </c:pt>
                <c:pt idx="68">
                  <c:v>2.4650646962888745</c:v>
                </c:pt>
                <c:pt idx="69">
                  <c:v>1.9757254171590406</c:v>
                </c:pt>
                <c:pt idx="70">
                  <c:v>1.8992418100053081</c:v>
                </c:pt>
                <c:pt idx="71">
                  <c:v>1.8267821846579544</c:v>
                </c:pt>
                <c:pt idx="72">
                  <c:v>2.4336286613320408</c:v>
                </c:pt>
                <c:pt idx="73">
                  <c:v>1.8548520509735185</c:v>
                </c:pt>
                <c:pt idx="74">
                  <c:v>1.5805140808096707</c:v>
                </c:pt>
                <c:pt idx="75">
                  <c:v>2.3090039333397643</c:v>
                </c:pt>
                <c:pt idx="76">
                  <c:v>2.3383974386850541</c:v>
                </c:pt>
                <c:pt idx="77">
                  <c:v>2.3100409973553808</c:v>
                </c:pt>
                <c:pt idx="78">
                  <c:v>2.160038335189447</c:v>
                </c:pt>
                <c:pt idx="79">
                  <c:v>1.800031945991206</c:v>
                </c:pt>
                <c:pt idx="80">
                  <c:v>2.2756002201116634</c:v>
                </c:pt>
                <c:pt idx="81">
                  <c:v>2.3953686527491196</c:v>
                </c:pt>
                <c:pt idx="82">
                  <c:v>1.9162949221992955</c:v>
                </c:pt>
                <c:pt idx="83">
                  <c:v>2.2729648881756734</c:v>
                </c:pt>
                <c:pt idx="84">
                  <c:v>2.2703507724055916</c:v>
                </c:pt>
                <c:pt idx="85">
                  <c:v>1.9018299064684803</c:v>
                </c:pt>
                <c:pt idx="86">
                  <c:v>1.7829655373142002</c:v>
                </c:pt>
                <c:pt idx="87">
                  <c:v>1.6474433704258884</c:v>
                </c:pt>
                <c:pt idx="88">
                  <c:v>1.6474433704258884</c:v>
                </c:pt>
                <c:pt idx="89">
                  <c:v>1.6474433704258884</c:v>
                </c:pt>
                <c:pt idx="90">
                  <c:v>1.8176719413792313</c:v>
                </c:pt>
                <c:pt idx="91">
                  <c:v>1.8115371711008192</c:v>
                </c:pt>
                <c:pt idx="92">
                  <c:v>2.184138938448057</c:v>
                </c:pt>
                <c:pt idx="93">
                  <c:v>1.9370077776077976</c:v>
                </c:pt>
                <c:pt idx="94">
                  <c:v>2.5164296498508452</c:v>
                </c:pt>
                <c:pt idx="95">
                  <c:v>2.1681106757026658</c:v>
                </c:pt>
                <c:pt idx="96">
                  <c:v>2.3618661121023545</c:v>
                </c:pt>
                <c:pt idx="97">
                  <c:v>2.6918911642423904</c:v>
                </c:pt>
                <c:pt idx="98">
                  <c:v>2.4334989120752724</c:v>
                </c:pt>
                <c:pt idx="99">
                  <c:v>1.9691089871408007</c:v>
                </c:pt>
                <c:pt idx="100">
                  <c:v>2.0712619805709669</c:v>
                </c:pt>
                <c:pt idx="101">
                  <c:v>1.9076183527014858</c:v>
                </c:pt>
                <c:pt idx="102">
                  <c:v>2.5337321871449698</c:v>
                </c:pt>
                <c:pt idx="103">
                  <c:v>1.8548520509735185</c:v>
                </c:pt>
                <c:pt idx="104">
                  <c:v>2.4264420616455706</c:v>
                </c:pt>
                <c:pt idx="105">
                  <c:v>1.9018299064684803</c:v>
                </c:pt>
                <c:pt idx="106">
                  <c:v>1.8565495046872162</c:v>
                </c:pt>
                <c:pt idx="107">
                  <c:v>2.1202846340841672</c:v>
                </c:pt>
                <c:pt idx="111">
                  <c:v>2.6802024507205884</c:v>
                </c:pt>
                <c:pt idx="112">
                  <c:v>2.6802024507205884</c:v>
                </c:pt>
                <c:pt idx="113">
                  <c:v>2.2598042570673593</c:v>
                </c:pt>
                <c:pt idx="114">
                  <c:v>1.9586239398603837</c:v>
                </c:pt>
                <c:pt idx="115">
                  <c:v>1.8617191553991561</c:v>
                </c:pt>
                <c:pt idx="117">
                  <c:v>3.1776254911569746</c:v>
                </c:pt>
                <c:pt idx="118">
                  <c:v>3.76297755531747</c:v>
                </c:pt>
                <c:pt idx="119">
                  <c:v>1.5549156853163308</c:v>
                </c:pt>
                <c:pt idx="120">
                  <c:v>4.1575285703645211</c:v>
                </c:pt>
                <c:pt idx="121">
                  <c:v>1.8823236253715079</c:v>
                </c:pt>
                <c:pt idx="122">
                  <c:v>1.7959765430568075</c:v>
                </c:pt>
                <c:pt idx="123">
                  <c:v>1.8729813961089876</c:v>
                </c:pt>
                <c:pt idx="125">
                  <c:v>1.6208298841151914</c:v>
                </c:pt>
                <c:pt idx="126">
                  <c:v>2.0073595498509755</c:v>
                </c:pt>
                <c:pt idx="127">
                  <c:v>2.3538306493316821</c:v>
                </c:pt>
                <c:pt idx="128">
                  <c:v>1.8010891385630652</c:v>
                </c:pt>
                <c:pt idx="129">
                  <c:v>2.1143220322262066</c:v>
                </c:pt>
                <c:pt idx="130">
                  <c:v>1.9429279842221934</c:v>
                </c:pt>
                <c:pt idx="131">
                  <c:v>1.7081986096172024</c:v>
                </c:pt>
                <c:pt idx="132">
                  <c:v>1.9393531043942926</c:v>
                </c:pt>
                <c:pt idx="133">
                  <c:v>1.3963342351638905</c:v>
                </c:pt>
                <c:pt idx="134">
                  <c:v>2.0906896664797538</c:v>
                </c:pt>
                <c:pt idx="135">
                  <c:v>2.4778544195315599</c:v>
                </c:pt>
                <c:pt idx="136">
                  <c:v>2.4733937933183427</c:v>
                </c:pt>
                <c:pt idx="138">
                  <c:v>1.7761637979443932</c:v>
                </c:pt>
                <c:pt idx="139">
                  <c:v>2.0060533812652697</c:v>
                </c:pt>
                <c:pt idx="140">
                  <c:v>2.3146769783830035</c:v>
                </c:pt>
                <c:pt idx="141">
                  <c:v>2.0025184533971014</c:v>
                </c:pt>
                <c:pt idx="142">
                  <c:v>3.4658973231872907</c:v>
                </c:pt>
                <c:pt idx="143">
                  <c:v>1.6174187508207356</c:v>
                </c:pt>
                <c:pt idx="144">
                  <c:v>2.0759123139622355</c:v>
                </c:pt>
                <c:pt idx="145">
                  <c:v>1.0763989776100482</c:v>
                </c:pt>
                <c:pt idx="146">
                  <c:v>1.3839415426414903</c:v>
                </c:pt>
                <c:pt idx="147">
                  <c:v>1.5324374711227635</c:v>
                </c:pt>
                <c:pt idx="148">
                  <c:v>1.5324374711227635</c:v>
                </c:pt>
                <c:pt idx="149">
                  <c:v>2.2986562066841452</c:v>
                </c:pt>
                <c:pt idx="150">
                  <c:v>1.9123083556889577</c:v>
                </c:pt>
                <c:pt idx="151">
                  <c:v>1.9091078134426536</c:v>
                </c:pt>
                <c:pt idx="152">
                  <c:v>1.680014875829535</c:v>
                </c:pt>
                <c:pt idx="153">
                  <c:v>2.0550426927633425</c:v>
                </c:pt>
                <c:pt idx="154">
                  <c:v>2.2760029008790399</c:v>
                </c:pt>
                <c:pt idx="155">
                  <c:v>1.2876796073825534</c:v>
                </c:pt>
                <c:pt idx="156">
                  <c:v>1.8906572782012951</c:v>
                </c:pt>
                <c:pt idx="157">
                  <c:v>2.2548254098171179</c:v>
                </c:pt>
                <c:pt idx="158">
                  <c:v>1.8038603278536942</c:v>
                </c:pt>
                <c:pt idx="159">
                  <c:v>2.2548254098171179</c:v>
                </c:pt>
                <c:pt idx="160">
                  <c:v>2.0889698459545594</c:v>
                </c:pt>
                <c:pt idx="161">
                  <c:v>2.2381819778084564</c:v>
                </c:pt>
                <c:pt idx="162">
                  <c:v>1.7905455822467651</c:v>
                </c:pt>
                <c:pt idx="163">
                  <c:v>1.8651516481737136</c:v>
                </c:pt>
                <c:pt idx="164">
                  <c:v>2.611212307443199</c:v>
                </c:pt>
                <c:pt idx="165">
                  <c:v>1.7905455822467651</c:v>
                </c:pt>
                <c:pt idx="166">
                  <c:v>2.3839515594120546</c:v>
                </c:pt>
                <c:pt idx="167">
                  <c:v>1.7110156116268747</c:v>
                </c:pt>
                <c:pt idx="168">
                  <c:v>3.1156493672098629</c:v>
                </c:pt>
                <c:pt idx="169">
                  <c:v>2.0742046494229696</c:v>
                </c:pt>
                <c:pt idx="170">
                  <c:v>1.6297322245466188</c:v>
                </c:pt>
                <c:pt idx="171">
                  <c:v>2.339105801127324</c:v>
                </c:pt>
                <c:pt idx="172">
                  <c:v>1.5350381819898062</c:v>
                </c:pt>
                <c:pt idx="173">
                  <c:v>1.5350381819898062</c:v>
                </c:pt>
                <c:pt idx="174">
                  <c:v>1.6727619818384931</c:v>
                </c:pt>
                <c:pt idx="175">
                  <c:v>2.324438874018226</c:v>
                </c:pt>
                <c:pt idx="176">
                  <c:v>2.3159396795747824</c:v>
                </c:pt>
                <c:pt idx="177">
                  <c:v>1.800731925644989</c:v>
                </c:pt>
                <c:pt idx="178">
                  <c:v>2.8778032463507612</c:v>
                </c:pt>
                <c:pt idx="179">
                  <c:v>1.5791320941764508</c:v>
                </c:pt>
                <c:pt idx="180">
                  <c:v>1.5056277082119847</c:v>
                </c:pt>
                <c:pt idx="181">
                  <c:v>1.882409870952791</c:v>
                </c:pt>
                <c:pt idx="182">
                  <c:v>1.7168198878166423</c:v>
                </c:pt>
                <c:pt idx="183">
                  <c:v>1.9984805899948046</c:v>
                </c:pt>
                <c:pt idx="184">
                  <c:v>0.78083843416373422</c:v>
                </c:pt>
                <c:pt idx="185">
                  <c:v>2.0574693712342165</c:v>
                </c:pt>
                <c:pt idx="186">
                  <c:v>1.409292929290979</c:v>
                </c:pt>
                <c:pt idx="187">
                  <c:v>1.409292929290979</c:v>
                </c:pt>
                <c:pt idx="188">
                  <c:v>1.2644906648138352</c:v>
                </c:pt>
                <c:pt idx="189">
                  <c:v>2.0311261489831538</c:v>
                </c:pt>
                <c:pt idx="190">
                  <c:v>1.6776197665672301</c:v>
                </c:pt>
                <c:pt idx="191">
                  <c:v>1.957223060995102</c:v>
                </c:pt>
                <c:pt idx="192">
                  <c:v>1.5378181193532943</c:v>
                </c:pt>
                <c:pt idx="193">
                  <c:v>1.9386662966524508</c:v>
                </c:pt>
                <c:pt idx="194">
                  <c:v>1.52323780451264</c:v>
                </c:pt>
                <c:pt idx="195">
                  <c:v>1.5924758865359419</c:v>
                </c:pt>
                <c:pt idx="196">
                  <c:v>2.2848567067689602</c:v>
                </c:pt>
                <c:pt idx="197">
                  <c:v>2.2848567067689602</c:v>
                </c:pt>
                <c:pt idx="198">
                  <c:v>1.7293544904966767</c:v>
                </c:pt>
                <c:pt idx="199">
                  <c:v>1.8526580894601548</c:v>
                </c:pt>
                <c:pt idx="200">
                  <c:v>1.7154241569075506</c:v>
                </c:pt>
                <c:pt idx="201">
                  <c:v>1.9212750557364568</c:v>
                </c:pt>
                <c:pt idx="202">
                  <c:v>1.6396931646346868</c:v>
                </c:pt>
                <c:pt idx="203">
                  <c:v>1.8446548102140228</c:v>
                </c:pt>
                <c:pt idx="204">
                  <c:v>2.3912191984255853</c:v>
                </c:pt>
                <c:pt idx="205">
                  <c:v>1.7763342616875775</c:v>
                </c:pt>
                <c:pt idx="206">
                  <c:v>2.1770517808483403</c:v>
                </c:pt>
                <c:pt idx="207">
                  <c:v>1.8368874400907873</c:v>
                </c:pt>
                <c:pt idx="208">
                  <c:v>1.9680634897383829</c:v>
                </c:pt>
                <c:pt idx="209">
                  <c:v>2.5643117788539844</c:v>
                </c:pt>
                <c:pt idx="210">
                  <c:v>2.0244566675163038</c:v>
                </c:pt>
                <c:pt idx="211">
                  <c:v>2.2269023342679342</c:v>
                </c:pt>
                <c:pt idx="212">
                  <c:v>2.0244566675163038</c:v>
                </c:pt>
                <c:pt idx="213">
                  <c:v>2.4950246721546208</c:v>
                </c:pt>
                <c:pt idx="214">
                  <c:v>2.0118809829277482</c:v>
                </c:pt>
                <c:pt idx="215">
                  <c:v>2.6705860337166438</c:v>
                </c:pt>
                <c:pt idx="216">
                  <c:v>1.8530898499058128</c:v>
                </c:pt>
                <c:pt idx="217">
                  <c:v>2.2766570071014969</c:v>
                </c:pt>
                <c:pt idx="218">
                  <c:v>1.9731072260069775</c:v>
                </c:pt>
                <c:pt idx="219">
                  <c:v>1.9730201130755749</c:v>
                </c:pt>
                <c:pt idx="220">
                  <c:v>1.5076306139641289</c:v>
                </c:pt>
                <c:pt idx="221">
                  <c:v>1.3109831425775034</c:v>
                </c:pt>
                <c:pt idx="222">
                  <c:v>2.6786600858231666</c:v>
                </c:pt>
                <c:pt idx="223">
                  <c:v>2.2792725810519925</c:v>
                </c:pt>
                <c:pt idx="224">
                  <c:v>1.9536622123302794</c:v>
                </c:pt>
                <c:pt idx="225">
                  <c:v>1.4301479005109514</c:v>
                </c:pt>
                <c:pt idx="226">
                  <c:v>1.6899395487665885</c:v>
                </c:pt>
                <c:pt idx="227">
                  <c:v>1.6221444697088605</c:v>
                </c:pt>
                <c:pt idx="228">
                  <c:v>1.4237022341151575</c:v>
                </c:pt>
                <c:pt idx="229">
                  <c:v>1.7699287060588778</c:v>
                </c:pt>
                <c:pt idx="230">
                  <c:v>1.2771232080101127</c:v>
                </c:pt>
                <c:pt idx="231">
                  <c:v>1.4576884456091312</c:v>
                </c:pt>
                <c:pt idx="232">
                  <c:v>1.0070367397715221</c:v>
                </c:pt>
                <c:pt idx="233">
                  <c:v>0.93877759365255919</c:v>
                </c:pt>
                <c:pt idx="234">
                  <c:v>2.1860868556917641</c:v>
                </c:pt>
                <c:pt idx="235">
                  <c:v>1.4097421406623807</c:v>
                </c:pt>
                <c:pt idx="236">
                  <c:v>1.4703807561331417</c:v>
                </c:pt>
                <c:pt idx="237">
                  <c:v>1.8686088775858676</c:v>
                </c:pt>
                <c:pt idx="238">
                  <c:v>1.8686088775858676</c:v>
                </c:pt>
                <c:pt idx="239">
                  <c:v>1.7154442154886655</c:v>
                </c:pt>
                <c:pt idx="240">
                  <c:v>2.1433888450344658</c:v>
                </c:pt>
                <c:pt idx="241">
                  <c:v>2.1433537244301895</c:v>
                </c:pt>
                <c:pt idx="242">
                  <c:v>1.2592938063436692</c:v>
                </c:pt>
                <c:pt idx="243">
                  <c:v>1.2199545575994333</c:v>
                </c:pt>
                <c:pt idx="244">
                  <c:v>1.5249431969992915</c:v>
                </c:pt>
                <c:pt idx="245">
                  <c:v>1.399933849411664</c:v>
                </c:pt>
                <c:pt idx="246">
                  <c:v>2.4308610880995074</c:v>
                </c:pt>
                <c:pt idx="247">
                  <c:v>1.2122079005518309</c:v>
                </c:pt>
                <c:pt idx="248">
                  <c:v>1.4812744270880982</c:v>
                </c:pt>
                <c:pt idx="249">
                  <c:v>1.3883137968971084</c:v>
                </c:pt>
                <c:pt idx="250">
                  <c:v>1.6813511161766443</c:v>
                </c:pt>
                <c:pt idx="251">
                  <c:v>1.3200234270602176</c:v>
                </c:pt>
                <c:pt idx="252">
                  <c:v>1.3773369753307438</c:v>
                </c:pt>
                <c:pt idx="253">
                  <c:v>2.5018619898609304</c:v>
                </c:pt>
                <c:pt idx="254">
                  <c:v>1.4284966020768219</c:v>
                </c:pt>
                <c:pt idx="255">
                  <c:v>1.6064589164368892</c:v>
                </c:pt>
                <c:pt idx="256">
                  <c:v>1.6064589164368892</c:v>
                </c:pt>
                <c:pt idx="257">
                  <c:v>1.7829655373142002</c:v>
                </c:pt>
                <c:pt idx="258">
                  <c:v>1.5452367990056399</c:v>
                </c:pt>
                <c:pt idx="259">
                  <c:v>1.4135768359906165</c:v>
                </c:pt>
                <c:pt idx="260">
                  <c:v>1.7638899870489388</c:v>
                </c:pt>
                <c:pt idx="261">
                  <c:v>1.2935193238358884</c:v>
                </c:pt>
                <c:pt idx="262">
                  <c:v>1.8175717475343196</c:v>
                </c:pt>
                <c:pt idx="263">
                  <c:v>1.6406494518428532</c:v>
                </c:pt>
                <c:pt idx="264">
                  <c:v>2.2227933120098866</c:v>
                </c:pt>
                <c:pt idx="265">
                  <c:v>1.1679532012258913</c:v>
                </c:pt>
                <c:pt idx="266">
                  <c:v>0.8674991552130713</c:v>
                </c:pt>
                <c:pt idx="267">
                  <c:v>0.86347338365293536</c:v>
                </c:pt>
                <c:pt idx="268">
                  <c:v>0.86216010728212789</c:v>
                </c:pt>
                <c:pt idx="269">
                  <c:v>1.3773770980749882</c:v>
                </c:pt>
                <c:pt idx="270">
                  <c:v>1.4347678104947794</c:v>
                </c:pt>
                <c:pt idx="271">
                  <c:v>1.3672996077231514</c:v>
                </c:pt>
              </c:numCache>
            </c:numRef>
          </c:xVal>
          <c:yVal>
            <c:numRef>
              <c:f>'Task 1 Converted AMI PDF Stats'!$AP$5:$AP$279</c:f>
              <c:numCache>
                <c:formatCode>0.000</c:formatCode>
                <c:ptCount val="275"/>
                <c:pt idx="0">
                  <c:v>4.1716225246399556</c:v>
                </c:pt>
                <c:pt idx="2">
                  <c:v>5.0480965102935098</c:v>
                </c:pt>
                <c:pt idx="3">
                  <c:v>4.0903452277194416</c:v>
                </c:pt>
                <c:pt idx="4">
                  <c:v>2.8757050295387216</c:v>
                </c:pt>
                <c:pt idx="6">
                  <c:v>4.065488452143291</c:v>
                </c:pt>
                <c:pt idx="7">
                  <c:v>5.0715397118328971</c:v>
                </c:pt>
                <c:pt idx="8">
                  <c:v>2.9840659158711662</c:v>
                </c:pt>
                <c:pt idx="9">
                  <c:v>9.0633372095238673</c:v>
                </c:pt>
                <c:pt idx="10">
                  <c:v>5.9918931739209942</c:v>
                </c:pt>
                <c:pt idx="11">
                  <c:v>5.9918931739209942</c:v>
                </c:pt>
                <c:pt idx="12">
                  <c:v>6.5615211976036445</c:v>
                </c:pt>
                <c:pt idx="13">
                  <c:v>2.9022551664228233</c:v>
                </c:pt>
                <c:pt idx="14">
                  <c:v>4.2706488745385904</c:v>
                </c:pt>
                <c:pt idx="15">
                  <c:v>4.0164370257343984</c:v>
                </c:pt>
                <c:pt idx="16">
                  <c:v>7.2239656784741966</c:v>
                </c:pt>
                <c:pt idx="17">
                  <c:v>3.9403449155313801</c:v>
                </c:pt>
                <c:pt idx="18">
                  <c:v>3.0462532816151615</c:v>
                </c:pt>
                <c:pt idx="19">
                  <c:v>2.4360636715705271</c:v>
                </c:pt>
                <c:pt idx="20">
                  <c:v>9.0966791445748321</c:v>
                </c:pt>
                <c:pt idx="21">
                  <c:v>6.2786170039827685</c:v>
                </c:pt>
                <c:pt idx="22">
                  <c:v>3.4562904980046514</c:v>
                </c:pt>
                <c:pt idx="23">
                  <c:v>3.9160006681804655</c:v>
                </c:pt>
                <c:pt idx="24">
                  <c:v>4.2981042607150064</c:v>
                </c:pt>
                <c:pt idx="25">
                  <c:v>4.2531085297238409</c:v>
                </c:pt>
                <c:pt idx="26">
                  <c:v>10.343369170020187</c:v>
                </c:pt>
                <c:pt idx="27">
                  <c:v>2.9728907269895695</c:v>
                </c:pt>
                <c:pt idx="28">
                  <c:v>1.7932842050401701</c:v>
                </c:pt>
                <c:pt idx="29">
                  <c:v>5.131937690950557</c:v>
                </c:pt>
                <c:pt idx="30">
                  <c:v>5.1331893830703006</c:v>
                </c:pt>
                <c:pt idx="31">
                  <c:v>5.131937690950557</c:v>
                </c:pt>
                <c:pt idx="32">
                  <c:v>3.5280889184006252</c:v>
                </c:pt>
                <c:pt idx="33">
                  <c:v>3.5280889184006252</c:v>
                </c:pt>
                <c:pt idx="34">
                  <c:v>3.5280889184006252</c:v>
                </c:pt>
                <c:pt idx="35">
                  <c:v>5.2756469807859823</c:v>
                </c:pt>
                <c:pt idx="36">
                  <c:v>4.4287345254985508</c:v>
                </c:pt>
                <c:pt idx="37">
                  <c:v>3.614139867629909</c:v>
                </c:pt>
                <c:pt idx="38">
                  <c:v>5.4043212973905188</c:v>
                </c:pt>
                <c:pt idx="39">
                  <c:v>3.9619354879047632</c:v>
                </c:pt>
                <c:pt idx="40">
                  <c:v>6.3154337139998464</c:v>
                </c:pt>
                <c:pt idx="41">
                  <c:v>2.3568850225343256</c:v>
                </c:pt>
                <c:pt idx="42">
                  <c:v>4.5781438569535311</c:v>
                </c:pt>
                <c:pt idx="43">
                  <c:v>3.6787560520997258</c:v>
                </c:pt>
                <c:pt idx="44">
                  <c:v>4.3752892577247486</c:v>
                </c:pt>
                <c:pt idx="45">
                  <c:v>4.2890433686349505</c:v>
                </c:pt>
                <c:pt idx="46">
                  <c:v>3.3061855016632116</c:v>
                </c:pt>
                <c:pt idx="47">
                  <c:v>4.0878010281126294</c:v>
                </c:pt>
                <c:pt idx="48">
                  <c:v>4.9581402909859378</c:v>
                </c:pt>
                <c:pt idx="49">
                  <c:v>5.3355736364944049</c:v>
                </c:pt>
                <c:pt idx="50">
                  <c:v>5.0323299167208644</c:v>
                </c:pt>
                <c:pt idx="51">
                  <c:v>5.0517597619591692</c:v>
                </c:pt>
                <c:pt idx="52">
                  <c:v>4.0935416233920661</c:v>
                </c:pt>
                <c:pt idx="53">
                  <c:v>7.3542911503469419</c:v>
                </c:pt>
                <c:pt idx="54">
                  <c:v>7.3538957473984059</c:v>
                </c:pt>
                <c:pt idx="55">
                  <c:v>3.6412345292431829</c:v>
                </c:pt>
                <c:pt idx="56">
                  <c:v>2.3970223980703822</c:v>
                </c:pt>
                <c:pt idx="57">
                  <c:v>2.3969850903287782</c:v>
                </c:pt>
                <c:pt idx="58">
                  <c:v>4.0759077962302914</c:v>
                </c:pt>
                <c:pt idx="59">
                  <c:v>4.0759077962302914</c:v>
                </c:pt>
                <c:pt idx="60">
                  <c:v>5.0746731517671728</c:v>
                </c:pt>
                <c:pt idx="61">
                  <c:v>3.5349337536159386</c:v>
                </c:pt>
                <c:pt idx="62">
                  <c:v>5.1498505225014464</c:v>
                </c:pt>
                <c:pt idx="63">
                  <c:v>3.5709102840465841</c:v>
                </c:pt>
                <c:pt idx="64">
                  <c:v>2.9966350842930867</c:v>
                </c:pt>
                <c:pt idx="65">
                  <c:v>4.5727732814171249</c:v>
                </c:pt>
                <c:pt idx="66">
                  <c:v>4.4323821093628357</c:v>
                </c:pt>
                <c:pt idx="67">
                  <c:v>4.6717581403154202</c:v>
                </c:pt>
                <c:pt idx="68">
                  <c:v>4.5573983746925517</c:v>
                </c:pt>
                <c:pt idx="69">
                  <c:v>3.4254220316666517</c:v>
                </c:pt>
                <c:pt idx="70">
                  <c:v>2.9741454052988496</c:v>
                </c:pt>
                <c:pt idx="71">
                  <c:v>3.6494522162329148</c:v>
                </c:pt>
                <c:pt idx="72">
                  <c:v>6.1194218869176193</c:v>
                </c:pt>
                <c:pt idx="73">
                  <c:v>8.7922159483459321</c:v>
                </c:pt>
                <c:pt idx="74">
                  <c:v>2.9473063326563644</c:v>
                </c:pt>
                <c:pt idx="75">
                  <c:v>4.7263161893523051</c:v>
                </c:pt>
                <c:pt idx="76">
                  <c:v>3.9936660770203178</c:v>
                </c:pt>
                <c:pt idx="77">
                  <c:v>4.2969824879332537</c:v>
                </c:pt>
                <c:pt idx="78">
                  <c:v>3.8453083293747876</c:v>
                </c:pt>
                <c:pt idx="79">
                  <c:v>4.8962702099022062</c:v>
                </c:pt>
                <c:pt idx="80">
                  <c:v>4.4102147988495082</c:v>
                </c:pt>
                <c:pt idx="81">
                  <c:v>6.0162266670164462</c:v>
                </c:pt>
                <c:pt idx="82">
                  <c:v>2.8079335471728979</c:v>
                </c:pt>
                <c:pt idx="83">
                  <c:v>5.0548600410531721</c:v>
                </c:pt>
                <c:pt idx="84">
                  <c:v>4.3255163614925847</c:v>
                </c:pt>
                <c:pt idx="85">
                  <c:v>3.6280515551562487</c:v>
                </c:pt>
                <c:pt idx="86">
                  <c:v>2.9231367153462631</c:v>
                </c:pt>
                <c:pt idx="87">
                  <c:v>7.7666267509710991</c:v>
                </c:pt>
                <c:pt idx="88">
                  <c:v>7.7666267509710991</c:v>
                </c:pt>
                <c:pt idx="89">
                  <c:v>7.7666267509710991</c:v>
                </c:pt>
                <c:pt idx="90">
                  <c:v>2.6391357526511356</c:v>
                </c:pt>
                <c:pt idx="91">
                  <c:v>2.9804928196743719</c:v>
                </c:pt>
                <c:pt idx="92">
                  <c:v>5.9474003932418551</c:v>
                </c:pt>
                <c:pt idx="94">
                  <c:v>6.9470019927856113</c:v>
                </c:pt>
                <c:pt idx="95">
                  <c:v>4.7637178780651901</c:v>
                </c:pt>
                <c:pt idx="96">
                  <c:v>5.4043212973905188</c:v>
                </c:pt>
                <c:pt idx="97">
                  <c:v>5.1102989907230443</c:v>
                </c:pt>
                <c:pt idx="98">
                  <c:v>5.5349063254741582</c:v>
                </c:pt>
                <c:pt idx="99">
                  <c:v>3.4536979223994919</c:v>
                </c:pt>
                <c:pt idx="100">
                  <c:v>4.3118150947873977</c:v>
                </c:pt>
                <c:pt idx="101">
                  <c:v>3.2715001919995195</c:v>
                </c:pt>
                <c:pt idx="102">
                  <c:v>4.5737652323698397</c:v>
                </c:pt>
                <c:pt idx="103">
                  <c:v>8.7922159483459321</c:v>
                </c:pt>
                <c:pt idx="104">
                  <c:v>4.645338596545205</c:v>
                </c:pt>
                <c:pt idx="105">
                  <c:v>3.1513255808087179</c:v>
                </c:pt>
                <c:pt idx="106">
                  <c:v>3.0582320245391901</c:v>
                </c:pt>
                <c:pt idx="107">
                  <c:v>3.7120201881654871</c:v>
                </c:pt>
                <c:pt idx="111">
                  <c:v>3.5597193589146765</c:v>
                </c:pt>
                <c:pt idx="112">
                  <c:v>3.7080409988694547</c:v>
                </c:pt>
                <c:pt idx="113">
                  <c:v>1.7895699074557889</c:v>
                </c:pt>
                <c:pt idx="114">
                  <c:v>1.6019596523971911</c:v>
                </c:pt>
                <c:pt idx="115">
                  <c:v>3.17518302887725</c:v>
                </c:pt>
                <c:pt idx="117">
                  <c:v>4.5658733491680739</c:v>
                </c:pt>
                <c:pt idx="118">
                  <c:v>8.6012071027133814</c:v>
                </c:pt>
                <c:pt idx="119">
                  <c:v>3.4730059746431201</c:v>
                </c:pt>
                <c:pt idx="120">
                  <c:v>12.205487587219213</c:v>
                </c:pt>
                <c:pt idx="121">
                  <c:v>3.6883915508412577</c:v>
                </c:pt>
                <c:pt idx="122">
                  <c:v>3.2768187504638311</c:v>
                </c:pt>
                <c:pt idx="123">
                  <c:v>3.8001609917758414</c:v>
                </c:pt>
                <c:pt idx="125">
                  <c:v>1.334370704994293</c:v>
                </c:pt>
                <c:pt idx="126">
                  <c:v>3.2328099876611787</c:v>
                </c:pt>
                <c:pt idx="127">
                  <c:v>3.2326511272195249</c:v>
                </c:pt>
                <c:pt idx="128">
                  <c:v>2.647267824201244</c:v>
                </c:pt>
                <c:pt idx="129">
                  <c:v>4.0800002332850767</c:v>
                </c:pt>
                <c:pt idx="130">
                  <c:v>3.753437114663531</c:v>
                </c:pt>
                <c:pt idx="131">
                  <c:v>4.3069851044773317</c:v>
                </c:pt>
                <c:pt idx="132">
                  <c:v>3.7224667661815141</c:v>
                </c:pt>
                <c:pt idx="133">
                  <c:v>1.2732312339240626</c:v>
                </c:pt>
                <c:pt idx="134">
                  <c:v>4.2999899099462704</c:v>
                </c:pt>
                <c:pt idx="135">
                  <c:v>4.768480225952767</c:v>
                </c:pt>
                <c:pt idx="136">
                  <c:v>5.4148350480639085</c:v>
                </c:pt>
                <c:pt idx="138">
                  <c:v>6.1901364004168373</c:v>
                </c:pt>
                <c:pt idx="139">
                  <c:v>3.0523009239283598</c:v>
                </c:pt>
                <c:pt idx="140">
                  <c:v>7.0577915704908198</c:v>
                </c:pt>
                <c:pt idx="141">
                  <c:v>3.9698915653784006</c:v>
                </c:pt>
                <c:pt idx="142">
                  <c:v>7.502377284784953</c:v>
                </c:pt>
                <c:pt idx="143">
                  <c:v>2.0891508799367688</c:v>
                </c:pt>
                <c:pt idx="144">
                  <c:v>3.1967959167508133</c:v>
                </c:pt>
                <c:pt idx="145">
                  <c:v>1.3047362223414447</c:v>
                </c:pt>
                <c:pt idx="146">
                  <c:v>0.66303915310387251</c:v>
                </c:pt>
                <c:pt idx="147">
                  <c:v>2.4366769395547965</c:v>
                </c:pt>
                <c:pt idx="148">
                  <c:v>2.172231380223268</c:v>
                </c:pt>
                <c:pt idx="149">
                  <c:v>3.2748320577594039</c:v>
                </c:pt>
                <c:pt idx="150">
                  <c:v>3.5772496560722358</c:v>
                </c:pt>
                <c:pt idx="151">
                  <c:v>7.5596157344511399</c:v>
                </c:pt>
                <c:pt idx="152">
                  <c:v>2.4441795286304751</c:v>
                </c:pt>
                <c:pt idx="153">
                  <c:v>4.941303918300548</c:v>
                </c:pt>
                <c:pt idx="154">
                  <c:v>3.6025835530439863</c:v>
                </c:pt>
                <c:pt idx="155">
                  <c:v>3.0067371174092408</c:v>
                </c:pt>
                <c:pt idx="156">
                  <c:v>5.7043066525044877</c:v>
                </c:pt>
                <c:pt idx="157">
                  <c:v>3.2967932830361719</c:v>
                </c:pt>
                <c:pt idx="158">
                  <c:v>3.0401396984213127</c:v>
                </c:pt>
                <c:pt idx="159">
                  <c:v>4.8043995067693199</c:v>
                </c:pt>
                <c:pt idx="160">
                  <c:v>2.5095018448837507</c:v>
                </c:pt>
                <c:pt idx="161">
                  <c:v>6.9122780188179487</c:v>
                </c:pt>
                <c:pt idx="162">
                  <c:v>2.014890876533181</c:v>
                </c:pt>
                <c:pt idx="163">
                  <c:v>1.9936355029013058</c:v>
                </c:pt>
                <c:pt idx="164">
                  <c:v>5.0371010588411824</c:v>
                </c:pt>
                <c:pt idx="165">
                  <c:v>2.6667673365880336</c:v>
                </c:pt>
                <c:pt idx="166">
                  <c:v>4.3641326557500477</c:v>
                </c:pt>
                <c:pt idx="167">
                  <c:v>2.0624582347350282</c:v>
                </c:pt>
                <c:pt idx="168">
                  <c:v>5.0038123909740584</c:v>
                </c:pt>
                <c:pt idx="169">
                  <c:v>3.1804216266542529</c:v>
                </c:pt>
                <c:pt idx="170">
                  <c:v>1.3802826527009193</c:v>
                </c:pt>
                <c:pt idx="171">
                  <c:v>3.8262471625278152</c:v>
                </c:pt>
                <c:pt idx="172">
                  <c:v>4.9960276536045365</c:v>
                </c:pt>
                <c:pt idx="173">
                  <c:v>2.0580227550359593</c:v>
                </c:pt>
                <c:pt idx="174">
                  <c:v>2.0965978969128205</c:v>
                </c:pt>
                <c:pt idx="175">
                  <c:v>3.1297411590223567</c:v>
                </c:pt>
                <c:pt idx="176">
                  <c:v>3.8391491550674242</c:v>
                </c:pt>
                <c:pt idx="177">
                  <c:v>1.414255822494787</c:v>
                </c:pt>
                <c:pt idx="178">
                  <c:v>10.874448797714557</c:v>
                </c:pt>
                <c:pt idx="179">
                  <c:v>1.3216799522912031</c:v>
                </c:pt>
                <c:pt idx="180">
                  <c:v>1.91613888232198</c:v>
                </c:pt>
                <c:pt idx="181">
                  <c:v>2.8453667349760323</c:v>
                </c:pt>
                <c:pt idx="182">
                  <c:v>3.6860890423776391</c:v>
                </c:pt>
                <c:pt idx="183">
                  <c:v>3.351018955287048</c:v>
                </c:pt>
                <c:pt idx="184">
                  <c:v>3.8918772805848745</c:v>
                </c:pt>
                <c:pt idx="185">
                  <c:v>3.7607389986182236</c:v>
                </c:pt>
                <c:pt idx="186">
                  <c:v>2.7126603415728536</c:v>
                </c:pt>
                <c:pt idx="187">
                  <c:v>1.7385686734626018</c:v>
                </c:pt>
                <c:pt idx="188">
                  <c:v>1.2908872400459817</c:v>
                </c:pt>
                <c:pt idx="189">
                  <c:v>3.640881693397533</c:v>
                </c:pt>
                <c:pt idx="190">
                  <c:v>2.1411189339462195</c:v>
                </c:pt>
                <c:pt idx="191">
                  <c:v>2.5031096135704765</c:v>
                </c:pt>
                <c:pt idx="192">
                  <c:v>0.87210696800481036</c:v>
                </c:pt>
                <c:pt idx="193">
                  <c:v>3.4021138211382111</c:v>
                </c:pt>
                <c:pt idx="194">
                  <c:v>1.8468147557748922</c:v>
                </c:pt>
                <c:pt idx="195">
                  <c:v>1.7448170643634087</c:v>
                </c:pt>
                <c:pt idx="196">
                  <c:v>6.1658010055768706</c:v>
                </c:pt>
                <c:pt idx="197">
                  <c:v>4.8278726780300305</c:v>
                </c:pt>
                <c:pt idx="198">
                  <c:v>2.9702719920111225</c:v>
                </c:pt>
                <c:pt idx="199">
                  <c:v>6.7699525636531881</c:v>
                </c:pt>
                <c:pt idx="200">
                  <c:v>3.192945550729827</c:v>
                </c:pt>
                <c:pt idx="201">
                  <c:v>4.0331433671340156</c:v>
                </c:pt>
                <c:pt idx="202">
                  <c:v>3.5239294504337093</c:v>
                </c:pt>
                <c:pt idx="203">
                  <c:v>3.0761443962171637</c:v>
                </c:pt>
                <c:pt idx="204">
                  <c:v>5.0410663080577294</c:v>
                </c:pt>
                <c:pt idx="205">
                  <c:v>3.526272406421171</c:v>
                </c:pt>
                <c:pt idx="206">
                  <c:v>4.0680818546145767</c:v>
                </c:pt>
                <c:pt idx="207">
                  <c:v>3.8196115595881102</c:v>
                </c:pt>
                <c:pt idx="208">
                  <c:v>6.098779866345784</c:v>
                </c:pt>
                <c:pt idx="209">
                  <c:v>4.9272166946546117</c:v>
                </c:pt>
                <c:pt idx="210">
                  <c:v>3.8755406932243406</c:v>
                </c:pt>
                <c:pt idx="211">
                  <c:v>5.324730248719824</c:v>
                </c:pt>
                <c:pt idx="212">
                  <c:v>4.0893752399993994</c:v>
                </c:pt>
                <c:pt idx="213">
                  <c:v>3.6288362610408313</c:v>
                </c:pt>
                <c:pt idx="214">
                  <c:v>4.7081825334382374</c:v>
                </c:pt>
                <c:pt idx="215">
                  <c:v>4.3762440034906067</c:v>
                </c:pt>
                <c:pt idx="216">
                  <c:v>6.2888247842837588</c:v>
                </c:pt>
                <c:pt idx="217">
                  <c:v>4.6457181272409063</c:v>
                </c:pt>
                <c:pt idx="218">
                  <c:v>4.7922037464453782</c:v>
                </c:pt>
                <c:pt idx="220">
                  <c:v>1.9637269830867807</c:v>
                </c:pt>
                <c:pt idx="221">
                  <c:v>1.6841509140577233</c:v>
                </c:pt>
                <c:pt idx="222">
                  <c:v>5.3358605186614172</c:v>
                </c:pt>
                <c:pt idx="223">
                  <c:v>3.9382529475035901</c:v>
                </c:pt>
                <c:pt idx="224">
                  <c:v>4.1582024043036645</c:v>
                </c:pt>
                <c:pt idx="226">
                  <c:v>3.186727474610541</c:v>
                </c:pt>
                <c:pt idx="227">
                  <c:v>2.3813547274579232</c:v>
                </c:pt>
                <c:pt idx="228">
                  <c:v>1.5644431457070753</c:v>
                </c:pt>
                <c:pt idx="229">
                  <c:v>6.0540313253542504</c:v>
                </c:pt>
                <c:pt idx="230">
                  <c:v>2.6368291547516121</c:v>
                </c:pt>
                <c:pt idx="231">
                  <c:v>3.7392081794944612</c:v>
                </c:pt>
                <c:pt idx="232">
                  <c:v>1.3679107051455262</c:v>
                </c:pt>
                <c:pt idx="233">
                  <c:v>2.3867021816733849</c:v>
                </c:pt>
                <c:pt idx="234">
                  <c:v>3.8284988623712031</c:v>
                </c:pt>
                <c:pt idx="235">
                  <c:v>2.7429837224069318</c:v>
                </c:pt>
                <c:pt idx="236">
                  <c:v>2.4098971711362793</c:v>
                </c:pt>
                <c:pt idx="237">
                  <c:v>8.4109208689533776</c:v>
                </c:pt>
                <c:pt idx="238">
                  <c:v>8.4109208689533776</c:v>
                </c:pt>
                <c:pt idx="239">
                  <c:v>2.4111183173083792</c:v>
                </c:pt>
                <c:pt idx="240">
                  <c:v>2.8765771165466472</c:v>
                </c:pt>
                <c:pt idx="241">
                  <c:v>2.840953172573661</c:v>
                </c:pt>
                <c:pt idx="242">
                  <c:v>2.9054237778841996</c:v>
                </c:pt>
                <c:pt idx="243">
                  <c:v>2.4683844983141201</c:v>
                </c:pt>
                <c:pt idx="244">
                  <c:v>2.1254308410584253</c:v>
                </c:pt>
                <c:pt idx="245">
                  <c:v>2.2267903881869668</c:v>
                </c:pt>
                <c:pt idx="246">
                  <c:v>5.5009144429347652</c:v>
                </c:pt>
                <c:pt idx="247">
                  <c:v>1.9840497362888907</c:v>
                </c:pt>
                <c:pt idx="248">
                  <c:v>2.5461728102090784</c:v>
                </c:pt>
                <c:pt idx="249">
                  <c:v>4.0446373078344271</c:v>
                </c:pt>
                <c:pt idx="250">
                  <c:v>3.3577250989998948</c:v>
                </c:pt>
                <c:pt idx="251">
                  <c:v>1.7364603382307051</c:v>
                </c:pt>
                <c:pt idx="252">
                  <c:v>3.899117357471011</c:v>
                </c:pt>
                <c:pt idx="253">
                  <c:v>6.0367186435640292</c:v>
                </c:pt>
                <c:pt idx="254">
                  <c:v>2.6244362806176995</c:v>
                </c:pt>
                <c:pt idx="255">
                  <c:v>3.181482152361641</c:v>
                </c:pt>
                <c:pt idx="256">
                  <c:v>3.181482152361641</c:v>
                </c:pt>
                <c:pt idx="257">
                  <c:v>7.0321252930543201</c:v>
                </c:pt>
                <c:pt idx="258">
                  <c:v>6.0445617121078863</c:v>
                </c:pt>
                <c:pt idx="259">
                  <c:v>2.8002120762669209</c:v>
                </c:pt>
                <c:pt idx="260">
                  <c:v>3.9665122327887503</c:v>
                </c:pt>
                <c:pt idx="263">
                  <c:v>3.5510566990312782</c:v>
                </c:pt>
                <c:pt idx="264">
                  <c:v>3.7688617091519001</c:v>
                </c:pt>
                <c:pt idx="265">
                  <c:v>1.5808043948559751</c:v>
                </c:pt>
                <c:pt idx="266">
                  <c:v>3.8254285047882584</c:v>
                </c:pt>
                <c:pt idx="267">
                  <c:v>3.5257265326284508</c:v>
                </c:pt>
                <c:pt idx="268">
                  <c:v>3.5580726476066933</c:v>
                </c:pt>
                <c:pt idx="269">
                  <c:v>2.7443564051561107</c:v>
                </c:pt>
                <c:pt idx="270">
                  <c:v>2.9422700389525791</c:v>
                </c:pt>
                <c:pt idx="271">
                  <c:v>2.3293343087051941</c:v>
                </c:pt>
              </c:numCache>
            </c:numRef>
          </c:yVal>
          <c:smooth val="1"/>
          <c:extLst>
            <c:ext xmlns:c16="http://schemas.microsoft.com/office/drawing/2014/chart" uri="{C3380CC4-5D6E-409C-BE32-E72D297353CC}">
              <c16:uniqueId val="{00000000-71DF-4F57-96C2-B1632251ABC2}"/>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53673632307405095"/>
                  <c:y val="-0.50415486028130629"/>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Stats'!$AA$5:$AA$12</c:f>
              <c:numCache>
                <c:formatCode>0.000</c:formatCode>
                <c:ptCount val="8"/>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numCache>
            </c:numRef>
          </c:xVal>
          <c:yVal>
            <c:numRef>
              <c:f>'Task 1 Converted AMI PDF Stats'!$AP$5:$AP$12</c:f>
              <c:numCache>
                <c:formatCode>0.000</c:formatCode>
                <c:ptCount val="8"/>
                <c:pt idx="0">
                  <c:v>4.1716225246399556</c:v>
                </c:pt>
                <c:pt idx="2">
                  <c:v>5.0480965102935098</c:v>
                </c:pt>
                <c:pt idx="3">
                  <c:v>4.0903452277194416</c:v>
                </c:pt>
                <c:pt idx="4">
                  <c:v>2.8757050295387216</c:v>
                </c:pt>
                <c:pt idx="6">
                  <c:v>4.065488452143291</c:v>
                </c:pt>
                <c:pt idx="7">
                  <c:v>5.0715397118328971</c:v>
                </c:pt>
              </c:numCache>
            </c:numRef>
          </c:yVal>
          <c:smooth val="1"/>
          <c:extLst>
            <c:ext xmlns:c16="http://schemas.microsoft.com/office/drawing/2014/chart" uri="{C3380CC4-5D6E-409C-BE32-E72D297353CC}">
              <c16:uniqueId val="{00000001-71DF-4F57-96C2-B1632251ABC2}"/>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0885030236464741"/>
                  <c:y val="-0.30303736315251928"/>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Stats'!$AA$13:$AA$98</c:f>
              <c:numCache>
                <c:formatCode>0.000</c:formatCode>
                <c:ptCount val="86"/>
                <c:pt idx="0">
                  <c:v>4.2578781301312683</c:v>
                </c:pt>
                <c:pt idx="1">
                  <c:v>3.3448689380599737</c:v>
                </c:pt>
                <c:pt idx="2">
                  <c:v>2.9771509183214606</c:v>
                </c:pt>
                <c:pt idx="3">
                  <c:v>2.9771509183214606</c:v>
                </c:pt>
                <c:pt idx="4">
                  <c:v>2.999427721161795</c:v>
                </c:pt>
                <c:pt idx="5">
                  <c:v>2.2514270068628797</c:v>
                </c:pt>
                <c:pt idx="6">
                  <c:v>2.3576001141871554</c:v>
                </c:pt>
                <c:pt idx="7">
                  <c:v>2.190112809023498</c:v>
                </c:pt>
                <c:pt idx="8">
                  <c:v>2.1818634545719475</c:v>
                </c:pt>
                <c:pt idx="9">
                  <c:v>2.1818634545719475</c:v>
                </c:pt>
                <c:pt idx="10">
                  <c:v>2.0240101110609023</c:v>
                </c:pt>
                <c:pt idx="11">
                  <c:v>1.800731925644989</c:v>
                </c:pt>
                <c:pt idx="12">
                  <c:v>2.6619680028744539</c:v>
                </c:pt>
                <c:pt idx="13">
                  <c:v>2.6467639937173235</c:v>
                </c:pt>
                <c:pt idx="14">
                  <c:v>2.069854896780333</c:v>
                </c:pt>
                <c:pt idx="15">
                  <c:v>2.2595420483327904</c:v>
                </c:pt>
                <c:pt idx="16">
                  <c:v>2.2595420483327904</c:v>
                </c:pt>
                <c:pt idx="17">
                  <c:v>2.1669255318160054</c:v>
                </c:pt>
                <c:pt idx="18">
                  <c:v>3.1455370623135566</c:v>
                </c:pt>
                <c:pt idx="19">
                  <c:v>2.6086473483748582</c:v>
                </c:pt>
                <c:pt idx="20">
                  <c:v>1.5852204308625291</c:v>
                </c:pt>
                <c:pt idx="21">
                  <c:v>2.8819125836046848</c:v>
                </c:pt>
                <c:pt idx="22">
                  <c:v>2.8819125836046848</c:v>
                </c:pt>
                <c:pt idx="23">
                  <c:v>2.8819125836046848</c:v>
                </c:pt>
                <c:pt idx="24">
                  <c:v>2.371371051549791</c:v>
                </c:pt>
                <c:pt idx="25">
                  <c:v>2.371371051549791</c:v>
                </c:pt>
                <c:pt idx="26">
                  <c:v>2.371371051549791</c:v>
                </c:pt>
                <c:pt idx="27">
                  <c:v>2.371371051549791</c:v>
                </c:pt>
                <c:pt idx="28">
                  <c:v>2.1663529822826906</c:v>
                </c:pt>
                <c:pt idx="29">
                  <c:v>2.3618661121023545</c:v>
                </c:pt>
                <c:pt idx="30">
                  <c:v>2.3618661121023545</c:v>
                </c:pt>
                <c:pt idx="31">
                  <c:v>1.8865102430633052</c:v>
                </c:pt>
                <c:pt idx="32">
                  <c:v>2.4198393639787561</c:v>
                </c:pt>
                <c:pt idx="33">
                  <c:v>1.0673659461753169</c:v>
                </c:pt>
                <c:pt idx="34">
                  <c:v>2.2768845030336466</c:v>
                </c:pt>
                <c:pt idx="35">
                  <c:v>2.1060828598451677</c:v>
                </c:pt>
                <c:pt idx="36">
                  <c:v>2.6308096346759702</c:v>
                </c:pt>
                <c:pt idx="37">
                  <c:v>2.4205018391001354</c:v>
                </c:pt>
                <c:pt idx="38">
                  <c:v>2.2881590271964689</c:v>
                </c:pt>
                <c:pt idx="39">
                  <c:v>2.3846608081108682</c:v>
                </c:pt>
                <c:pt idx="40">
                  <c:v>2.6133269129982115</c:v>
                </c:pt>
                <c:pt idx="41">
                  <c:v>2.6786600858231666</c:v>
                </c:pt>
                <c:pt idx="42">
                  <c:v>2.6065565033135569</c:v>
                </c:pt>
                <c:pt idx="43">
                  <c:v>2.6048829497737058</c:v>
                </c:pt>
                <c:pt idx="44">
                  <c:v>2.4746388022850203</c:v>
                </c:pt>
                <c:pt idx="45">
                  <c:v>2.6048829497737058</c:v>
                </c:pt>
                <c:pt idx="46">
                  <c:v>2.6048829497737058</c:v>
                </c:pt>
                <c:pt idx="47">
                  <c:v>2.3694215380899792</c:v>
                </c:pt>
                <c:pt idx="48">
                  <c:v>2.0123854159120369</c:v>
                </c:pt>
                <c:pt idx="49">
                  <c:v>2.0123854159120369</c:v>
                </c:pt>
                <c:pt idx="50">
                  <c:v>2.3369637088010751</c:v>
                </c:pt>
                <c:pt idx="51">
                  <c:v>2.3369637088010751</c:v>
                </c:pt>
                <c:pt idx="52">
                  <c:v>2.4621711827915069</c:v>
                </c:pt>
                <c:pt idx="53">
                  <c:v>2.5917591397805335</c:v>
                </c:pt>
                <c:pt idx="54">
                  <c:v>2.5917591397805335</c:v>
                </c:pt>
                <c:pt idx="55">
                  <c:v>1.7483518224639953</c:v>
                </c:pt>
                <c:pt idx="56">
                  <c:v>2.6532632544873387</c:v>
                </c:pt>
                <c:pt idx="57">
                  <c:v>2.4591220407443628</c:v>
                </c:pt>
                <c:pt idx="58">
                  <c:v>2.3944083028300378</c:v>
                </c:pt>
                <c:pt idx="59">
                  <c:v>2.4193549999763144</c:v>
                </c:pt>
                <c:pt idx="60">
                  <c:v>2.4650646962888745</c:v>
                </c:pt>
                <c:pt idx="61">
                  <c:v>1.9757254171590406</c:v>
                </c:pt>
                <c:pt idx="62">
                  <c:v>1.8992418100053081</c:v>
                </c:pt>
                <c:pt idx="63">
                  <c:v>1.8267821846579544</c:v>
                </c:pt>
                <c:pt idx="64">
                  <c:v>2.4336286613320408</c:v>
                </c:pt>
                <c:pt idx="65">
                  <c:v>1.8548520509735185</c:v>
                </c:pt>
                <c:pt idx="66">
                  <c:v>1.5805140808096707</c:v>
                </c:pt>
                <c:pt idx="67">
                  <c:v>2.3090039333397643</c:v>
                </c:pt>
                <c:pt idx="68">
                  <c:v>2.3383974386850541</c:v>
                </c:pt>
                <c:pt idx="69">
                  <c:v>2.3100409973553808</c:v>
                </c:pt>
                <c:pt idx="70">
                  <c:v>2.160038335189447</c:v>
                </c:pt>
                <c:pt idx="71">
                  <c:v>1.800031945991206</c:v>
                </c:pt>
                <c:pt idx="72">
                  <c:v>2.2756002201116634</c:v>
                </c:pt>
                <c:pt idx="73">
                  <c:v>2.3953686527491196</c:v>
                </c:pt>
                <c:pt idx="74">
                  <c:v>1.9162949221992955</c:v>
                </c:pt>
                <c:pt idx="75">
                  <c:v>2.2729648881756734</c:v>
                </c:pt>
                <c:pt idx="76">
                  <c:v>2.2703507724055916</c:v>
                </c:pt>
                <c:pt idx="77">
                  <c:v>1.9018299064684803</c:v>
                </c:pt>
                <c:pt idx="78">
                  <c:v>1.7829655373142002</c:v>
                </c:pt>
                <c:pt idx="79">
                  <c:v>1.6474433704258884</c:v>
                </c:pt>
                <c:pt idx="80">
                  <c:v>1.6474433704258884</c:v>
                </c:pt>
                <c:pt idx="81">
                  <c:v>1.6474433704258884</c:v>
                </c:pt>
                <c:pt idx="82">
                  <c:v>1.8176719413792313</c:v>
                </c:pt>
                <c:pt idx="83">
                  <c:v>1.8115371711008192</c:v>
                </c:pt>
                <c:pt idx="84">
                  <c:v>2.184138938448057</c:v>
                </c:pt>
                <c:pt idx="85">
                  <c:v>1.9370077776077976</c:v>
                </c:pt>
              </c:numCache>
            </c:numRef>
          </c:xVal>
          <c:yVal>
            <c:numRef>
              <c:f>'Task 1 Converted AMI PDF Stats'!$AP$13:$AP$98</c:f>
              <c:numCache>
                <c:formatCode>0.000</c:formatCode>
                <c:ptCount val="86"/>
                <c:pt idx="0">
                  <c:v>2.9840659158711662</c:v>
                </c:pt>
                <c:pt idx="1">
                  <c:v>9.0633372095238673</c:v>
                </c:pt>
                <c:pt idx="2">
                  <c:v>5.9918931739209942</c:v>
                </c:pt>
                <c:pt idx="3">
                  <c:v>5.9918931739209942</c:v>
                </c:pt>
                <c:pt idx="4">
                  <c:v>6.5615211976036445</c:v>
                </c:pt>
                <c:pt idx="5">
                  <c:v>2.9022551664228233</c:v>
                </c:pt>
                <c:pt idx="6">
                  <c:v>4.2706488745385904</c:v>
                </c:pt>
                <c:pt idx="7">
                  <c:v>4.0164370257343984</c:v>
                </c:pt>
                <c:pt idx="8">
                  <c:v>7.2239656784741966</c:v>
                </c:pt>
                <c:pt idx="9">
                  <c:v>3.9403449155313801</c:v>
                </c:pt>
                <c:pt idx="10">
                  <c:v>3.0462532816151615</c:v>
                </c:pt>
                <c:pt idx="11">
                  <c:v>2.4360636715705271</c:v>
                </c:pt>
                <c:pt idx="12">
                  <c:v>9.0966791445748321</c:v>
                </c:pt>
                <c:pt idx="13">
                  <c:v>6.2786170039827685</c:v>
                </c:pt>
                <c:pt idx="14">
                  <c:v>3.4562904980046514</c:v>
                </c:pt>
                <c:pt idx="15">
                  <c:v>3.9160006681804655</c:v>
                </c:pt>
                <c:pt idx="16">
                  <c:v>4.2981042607150064</c:v>
                </c:pt>
                <c:pt idx="17">
                  <c:v>4.2531085297238409</c:v>
                </c:pt>
                <c:pt idx="18">
                  <c:v>10.343369170020187</c:v>
                </c:pt>
                <c:pt idx="19">
                  <c:v>2.9728907269895695</c:v>
                </c:pt>
                <c:pt idx="20">
                  <c:v>1.7932842050401701</c:v>
                </c:pt>
                <c:pt idx="21">
                  <c:v>5.131937690950557</c:v>
                </c:pt>
                <c:pt idx="22">
                  <c:v>5.1331893830703006</c:v>
                </c:pt>
                <c:pt idx="23">
                  <c:v>5.131937690950557</c:v>
                </c:pt>
                <c:pt idx="24">
                  <c:v>3.5280889184006252</c:v>
                </c:pt>
                <c:pt idx="25">
                  <c:v>3.5280889184006252</c:v>
                </c:pt>
                <c:pt idx="26">
                  <c:v>3.5280889184006252</c:v>
                </c:pt>
                <c:pt idx="27">
                  <c:v>5.2756469807859823</c:v>
                </c:pt>
                <c:pt idx="28">
                  <c:v>4.4287345254985508</c:v>
                </c:pt>
                <c:pt idx="29">
                  <c:v>3.614139867629909</c:v>
                </c:pt>
                <c:pt idx="30">
                  <c:v>5.4043212973905188</c:v>
                </c:pt>
                <c:pt idx="31">
                  <c:v>3.9619354879047632</c:v>
                </c:pt>
                <c:pt idx="32">
                  <c:v>6.3154337139998464</c:v>
                </c:pt>
                <c:pt idx="33">
                  <c:v>2.3568850225343256</c:v>
                </c:pt>
                <c:pt idx="34">
                  <c:v>4.5781438569535311</c:v>
                </c:pt>
                <c:pt idx="35">
                  <c:v>3.6787560520997258</c:v>
                </c:pt>
                <c:pt idx="36">
                  <c:v>4.3752892577247486</c:v>
                </c:pt>
                <c:pt idx="37">
                  <c:v>4.2890433686349505</c:v>
                </c:pt>
                <c:pt idx="38">
                  <c:v>3.3061855016632116</c:v>
                </c:pt>
                <c:pt idx="39">
                  <c:v>4.0878010281126294</c:v>
                </c:pt>
                <c:pt idx="40">
                  <c:v>4.9581402909859378</c:v>
                </c:pt>
                <c:pt idx="41">
                  <c:v>5.3355736364944049</c:v>
                </c:pt>
                <c:pt idx="42">
                  <c:v>5.0323299167208644</c:v>
                </c:pt>
                <c:pt idx="43">
                  <c:v>5.0517597619591692</c:v>
                </c:pt>
                <c:pt idx="44">
                  <c:v>4.0935416233920661</c:v>
                </c:pt>
                <c:pt idx="45">
                  <c:v>7.3542911503469419</c:v>
                </c:pt>
                <c:pt idx="46">
                  <c:v>7.3538957473984059</c:v>
                </c:pt>
                <c:pt idx="47">
                  <c:v>3.6412345292431829</c:v>
                </c:pt>
                <c:pt idx="48">
                  <c:v>2.3970223980703822</c:v>
                </c:pt>
                <c:pt idx="49">
                  <c:v>2.3969850903287782</c:v>
                </c:pt>
                <c:pt idx="50">
                  <c:v>4.0759077962302914</c:v>
                </c:pt>
                <c:pt idx="51">
                  <c:v>4.0759077962302914</c:v>
                </c:pt>
                <c:pt idx="52">
                  <c:v>5.0746731517671728</c:v>
                </c:pt>
                <c:pt idx="53">
                  <c:v>3.5349337536159386</c:v>
                </c:pt>
                <c:pt idx="54">
                  <c:v>5.1498505225014464</c:v>
                </c:pt>
                <c:pt idx="55">
                  <c:v>3.5709102840465841</c:v>
                </c:pt>
                <c:pt idx="56">
                  <c:v>2.9966350842930867</c:v>
                </c:pt>
                <c:pt idx="57">
                  <c:v>4.5727732814171249</c:v>
                </c:pt>
                <c:pt idx="58">
                  <c:v>4.4323821093628357</c:v>
                </c:pt>
                <c:pt idx="59">
                  <c:v>4.6717581403154202</c:v>
                </c:pt>
                <c:pt idx="60">
                  <c:v>4.5573983746925517</c:v>
                </c:pt>
                <c:pt idx="61">
                  <c:v>3.4254220316666517</c:v>
                </c:pt>
                <c:pt idx="62">
                  <c:v>2.9741454052988496</c:v>
                </c:pt>
                <c:pt idx="63">
                  <c:v>3.6494522162329148</c:v>
                </c:pt>
                <c:pt idx="64">
                  <c:v>6.1194218869176193</c:v>
                </c:pt>
                <c:pt idx="65">
                  <c:v>8.7922159483459321</c:v>
                </c:pt>
                <c:pt idx="66">
                  <c:v>2.9473063326563644</c:v>
                </c:pt>
                <c:pt idx="67">
                  <c:v>4.7263161893523051</c:v>
                </c:pt>
                <c:pt idx="68">
                  <c:v>3.9936660770203178</c:v>
                </c:pt>
                <c:pt idx="69">
                  <c:v>4.2969824879332537</c:v>
                </c:pt>
                <c:pt idx="70">
                  <c:v>3.8453083293747876</c:v>
                </c:pt>
                <c:pt idx="71">
                  <c:v>4.8962702099022062</c:v>
                </c:pt>
                <c:pt idx="72">
                  <c:v>4.4102147988495082</c:v>
                </c:pt>
                <c:pt idx="73">
                  <c:v>6.0162266670164462</c:v>
                </c:pt>
                <c:pt idx="74">
                  <c:v>2.8079335471728979</c:v>
                </c:pt>
                <c:pt idx="75">
                  <c:v>5.0548600410531721</c:v>
                </c:pt>
                <c:pt idx="76">
                  <c:v>4.3255163614925847</c:v>
                </c:pt>
                <c:pt idx="77">
                  <c:v>3.6280515551562487</c:v>
                </c:pt>
                <c:pt idx="78">
                  <c:v>2.9231367153462631</c:v>
                </c:pt>
                <c:pt idx="79">
                  <c:v>7.7666267509710991</c:v>
                </c:pt>
                <c:pt idx="80">
                  <c:v>7.7666267509710991</c:v>
                </c:pt>
                <c:pt idx="81">
                  <c:v>7.7666267509710991</c:v>
                </c:pt>
                <c:pt idx="82">
                  <c:v>2.6391357526511356</c:v>
                </c:pt>
                <c:pt idx="83">
                  <c:v>2.9804928196743719</c:v>
                </c:pt>
                <c:pt idx="84">
                  <c:v>5.9474003932418551</c:v>
                </c:pt>
              </c:numCache>
            </c:numRef>
          </c:yVal>
          <c:smooth val="1"/>
          <c:extLst>
            <c:ext xmlns:c16="http://schemas.microsoft.com/office/drawing/2014/chart" uri="{C3380CC4-5D6E-409C-BE32-E72D297353CC}">
              <c16:uniqueId val="{00000002-71DF-4F57-96C2-B1632251ABC2}"/>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48220644514431837"/>
                  <c:y val="-0.30313095315299748"/>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Stats'!$AA$99:$AA$112</c:f>
              <c:numCache>
                <c:formatCode>0.000</c:formatCode>
                <c:ptCount val="14"/>
                <c:pt idx="0">
                  <c:v>2.5164296498508452</c:v>
                </c:pt>
                <c:pt idx="1">
                  <c:v>2.1681106757026658</c:v>
                </c:pt>
                <c:pt idx="2">
                  <c:v>2.3618661121023545</c:v>
                </c:pt>
                <c:pt idx="3">
                  <c:v>2.6918911642423904</c:v>
                </c:pt>
                <c:pt idx="4">
                  <c:v>2.4334989120752724</c:v>
                </c:pt>
                <c:pt idx="5">
                  <c:v>1.9691089871408007</c:v>
                </c:pt>
                <c:pt idx="6">
                  <c:v>2.0712619805709669</c:v>
                </c:pt>
                <c:pt idx="7">
                  <c:v>1.9076183527014858</c:v>
                </c:pt>
                <c:pt idx="8">
                  <c:v>2.5337321871449698</c:v>
                </c:pt>
                <c:pt idx="9">
                  <c:v>1.8548520509735185</c:v>
                </c:pt>
                <c:pt idx="10">
                  <c:v>2.4264420616455706</c:v>
                </c:pt>
                <c:pt idx="11">
                  <c:v>1.9018299064684803</c:v>
                </c:pt>
                <c:pt idx="12">
                  <c:v>1.8565495046872162</c:v>
                </c:pt>
                <c:pt idx="13">
                  <c:v>2.1202846340841672</c:v>
                </c:pt>
              </c:numCache>
            </c:numRef>
          </c:xVal>
          <c:yVal>
            <c:numRef>
              <c:f>'Task 1 Converted AMI PDF Stats'!$AP$99:$AP$112</c:f>
              <c:numCache>
                <c:formatCode>0.000</c:formatCode>
                <c:ptCount val="14"/>
                <c:pt idx="0">
                  <c:v>6.9470019927856113</c:v>
                </c:pt>
                <c:pt idx="1">
                  <c:v>4.7637178780651901</c:v>
                </c:pt>
                <c:pt idx="2">
                  <c:v>5.4043212973905188</c:v>
                </c:pt>
                <c:pt idx="3">
                  <c:v>5.1102989907230443</c:v>
                </c:pt>
                <c:pt idx="4">
                  <c:v>5.5349063254741582</c:v>
                </c:pt>
                <c:pt idx="5">
                  <c:v>3.4536979223994919</c:v>
                </c:pt>
                <c:pt idx="6">
                  <c:v>4.3118150947873977</c:v>
                </c:pt>
                <c:pt idx="7">
                  <c:v>3.2715001919995195</c:v>
                </c:pt>
                <c:pt idx="8">
                  <c:v>4.5737652323698397</c:v>
                </c:pt>
                <c:pt idx="9">
                  <c:v>8.7922159483459321</c:v>
                </c:pt>
                <c:pt idx="10">
                  <c:v>4.645338596545205</c:v>
                </c:pt>
                <c:pt idx="11">
                  <c:v>3.1513255808087179</c:v>
                </c:pt>
                <c:pt idx="12">
                  <c:v>3.0582320245391901</c:v>
                </c:pt>
                <c:pt idx="13">
                  <c:v>3.7120201881654871</c:v>
                </c:pt>
              </c:numCache>
            </c:numRef>
          </c:yVal>
          <c:smooth val="1"/>
          <c:extLst>
            <c:ext xmlns:c16="http://schemas.microsoft.com/office/drawing/2014/chart" uri="{C3380CC4-5D6E-409C-BE32-E72D297353CC}">
              <c16:uniqueId val="{00000003-71DF-4F57-96C2-B1632251ABC2}"/>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2577124639160184"/>
                  <c:y val="-0.1250514219846807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Stats'!$AA$113:$AA$276</c:f>
              <c:numCache>
                <c:formatCode>0.000</c:formatCode>
                <c:ptCount val="164"/>
                <c:pt idx="3">
                  <c:v>2.6802024507205884</c:v>
                </c:pt>
                <c:pt idx="4">
                  <c:v>2.6802024507205884</c:v>
                </c:pt>
                <c:pt idx="5">
                  <c:v>2.2598042570673593</c:v>
                </c:pt>
                <c:pt idx="6">
                  <c:v>1.9586239398603837</c:v>
                </c:pt>
                <c:pt idx="7">
                  <c:v>1.8617191553991561</c:v>
                </c:pt>
                <c:pt idx="9">
                  <c:v>3.1776254911569746</c:v>
                </c:pt>
                <c:pt idx="10">
                  <c:v>3.76297755531747</c:v>
                </c:pt>
                <c:pt idx="11">
                  <c:v>1.5549156853163308</c:v>
                </c:pt>
                <c:pt idx="12">
                  <c:v>4.1575285703645211</c:v>
                </c:pt>
                <c:pt idx="13">
                  <c:v>1.8823236253715079</c:v>
                </c:pt>
                <c:pt idx="14">
                  <c:v>1.7959765430568075</c:v>
                </c:pt>
                <c:pt idx="15">
                  <c:v>1.8729813961089876</c:v>
                </c:pt>
                <c:pt idx="17">
                  <c:v>1.6208298841151914</c:v>
                </c:pt>
                <c:pt idx="18">
                  <c:v>2.0073595498509755</c:v>
                </c:pt>
                <c:pt idx="19">
                  <c:v>2.3538306493316821</c:v>
                </c:pt>
                <c:pt idx="20">
                  <c:v>1.8010891385630652</c:v>
                </c:pt>
                <c:pt idx="21">
                  <c:v>2.1143220322262066</c:v>
                </c:pt>
                <c:pt idx="22">
                  <c:v>1.9429279842221934</c:v>
                </c:pt>
                <c:pt idx="23">
                  <c:v>1.7081986096172024</c:v>
                </c:pt>
                <c:pt idx="24">
                  <c:v>1.9393531043942926</c:v>
                </c:pt>
                <c:pt idx="25">
                  <c:v>1.3963342351638905</c:v>
                </c:pt>
                <c:pt idx="26">
                  <c:v>2.0906896664797538</c:v>
                </c:pt>
                <c:pt idx="27">
                  <c:v>2.4778544195315599</c:v>
                </c:pt>
                <c:pt idx="28">
                  <c:v>2.4733937933183427</c:v>
                </c:pt>
                <c:pt idx="30">
                  <c:v>1.7761637979443932</c:v>
                </c:pt>
                <c:pt idx="31">
                  <c:v>2.0060533812652697</c:v>
                </c:pt>
                <c:pt idx="32">
                  <c:v>2.3146769783830035</c:v>
                </c:pt>
                <c:pt idx="33">
                  <c:v>2.0025184533971014</c:v>
                </c:pt>
                <c:pt idx="34">
                  <c:v>3.4658973231872907</c:v>
                </c:pt>
                <c:pt idx="35">
                  <c:v>1.6174187508207356</c:v>
                </c:pt>
                <c:pt idx="36">
                  <c:v>2.0759123139622355</c:v>
                </c:pt>
                <c:pt idx="37">
                  <c:v>1.0763989776100482</c:v>
                </c:pt>
                <c:pt idx="38">
                  <c:v>1.3839415426414903</c:v>
                </c:pt>
                <c:pt idx="39">
                  <c:v>1.5324374711227635</c:v>
                </c:pt>
                <c:pt idx="40">
                  <c:v>1.5324374711227635</c:v>
                </c:pt>
                <c:pt idx="41">
                  <c:v>2.2986562066841452</c:v>
                </c:pt>
                <c:pt idx="42">
                  <c:v>1.9123083556889577</c:v>
                </c:pt>
                <c:pt idx="43">
                  <c:v>1.9091078134426536</c:v>
                </c:pt>
                <c:pt idx="44">
                  <c:v>1.680014875829535</c:v>
                </c:pt>
                <c:pt idx="45">
                  <c:v>2.0550426927633425</c:v>
                </c:pt>
                <c:pt idx="46">
                  <c:v>2.2760029008790399</c:v>
                </c:pt>
                <c:pt idx="47">
                  <c:v>1.2876796073825534</c:v>
                </c:pt>
                <c:pt idx="48">
                  <c:v>1.8906572782012951</c:v>
                </c:pt>
                <c:pt idx="49">
                  <c:v>2.2548254098171179</c:v>
                </c:pt>
                <c:pt idx="50">
                  <c:v>1.8038603278536942</c:v>
                </c:pt>
                <c:pt idx="51">
                  <c:v>2.2548254098171179</c:v>
                </c:pt>
                <c:pt idx="52">
                  <c:v>2.0889698459545594</c:v>
                </c:pt>
                <c:pt idx="53">
                  <c:v>2.2381819778084564</c:v>
                </c:pt>
                <c:pt idx="54">
                  <c:v>1.7905455822467651</c:v>
                </c:pt>
                <c:pt idx="55">
                  <c:v>1.8651516481737136</c:v>
                </c:pt>
                <c:pt idx="56">
                  <c:v>2.611212307443199</c:v>
                </c:pt>
                <c:pt idx="57">
                  <c:v>1.7905455822467651</c:v>
                </c:pt>
                <c:pt idx="58">
                  <c:v>2.3839515594120546</c:v>
                </c:pt>
                <c:pt idx="59">
                  <c:v>1.7110156116268747</c:v>
                </c:pt>
                <c:pt idx="60">
                  <c:v>3.1156493672098629</c:v>
                </c:pt>
                <c:pt idx="61">
                  <c:v>2.0742046494229696</c:v>
                </c:pt>
                <c:pt idx="62">
                  <c:v>1.6297322245466188</c:v>
                </c:pt>
                <c:pt idx="63">
                  <c:v>2.339105801127324</c:v>
                </c:pt>
                <c:pt idx="64">
                  <c:v>1.5350381819898062</c:v>
                </c:pt>
                <c:pt idx="65">
                  <c:v>1.5350381819898062</c:v>
                </c:pt>
                <c:pt idx="66">
                  <c:v>1.6727619818384931</c:v>
                </c:pt>
                <c:pt idx="67">
                  <c:v>2.324438874018226</c:v>
                </c:pt>
                <c:pt idx="68">
                  <c:v>2.3159396795747824</c:v>
                </c:pt>
                <c:pt idx="69">
                  <c:v>1.800731925644989</c:v>
                </c:pt>
                <c:pt idx="70">
                  <c:v>2.8778032463507612</c:v>
                </c:pt>
                <c:pt idx="71">
                  <c:v>1.5791320941764508</c:v>
                </c:pt>
                <c:pt idx="72">
                  <c:v>1.5056277082119847</c:v>
                </c:pt>
                <c:pt idx="73">
                  <c:v>1.882409870952791</c:v>
                </c:pt>
                <c:pt idx="74">
                  <c:v>1.7168198878166423</c:v>
                </c:pt>
                <c:pt idx="75">
                  <c:v>1.9984805899948046</c:v>
                </c:pt>
                <c:pt idx="76">
                  <c:v>0.78083843416373422</c:v>
                </c:pt>
                <c:pt idx="77">
                  <c:v>2.0574693712342165</c:v>
                </c:pt>
                <c:pt idx="78">
                  <c:v>1.409292929290979</c:v>
                </c:pt>
                <c:pt idx="79">
                  <c:v>1.409292929290979</c:v>
                </c:pt>
                <c:pt idx="80">
                  <c:v>1.2644906648138352</c:v>
                </c:pt>
                <c:pt idx="81">
                  <c:v>2.0311261489831538</c:v>
                </c:pt>
                <c:pt idx="82">
                  <c:v>1.6776197665672301</c:v>
                </c:pt>
                <c:pt idx="83">
                  <c:v>1.957223060995102</c:v>
                </c:pt>
                <c:pt idx="84">
                  <c:v>1.5378181193532943</c:v>
                </c:pt>
                <c:pt idx="85">
                  <c:v>1.9386662966524508</c:v>
                </c:pt>
                <c:pt idx="86">
                  <c:v>1.52323780451264</c:v>
                </c:pt>
                <c:pt idx="87">
                  <c:v>1.5924758865359419</c:v>
                </c:pt>
                <c:pt idx="88">
                  <c:v>2.2848567067689602</c:v>
                </c:pt>
                <c:pt idx="89">
                  <c:v>2.2848567067689602</c:v>
                </c:pt>
                <c:pt idx="90">
                  <c:v>1.7293544904966767</c:v>
                </c:pt>
                <c:pt idx="91">
                  <c:v>1.8526580894601548</c:v>
                </c:pt>
                <c:pt idx="92">
                  <c:v>1.7154241569075506</c:v>
                </c:pt>
                <c:pt idx="93">
                  <c:v>1.9212750557364568</c:v>
                </c:pt>
                <c:pt idx="94">
                  <c:v>1.6396931646346868</c:v>
                </c:pt>
                <c:pt idx="95">
                  <c:v>1.8446548102140228</c:v>
                </c:pt>
                <c:pt idx="96">
                  <c:v>2.3912191984255853</c:v>
                </c:pt>
                <c:pt idx="97">
                  <c:v>1.7763342616875775</c:v>
                </c:pt>
                <c:pt idx="98">
                  <c:v>2.1770517808483403</c:v>
                </c:pt>
                <c:pt idx="99">
                  <c:v>1.8368874400907873</c:v>
                </c:pt>
                <c:pt idx="100">
                  <c:v>1.9680634897383829</c:v>
                </c:pt>
                <c:pt idx="101">
                  <c:v>2.5643117788539844</c:v>
                </c:pt>
                <c:pt idx="102">
                  <c:v>2.0244566675163038</c:v>
                </c:pt>
                <c:pt idx="103">
                  <c:v>2.2269023342679342</c:v>
                </c:pt>
                <c:pt idx="104">
                  <c:v>2.0244566675163038</c:v>
                </c:pt>
                <c:pt idx="105">
                  <c:v>2.4950246721546208</c:v>
                </c:pt>
                <c:pt idx="106">
                  <c:v>2.0118809829277482</c:v>
                </c:pt>
                <c:pt idx="107">
                  <c:v>2.6705860337166438</c:v>
                </c:pt>
                <c:pt idx="108">
                  <c:v>1.8530898499058128</c:v>
                </c:pt>
                <c:pt idx="109">
                  <c:v>2.2766570071014969</c:v>
                </c:pt>
                <c:pt idx="110">
                  <c:v>1.9731072260069775</c:v>
                </c:pt>
                <c:pt idx="111">
                  <c:v>1.9730201130755749</c:v>
                </c:pt>
                <c:pt idx="112">
                  <c:v>1.5076306139641289</c:v>
                </c:pt>
                <c:pt idx="113">
                  <c:v>1.3109831425775034</c:v>
                </c:pt>
                <c:pt idx="114">
                  <c:v>2.6786600858231666</c:v>
                </c:pt>
                <c:pt idx="115">
                  <c:v>2.2792725810519925</c:v>
                </c:pt>
                <c:pt idx="116">
                  <c:v>1.9536622123302794</c:v>
                </c:pt>
                <c:pt idx="117">
                  <c:v>1.4301479005109514</c:v>
                </c:pt>
                <c:pt idx="118">
                  <c:v>1.6899395487665885</c:v>
                </c:pt>
                <c:pt idx="119">
                  <c:v>1.6221444697088605</c:v>
                </c:pt>
                <c:pt idx="120">
                  <c:v>1.4237022341151575</c:v>
                </c:pt>
                <c:pt idx="121">
                  <c:v>1.7699287060588778</c:v>
                </c:pt>
                <c:pt idx="122">
                  <c:v>1.2771232080101127</c:v>
                </c:pt>
                <c:pt idx="123">
                  <c:v>1.4576884456091312</c:v>
                </c:pt>
                <c:pt idx="124">
                  <c:v>1.0070367397715221</c:v>
                </c:pt>
                <c:pt idx="125">
                  <c:v>0.93877759365255919</c:v>
                </c:pt>
                <c:pt idx="126">
                  <c:v>2.1860868556917641</c:v>
                </c:pt>
                <c:pt idx="127">
                  <c:v>1.4097421406623807</c:v>
                </c:pt>
                <c:pt idx="128">
                  <c:v>1.4703807561331417</c:v>
                </c:pt>
                <c:pt idx="129">
                  <c:v>1.8686088775858676</c:v>
                </c:pt>
                <c:pt idx="130">
                  <c:v>1.8686088775858676</c:v>
                </c:pt>
                <c:pt idx="131">
                  <c:v>1.7154442154886655</c:v>
                </c:pt>
                <c:pt idx="132">
                  <c:v>2.1433888450344658</c:v>
                </c:pt>
                <c:pt idx="133">
                  <c:v>2.1433537244301895</c:v>
                </c:pt>
                <c:pt idx="134">
                  <c:v>1.2592938063436692</c:v>
                </c:pt>
                <c:pt idx="135">
                  <c:v>1.2199545575994333</c:v>
                </c:pt>
                <c:pt idx="136">
                  <c:v>1.5249431969992915</c:v>
                </c:pt>
                <c:pt idx="137">
                  <c:v>1.399933849411664</c:v>
                </c:pt>
                <c:pt idx="138">
                  <c:v>2.4308610880995074</c:v>
                </c:pt>
                <c:pt idx="139">
                  <c:v>1.2122079005518309</c:v>
                </c:pt>
                <c:pt idx="140">
                  <c:v>1.4812744270880982</c:v>
                </c:pt>
                <c:pt idx="141">
                  <c:v>1.3883137968971084</c:v>
                </c:pt>
                <c:pt idx="142">
                  <c:v>1.6813511161766443</c:v>
                </c:pt>
                <c:pt idx="143">
                  <c:v>1.3200234270602176</c:v>
                </c:pt>
                <c:pt idx="144">
                  <c:v>1.3773369753307438</c:v>
                </c:pt>
                <c:pt idx="145">
                  <c:v>2.5018619898609304</c:v>
                </c:pt>
                <c:pt idx="146">
                  <c:v>1.4284966020768219</c:v>
                </c:pt>
                <c:pt idx="147">
                  <c:v>1.6064589164368892</c:v>
                </c:pt>
                <c:pt idx="148">
                  <c:v>1.6064589164368892</c:v>
                </c:pt>
                <c:pt idx="149">
                  <c:v>1.7829655373142002</c:v>
                </c:pt>
                <c:pt idx="150">
                  <c:v>1.5452367990056399</c:v>
                </c:pt>
                <c:pt idx="151">
                  <c:v>1.4135768359906165</c:v>
                </c:pt>
                <c:pt idx="152">
                  <c:v>1.7638899870489388</c:v>
                </c:pt>
                <c:pt idx="153">
                  <c:v>1.2935193238358884</c:v>
                </c:pt>
                <c:pt idx="154">
                  <c:v>1.8175717475343196</c:v>
                </c:pt>
                <c:pt idx="155">
                  <c:v>1.6406494518428532</c:v>
                </c:pt>
                <c:pt idx="156">
                  <c:v>2.2227933120098866</c:v>
                </c:pt>
                <c:pt idx="157">
                  <c:v>1.1679532012258913</c:v>
                </c:pt>
                <c:pt idx="158">
                  <c:v>0.8674991552130713</c:v>
                </c:pt>
                <c:pt idx="159">
                  <c:v>0.86347338365293536</c:v>
                </c:pt>
                <c:pt idx="160">
                  <c:v>0.86216010728212789</c:v>
                </c:pt>
                <c:pt idx="161">
                  <c:v>1.3773770980749882</c:v>
                </c:pt>
                <c:pt idx="162">
                  <c:v>1.4347678104947794</c:v>
                </c:pt>
                <c:pt idx="163">
                  <c:v>1.3672996077231514</c:v>
                </c:pt>
              </c:numCache>
            </c:numRef>
          </c:xVal>
          <c:yVal>
            <c:numRef>
              <c:f>'Task 1 Converted AMI PDF Stats'!$AP$113:$AP$276</c:f>
              <c:numCache>
                <c:formatCode>0.000</c:formatCode>
                <c:ptCount val="164"/>
                <c:pt idx="3">
                  <c:v>3.5597193589146765</c:v>
                </c:pt>
                <c:pt idx="4">
                  <c:v>3.7080409988694547</c:v>
                </c:pt>
                <c:pt idx="5">
                  <c:v>1.7895699074557889</c:v>
                </c:pt>
                <c:pt idx="6">
                  <c:v>1.6019596523971911</c:v>
                </c:pt>
                <c:pt idx="7">
                  <c:v>3.17518302887725</c:v>
                </c:pt>
                <c:pt idx="9">
                  <c:v>4.5658733491680739</c:v>
                </c:pt>
                <c:pt idx="10">
                  <c:v>8.6012071027133814</c:v>
                </c:pt>
                <c:pt idx="11">
                  <c:v>3.4730059746431201</c:v>
                </c:pt>
                <c:pt idx="12">
                  <c:v>12.205487587219213</c:v>
                </c:pt>
                <c:pt idx="13">
                  <c:v>3.6883915508412577</c:v>
                </c:pt>
                <c:pt idx="14">
                  <c:v>3.2768187504638311</c:v>
                </c:pt>
                <c:pt idx="15">
                  <c:v>3.8001609917758414</c:v>
                </c:pt>
                <c:pt idx="17">
                  <c:v>1.334370704994293</c:v>
                </c:pt>
                <c:pt idx="18">
                  <c:v>3.2328099876611787</c:v>
                </c:pt>
                <c:pt idx="19">
                  <c:v>3.2326511272195249</c:v>
                </c:pt>
                <c:pt idx="20">
                  <c:v>2.647267824201244</c:v>
                </c:pt>
                <c:pt idx="21">
                  <c:v>4.0800002332850767</c:v>
                </c:pt>
                <c:pt idx="22">
                  <c:v>3.753437114663531</c:v>
                </c:pt>
                <c:pt idx="23">
                  <c:v>4.3069851044773317</c:v>
                </c:pt>
                <c:pt idx="24">
                  <c:v>3.7224667661815141</c:v>
                </c:pt>
                <c:pt idx="25">
                  <c:v>1.2732312339240626</c:v>
                </c:pt>
                <c:pt idx="26">
                  <c:v>4.2999899099462704</c:v>
                </c:pt>
                <c:pt idx="27">
                  <c:v>4.768480225952767</c:v>
                </c:pt>
                <c:pt idx="28">
                  <c:v>5.4148350480639085</c:v>
                </c:pt>
                <c:pt idx="30">
                  <c:v>6.1901364004168373</c:v>
                </c:pt>
                <c:pt idx="31">
                  <c:v>3.0523009239283598</c:v>
                </c:pt>
                <c:pt idx="32">
                  <c:v>7.0577915704908198</c:v>
                </c:pt>
                <c:pt idx="33">
                  <c:v>3.9698915653784006</c:v>
                </c:pt>
                <c:pt idx="34">
                  <c:v>7.502377284784953</c:v>
                </c:pt>
                <c:pt idx="35">
                  <c:v>2.0891508799367688</c:v>
                </c:pt>
                <c:pt idx="36">
                  <c:v>3.1967959167508133</c:v>
                </c:pt>
                <c:pt idx="37">
                  <c:v>1.3047362223414447</c:v>
                </c:pt>
                <c:pt idx="38">
                  <c:v>0.66303915310387251</c:v>
                </c:pt>
                <c:pt idx="39">
                  <c:v>2.4366769395547965</c:v>
                </c:pt>
                <c:pt idx="40">
                  <c:v>2.172231380223268</c:v>
                </c:pt>
                <c:pt idx="41">
                  <c:v>3.2748320577594039</c:v>
                </c:pt>
                <c:pt idx="42">
                  <c:v>3.5772496560722358</c:v>
                </c:pt>
                <c:pt idx="43">
                  <c:v>7.5596157344511399</c:v>
                </c:pt>
                <c:pt idx="44">
                  <c:v>2.4441795286304751</c:v>
                </c:pt>
                <c:pt idx="45">
                  <c:v>4.941303918300548</c:v>
                </c:pt>
                <c:pt idx="46">
                  <c:v>3.6025835530439863</c:v>
                </c:pt>
                <c:pt idx="47">
                  <c:v>3.0067371174092408</c:v>
                </c:pt>
                <c:pt idx="48">
                  <c:v>5.7043066525044877</c:v>
                </c:pt>
                <c:pt idx="49">
                  <c:v>3.2967932830361719</c:v>
                </c:pt>
                <c:pt idx="50">
                  <c:v>3.0401396984213127</c:v>
                </c:pt>
                <c:pt idx="51">
                  <c:v>4.8043995067693199</c:v>
                </c:pt>
                <c:pt idx="52">
                  <c:v>2.5095018448837507</c:v>
                </c:pt>
                <c:pt idx="53">
                  <c:v>6.9122780188179487</c:v>
                </c:pt>
                <c:pt idx="54">
                  <c:v>2.014890876533181</c:v>
                </c:pt>
                <c:pt idx="55">
                  <c:v>1.9936355029013058</c:v>
                </c:pt>
                <c:pt idx="56">
                  <c:v>5.0371010588411824</c:v>
                </c:pt>
                <c:pt idx="57">
                  <c:v>2.6667673365880336</c:v>
                </c:pt>
                <c:pt idx="58">
                  <c:v>4.3641326557500477</c:v>
                </c:pt>
                <c:pt idx="59">
                  <c:v>2.0624582347350282</c:v>
                </c:pt>
                <c:pt idx="60">
                  <c:v>5.0038123909740584</c:v>
                </c:pt>
                <c:pt idx="61">
                  <c:v>3.1804216266542529</c:v>
                </c:pt>
                <c:pt idx="62">
                  <c:v>1.3802826527009193</c:v>
                </c:pt>
                <c:pt idx="63">
                  <c:v>3.8262471625278152</c:v>
                </c:pt>
                <c:pt idx="64">
                  <c:v>4.9960276536045365</c:v>
                </c:pt>
                <c:pt idx="65">
                  <c:v>2.0580227550359593</c:v>
                </c:pt>
                <c:pt idx="66">
                  <c:v>2.0965978969128205</c:v>
                </c:pt>
                <c:pt idx="67">
                  <c:v>3.1297411590223567</c:v>
                </c:pt>
                <c:pt idx="68">
                  <c:v>3.8391491550674242</c:v>
                </c:pt>
                <c:pt idx="69">
                  <c:v>1.414255822494787</c:v>
                </c:pt>
                <c:pt idx="70">
                  <c:v>10.874448797714557</c:v>
                </c:pt>
                <c:pt idx="71">
                  <c:v>1.3216799522912031</c:v>
                </c:pt>
                <c:pt idx="72">
                  <c:v>1.91613888232198</c:v>
                </c:pt>
                <c:pt idx="73">
                  <c:v>2.8453667349760323</c:v>
                </c:pt>
                <c:pt idx="74">
                  <c:v>3.6860890423776391</c:v>
                </c:pt>
                <c:pt idx="75">
                  <c:v>3.351018955287048</c:v>
                </c:pt>
                <c:pt idx="76">
                  <c:v>3.8918772805848745</c:v>
                </c:pt>
                <c:pt idx="77">
                  <c:v>3.7607389986182236</c:v>
                </c:pt>
                <c:pt idx="78">
                  <c:v>2.7126603415728536</c:v>
                </c:pt>
                <c:pt idx="79">
                  <c:v>1.7385686734626018</c:v>
                </c:pt>
                <c:pt idx="80">
                  <c:v>1.2908872400459817</c:v>
                </c:pt>
                <c:pt idx="81">
                  <c:v>3.640881693397533</c:v>
                </c:pt>
                <c:pt idx="82">
                  <c:v>2.1411189339462195</c:v>
                </c:pt>
                <c:pt idx="83">
                  <c:v>2.5031096135704765</c:v>
                </c:pt>
                <c:pt idx="84">
                  <c:v>0.87210696800481036</c:v>
                </c:pt>
                <c:pt idx="85">
                  <c:v>3.4021138211382111</c:v>
                </c:pt>
                <c:pt idx="86">
                  <c:v>1.8468147557748922</c:v>
                </c:pt>
                <c:pt idx="87">
                  <c:v>1.7448170643634087</c:v>
                </c:pt>
                <c:pt idx="88">
                  <c:v>6.1658010055768706</c:v>
                </c:pt>
                <c:pt idx="89">
                  <c:v>4.8278726780300305</c:v>
                </c:pt>
                <c:pt idx="90">
                  <c:v>2.9702719920111225</c:v>
                </c:pt>
                <c:pt idx="91">
                  <c:v>6.7699525636531881</c:v>
                </c:pt>
                <c:pt idx="92">
                  <c:v>3.192945550729827</c:v>
                </c:pt>
                <c:pt idx="93">
                  <c:v>4.0331433671340156</c:v>
                </c:pt>
                <c:pt idx="94">
                  <c:v>3.5239294504337093</c:v>
                </c:pt>
                <c:pt idx="95">
                  <c:v>3.0761443962171637</c:v>
                </c:pt>
                <c:pt idx="96">
                  <c:v>5.0410663080577294</c:v>
                </c:pt>
                <c:pt idx="97">
                  <c:v>3.526272406421171</c:v>
                </c:pt>
                <c:pt idx="98">
                  <c:v>4.0680818546145767</c:v>
                </c:pt>
                <c:pt idx="99">
                  <c:v>3.8196115595881102</c:v>
                </c:pt>
                <c:pt idx="100">
                  <c:v>6.098779866345784</c:v>
                </c:pt>
                <c:pt idx="101">
                  <c:v>4.9272166946546117</c:v>
                </c:pt>
                <c:pt idx="102">
                  <c:v>3.8755406932243406</c:v>
                </c:pt>
                <c:pt idx="103">
                  <c:v>5.324730248719824</c:v>
                </c:pt>
                <c:pt idx="104">
                  <c:v>4.0893752399993994</c:v>
                </c:pt>
                <c:pt idx="105">
                  <c:v>3.6288362610408313</c:v>
                </c:pt>
                <c:pt idx="106">
                  <c:v>4.7081825334382374</c:v>
                </c:pt>
                <c:pt idx="107">
                  <c:v>4.3762440034906067</c:v>
                </c:pt>
                <c:pt idx="108">
                  <c:v>6.2888247842837588</c:v>
                </c:pt>
                <c:pt idx="109">
                  <c:v>4.6457181272409063</c:v>
                </c:pt>
                <c:pt idx="110">
                  <c:v>4.7922037464453782</c:v>
                </c:pt>
                <c:pt idx="112">
                  <c:v>1.9637269830867807</c:v>
                </c:pt>
                <c:pt idx="113">
                  <c:v>1.6841509140577233</c:v>
                </c:pt>
                <c:pt idx="114">
                  <c:v>5.3358605186614172</c:v>
                </c:pt>
                <c:pt idx="115">
                  <c:v>3.9382529475035901</c:v>
                </c:pt>
                <c:pt idx="116">
                  <c:v>4.1582024043036645</c:v>
                </c:pt>
                <c:pt idx="118">
                  <c:v>3.186727474610541</c:v>
                </c:pt>
                <c:pt idx="119">
                  <c:v>2.3813547274579232</c:v>
                </c:pt>
                <c:pt idx="120">
                  <c:v>1.5644431457070753</c:v>
                </c:pt>
                <c:pt idx="121">
                  <c:v>6.0540313253542504</c:v>
                </c:pt>
                <c:pt idx="122">
                  <c:v>2.6368291547516121</c:v>
                </c:pt>
                <c:pt idx="123">
                  <c:v>3.7392081794944612</c:v>
                </c:pt>
                <c:pt idx="124">
                  <c:v>1.3679107051455262</c:v>
                </c:pt>
                <c:pt idx="125">
                  <c:v>2.3867021816733849</c:v>
                </c:pt>
                <c:pt idx="126">
                  <c:v>3.8284988623712031</c:v>
                </c:pt>
                <c:pt idx="127">
                  <c:v>2.7429837224069318</c:v>
                </c:pt>
                <c:pt idx="128">
                  <c:v>2.4098971711362793</c:v>
                </c:pt>
                <c:pt idx="129">
                  <c:v>8.4109208689533776</c:v>
                </c:pt>
                <c:pt idx="130">
                  <c:v>8.4109208689533776</c:v>
                </c:pt>
                <c:pt idx="131">
                  <c:v>2.4111183173083792</c:v>
                </c:pt>
                <c:pt idx="132">
                  <c:v>2.8765771165466472</c:v>
                </c:pt>
                <c:pt idx="133">
                  <c:v>2.840953172573661</c:v>
                </c:pt>
                <c:pt idx="134">
                  <c:v>2.9054237778841996</c:v>
                </c:pt>
                <c:pt idx="135">
                  <c:v>2.4683844983141201</c:v>
                </c:pt>
                <c:pt idx="136">
                  <c:v>2.1254308410584253</c:v>
                </c:pt>
                <c:pt idx="137">
                  <c:v>2.2267903881869668</c:v>
                </c:pt>
                <c:pt idx="138">
                  <c:v>5.5009144429347652</c:v>
                </c:pt>
                <c:pt idx="139">
                  <c:v>1.9840497362888907</c:v>
                </c:pt>
                <c:pt idx="140">
                  <c:v>2.5461728102090784</c:v>
                </c:pt>
                <c:pt idx="141">
                  <c:v>4.0446373078344271</c:v>
                </c:pt>
                <c:pt idx="142">
                  <c:v>3.3577250989998948</c:v>
                </c:pt>
                <c:pt idx="143">
                  <c:v>1.7364603382307051</c:v>
                </c:pt>
                <c:pt idx="144">
                  <c:v>3.899117357471011</c:v>
                </c:pt>
                <c:pt idx="145">
                  <c:v>6.0367186435640292</c:v>
                </c:pt>
                <c:pt idx="146">
                  <c:v>2.6244362806176995</c:v>
                </c:pt>
                <c:pt idx="147">
                  <c:v>3.181482152361641</c:v>
                </c:pt>
                <c:pt idx="148">
                  <c:v>3.181482152361641</c:v>
                </c:pt>
                <c:pt idx="149">
                  <c:v>7.0321252930543201</c:v>
                </c:pt>
                <c:pt idx="150">
                  <c:v>6.0445617121078863</c:v>
                </c:pt>
                <c:pt idx="151">
                  <c:v>2.8002120762669209</c:v>
                </c:pt>
                <c:pt idx="152">
                  <c:v>3.9665122327887503</c:v>
                </c:pt>
                <c:pt idx="155">
                  <c:v>3.5510566990312782</c:v>
                </c:pt>
                <c:pt idx="156">
                  <c:v>3.7688617091519001</c:v>
                </c:pt>
                <c:pt idx="157">
                  <c:v>1.5808043948559751</c:v>
                </c:pt>
                <c:pt idx="158">
                  <c:v>3.8254285047882584</c:v>
                </c:pt>
                <c:pt idx="159">
                  <c:v>3.5257265326284508</c:v>
                </c:pt>
                <c:pt idx="160">
                  <c:v>3.5580726476066933</c:v>
                </c:pt>
                <c:pt idx="161">
                  <c:v>2.7443564051561107</c:v>
                </c:pt>
                <c:pt idx="162">
                  <c:v>2.9422700389525791</c:v>
                </c:pt>
                <c:pt idx="163">
                  <c:v>2.3293343087051941</c:v>
                </c:pt>
              </c:numCache>
            </c:numRef>
          </c:yVal>
          <c:smooth val="1"/>
          <c:extLst>
            <c:ext xmlns:c16="http://schemas.microsoft.com/office/drawing/2014/chart" uri="{C3380CC4-5D6E-409C-BE32-E72D297353CC}">
              <c16:uniqueId val="{00000004-71DF-4F57-96C2-B1632251ABC2}"/>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Stats'!$AA$283</c:f>
              <c:numCache>
                <c:formatCode>0.000</c:formatCode>
                <c:ptCount val="1"/>
                <c:pt idx="0">
                  <c:v>1.9450834864481774</c:v>
                </c:pt>
              </c:numCache>
            </c:numRef>
          </c:xVal>
          <c:yVal>
            <c:numRef>
              <c:f>'Task 1 Converted AMI PDF Stats'!$AP$283</c:f>
              <c:numCache>
                <c:formatCode>0.000</c:formatCode>
                <c:ptCount val="1"/>
                <c:pt idx="0">
                  <c:v>3.0165924785224685</c:v>
                </c:pt>
              </c:numCache>
            </c:numRef>
          </c:yVal>
          <c:smooth val="1"/>
          <c:extLst>
            <c:ext xmlns:c16="http://schemas.microsoft.com/office/drawing/2014/chart" uri="{C3380CC4-5D6E-409C-BE32-E72D297353CC}">
              <c16:uniqueId val="{00000005-71DF-4F57-96C2-B1632251ABC2}"/>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Stats'!$AA$284:$AA$294</c:f>
              <c:numCache>
                <c:formatCode>0.000</c:formatCode>
                <c:ptCount val="11"/>
                <c:pt idx="3">
                  <c:v>1.6221444697088605</c:v>
                </c:pt>
                <c:pt idx="6">
                  <c:v>1.9731072260069775</c:v>
                </c:pt>
                <c:pt idx="7">
                  <c:v>1.7699287060588778</c:v>
                </c:pt>
                <c:pt idx="8">
                  <c:v>2.1860868556917641</c:v>
                </c:pt>
                <c:pt idx="9">
                  <c:v>2.0311261489831538</c:v>
                </c:pt>
                <c:pt idx="10">
                  <c:v>1.9386662966524508</c:v>
                </c:pt>
              </c:numCache>
            </c:numRef>
          </c:xVal>
          <c:yVal>
            <c:numRef>
              <c:f>'Task 1 Converted AMI PDF Stats'!$AP$284:$AP$294</c:f>
              <c:numCache>
                <c:formatCode>0.000</c:formatCode>
                <c:ptCount val="11"/>
                <c:pt idx="3">
                  <c:v>2.3813547274579232</c:v>
                </c:pt>
                <c:pt idx="6">
                  <c:v>4.7922037464453782</c:v>
                </c:pt>
                <c:pt idx="7">
                  <c:v>6.0540313253542504</c:v>
                </c:pt>
                <c:pt idx="8">
                  <c:v>3.8284988623712031</c:v>
                </c:pt>
                <c:pt idx="9">
                  <c:v>3.640881693397533</c:v>
                </c:pt>
                <c:pt idx="10">
                  <c:v>3.4021138211382111</c:v>
                </c:pt>
              </c:numCache>
            </c:numRef>
          </c:yVal>
          <c:smooth val="1"/>
          <c:extLst>
            <c:ext xmlns:c16="http://schemas.microsoft.com/office/drawing/2014/chart" uri="{C3380CC4-5D6E-409C-BE32-E72D297353CC}">
              <c16:uniqueId val="{00000006-71DF-4F57-96C2-B1632251ABC2}"/>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Stats'!$AA$295:$AA$298</c:f>
              <c:numCache>
                <c:formatCode>0.000</c:formatCode>
                <c:ptCount val="4"/>
                <c:pt idx="0">
                  <c:v>2.5337321871449698</c:v>
                </c:pt>
                <c:pt idx="1">
                  <c:v>1.9691089871408007</c:v>
                </c:pt>
                <c:pt idx="2">
                  <c:v>2.0712619805709669</c:v>
                </c:pt>
                <c:pt idx="3">
                  <c:v>1.9076183527014858</c:v>
                </c:pt>
              </c:numCache>
            </c:numRef>
          </c:xVal>
          <c:yVal>
            <c:numRef>
              <c:f>'Task 1 Converted AMI PDF Stats'!$AP$295:$AP$298</c:f>
              <c:numCache>
                <c:formatCode>0.000</c:formatCode>
                <c:ptCount val="4"/>
                <c:pt idx="0">
                  <c:v>4.5737652323698397</c:v>
                </c:pt>
                <c:pt idx="1">
                  <c:v>3.4536979223994919</c:v>
                </c:pt>
                <c:pt idx="2">
                  <c:v>4.3118150947873977</c:v>
                </c:pt>
                <c:pt idx="3">
                  <c:v>3.2715001919995195</c:v>
                </c:pt>
              </c:numCache>
            </c:numRef>
          </c:yVal>
          <c:smooth val="1"/>
          <c:extLst>
            <c:ext xmlns:c16="http://schemas.microsoft.com/office/drawing/2014/chart" uri="{C3380CC4-5D6E-409C-BE32-E72D297353CC}">
              <c16:uniqueId val="{00000007-71DF-4F57-96C2-B1632251ABC2}"/>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Stats'!$AA$299:$AA$300</c:f>
              <c:numCache>
                <c:formatCode>0.000</c:formatCode>
                <c:ptCount val="2"/>
                <c:pt idx="0">
                  <c:v>2.6048829497737058</c:v>
                </c:pt>
              </c:numCache>
            </c:numRef>
          </c:xVal>
          <c:yVal>
            <c:numRef>
              <c:f>'Task 1 Converted AMI PDF Stats'!$AP$299:$AP$300</c:f>
              <c:numCache>
                <c:formatCode>0.000</c:formatCode>
                <c:ptCount val="2"/>
                <c:pt idx="0">
                  <c:v>7.3538957473984059</c:v>
                </c:pt>
              </c:numCache>
            </c:numRef>
          </c:yVal>
          <c:smooth val="1"/>
          <c:extLst>
            <c:ext xmlns:c16="http://schemas.microsoft.com/office/drawing/2014/chart" uri="{C3380CC4-5D6E-409C-BE32-E72D297353CC}">
              <c16:uniqueId val="{00000008-71DF-4F57-96C2-B1632251ABC2}"/>
            </c:ext>
          </c:extLst>
        </c:ser>
        <c:dLbls>
          <c:showLegendKey val="0"/>
          <c:showVal val="0"/>
          <c:showCatName val="0"/>
          <c:showSerName val="0"/>
          <c:showPercent val="0"/>
          <c:showBubbleSize val="0"/>
        </c:dLbls>
        <c:axId val="727687984"/>
        <c:axId val="1"/>
      </c:scatterChart>
      <c:valAx>
        <c:axId val="727687984"/>
        <c:scaling>
          <c:orientation val="minMax"/>
          <c:min val="0.5"/>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Fnv</a:t>
                </a:r>
              </a:p>
            </c:rich>
          </c:tx>
          <c:layout>
            <c:manualLayout>
              <c:xMode val="edge"/>
              <c:yMode val="edge"/>
              <c:x val="0.39844617092119866"/>
              <c:y val="0.94453507340946163"/>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Mf</a:t>
                </a:r>
              </a:p>
            </c:rich>
          </c:tx>
          <c:layout>
            <c:manualLayout>
              <c:xMode val="edge"/>
              <c:yMode val="edge"/>
              <c:x val="1.3318534961154272E-2"/>
              <c:y val="0.46655791190864598"/>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8798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69256381798002"/>
          <c:y val="0.46982055464926592"/>
          <c:w val="0.21309655937846839"/>
          <c:h val="0.4241435562805872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Admiralty Coefficient vs Volumetric Froude No</a:t>
            </a:r>
          </a:p>
        </c:rich>
      </c:tx>
      <c:layout>
        <c:manualLayout>
          <c:xMode val="edge"/>
          <c:yMode val="edge"/>
          <c:x val="0.30188679245283018"/>
          <c:y val="1.9575856443719411E-2"/>
        </c:manualLayout>
      </c:layout>
      <c:overlay val="0"/>
      <c:spPr>
        <a:noFill/>
        <a:ln w="25400">
          <a:noFill/>
        </a:ln>
      </c:spPr>
    </c:title>
    <c:autoTitleDeleted val="0"/>
    <c:plotArea>
      <c:layout>
        <c:manualLayout>
          <c:layoutTarget val="inner"/>
          <c:xMode val="edge"/>
          <c:yMode val="edge"/>
          <c:x val="7.5471698113207544E-2"/>
          <c:y val="7.01468189233279E-2"/>
          <c:w val="0.68368479467258603"/>
          <c:h val="0.8238172920065253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094227639313273"/>
                  <c:y val="9.0945880707778315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Stats'!$AA$5:$AA$279</c:f>
              <c:numCache>
                <c:formatCode>0.000</c:formatCode>
                <c:ptCount val="275"/>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pt idx="8">
                  <c:v>4.2578781301312683</c:v>
                </c:pt>
                <c:pt idx="9">
                  <c:v>3.3448689380599737</c:v>
                </c:pt>
                <c:pt idx="10">
                  <c:v>2.9771509183214606</c:v>
                </c:pt>
                <c:pt idx="11">
                  <c:v>2.9771509183214606</c:v>
                </c:pt>
                <c:pt idx="12">
                  <c:v>2.999427721161795</c:v>
                </c:pt>
                <c:pt idx="13">
                  <c:v>2.2514270068628797</c:v>
                </c:pt>
                <c:pt idx="14">
                  <c:v>2.3576001141871554</c:v>
                </c:pt>
                <c:pt idx="15">
                  <c:v>2.190112809023498</c:v>
                </c:pt>
                <c:pt idx="16">
                  <c:v>2.1818634545719475</c:v>
                </c:pt>
                <c:pt idx="17">
                  <c:v>2.1818634545719475</c:v>
                </c:pt>
                <c:pt idx="18">
                  <c:v>2.0240101110609023</c:v>
                </c:pt>
                <c:pt idx="19">
                  <c:v>1.800731925644989</c:v>
                </c:pt>
                <c:pt idx="20">
                  <c:v>2.6619680028744539</c:v>
                </c:pt>
                <c:pt idx="21">
                  <c:v>2.6467639937173235</c:v>
                </c:pt>
                <c:pt idx="22">
                  <c:v>2.069854896780333</c:v>
                </c:pt>
                <c:pt idx="23">
                  <c:v>2.2595420483327904</c:v>
                </c:pt>
                <c:pt idx="24">
                  <c:v>2.2595420483327904</c:v>
                </c:pt>
                <c:pt idx="25">
                  <c:v>2.1669255318160054</c:v>
                </c:pt>
                <c:pt idx="26">
                  <c:v>3.1455370623135566</c:v>
                </c:pt>
                <c:pt idx="27">
                  <c:v>2.6086473483748582</c:v>
                </c:pt>
                <c:pt idx="28">
                  <c:v>1.5852204308625291</c:v>
                </c:pt>
                <c:pt idx="29">
                  <c:v>2.8819125836046848</c:v>
                </c:pt>
                <c:pt idx="30">
                  <c:v>2.8819125836046848</c:v>
                </c:pt>
                <c:pt idx="31">
                  <c:v>2.8819125836046848</c:v>
                </c:pt>
                <c:pt idx="32">
                  <c:v>2.371371051549791</c:v>
                </c:pt>
                <c:pt idx="33">
                  <c:v>2.371371051549791</c:v>
                </c:pt>
                <c:pt idx="34">
                  <c:v>2.371371051549791</c:v>
                </c:pt>
                <c:pt idx="35">
                  <c:v>2.371371051549791</c:v>
                </c:pt>
                <c:pt idx="36">
                  <c:v>2.1663529822826906</c:v>
                </c:pt>
                <c:pt idx="37">
                  <c:v>2.3618661121023545</c:v>
                </c:pt>
                <c:pt idx="38">
                  <c:v>2.3618661121023545</c:v>
                </c:pt>
                <c:pt idx="39">
                  <c:v>1.8865102430633052</c:v>
                </c:pt>
                <c:pt idx="40">
                  <c:v>2.4198393639787561</c:v>
                </c:pt>
                <c:pt idx="41">
                  <c:v>1.0673659461753169</c:v>
                </c:pt>
                <c:pt idx="42">
                  <c:v>2.2768845030336466</c:v>
                </c:pt>
                <c:pt idx="43">
                  <c:v>2.1060828598451677</c:v>
                </c:pt>
                <c:pt idx="44">
                  <c:v>2.6308096346759702</c:v>
                </c:pt>
                <c:pt idx="45">
                  <c:v>2.4205018391001354</c:v>
                </c:pt>
                <c:pt idx="46">
                  <c:v>2.2881590271964689</c:v>
                </c:pt>
                <c:pt idx="47">
                  <c:v>2.3846608081108682</c:v>
                </c:pt>
                <c:pt idx="48">
                  <c:v>2.6133269129982115</c:v>
                </c:pt>
                <c:pt idx="49">
                  <c:v>2.6786600858231666</c:v>
                </c:pt>
                <c:pt idx="50">
                  <c:v>2.6065565033135569</c:v>
                </c:pt>
                <c:pt idx="51">
                  <c:v>2.6048829497737058</c:v>
                </c:pt>
                <c:pt idx="52">
                  <c:v>2.4746388022850203</c:v>
                </c:pt>
                <c:pt idx="53">
                  <c:v>2.6048829497737058</c:v>
                </c:pt>
                <c:pt idx="54">
                  <c:v>2.6048829497737058</c:v>
                </c:pt>
                <c:pt idx="55">
                  <c:v>2.3694215380899792</c:v>
                </c:pt>
                <c:pt idx="56">
                  <c:v>2.0123854159120369</c:v>
                </c:pt>
                <c:pt idx="57">
                  <c:v>2.0123854159120369</c:v>
                </c:pt>
                <c:pt idx="58">
                  <c:v>2.3369637088010751</c:v>
                </c:pt>
                <c:pt idx="59">
                  <c:v>2.3369637088010751</c:v>
                </c:pt>
                <c:pt idx="60">
                  <c:v>2.4621711827915069</c:v>
                </c:pt>
                <c:pt idx="61">
                  <c:v>2.5917591397805335</c:v>
                </c:pt>
                <c:pt idx="62">
                  <c:v>2.5917591397805335</c:v>
                </c:pt>
                <c:pt idx="63">
                  <c:v>1.7483518224639953</c:v>
                </c:pt>
                <c:pt idx="64">
                  <c:v>2.6532632544873387</c:v>
                </c:pt>
                <c:pt idx="65">
                  <c:v>2.4591220407443628</c:v>
                </c:pt>
                <c:pt idx="66">
                  <c:v>2.3944083028300378</c:v>
                </c:pt>
                <c:pt idx="67">
                  <c:v>2.4193549999763144</c:v>
                </c:pt>
                <c:pt idx="68">
                  <c:v>2.4650646962888745</c:v>
                </c:pt>
                <c:pt idx="69">
                  <c:v>1.9757254171590406</c:v>
                </c:pt>
                <c:pt idx="70">
                  <c:v>1.8992418100053081</c:v>
                </c:pt>
                <c:pt idx="71">
                  <c:v>1.8267821846579544</c:v>
                </c:pt>
                <c:pt idx="72">
                  <c:v>2.4336286613320408</c:v>
                </c:pt>
                <c:pt idx="73">
                  <c:v>1.8548520509735185</c:v>
                </c:pt>
                <c:pt idx="74">
                  <c:v>1.5805140808096707</c:v>
                </c:pt>
                <c:pt idx="75">
                  <c:v>2.3090039333397643</c:v>
                </c:pt>
                <c:pt idx="76">
                  <c:v>2.3383974386850541</c:v>
                </c:pt>
                <c:pt idx="77">
                  <c:v>2.3100409973553808</c:v>
                </c:pt>
                <c:pt idx="78">
                  <c:v>2.160038335189447</c:v>
                </c:pt>
                <c:pt idx="79">
                  <c:v>1.800031945991206</c:v>
                </c:pt>
                <c:pt idx="80">
                  <c:v>2.2756002201116634</c:v>
                </c:pt>
                <c:pt idx="81">
                  <c:v>2.3953686527491196</c:v>
                </c:pt>
                <c:pt idx="82">
                  <c:v>1.9162949221992955</c:v>
                </c:pt>
                <c:pt idx="83">
                  <c:v>2.2729648881756734</c:v>
                </c:pt>
                <c:pt idx="84">
                  <c:v>2.2703507724055916</c:v>
                </c:pt>
                <c:pt idx="85">
                  <c:v>1.9018299064684803</c:v>
                </c:pt>
                <c:pt idx="86">
                  <c:v>1.7829655373142002</c:v>
                </c:pt>
                <c:pt idx="87">
                  <c:v>1.6474433704258884</c:v>
                </c:pt>
                <c:pt idx="88">
                  <c:v>1.6474433704258884</c:v>
                </c:pt>
                <c:pt idx="89">
                  <c:v>1.6474433704258884</c:v>
                </c:pt>
                <c:pt idx="90">
                  <c:v>1.8176719413792313</c:v>
                </c:pt>
                <c:pt idx="91">
                  <c:v>1.8115371711008192</c:v>
                </c:pt>
                <c:pt idx="92">
                  <c:v>2.184138938448057</c:v>
                </c:pt>
                <c:pt idx="93">
                  <c:v>1.9370077776077976</c:v>
                </c:pt>
                <c:pt idx="94">
                  <c:v>2.5164296498508452</c:v>
                </c:pt>
                <c:pt idx="95">
                  <c:v>2.1681106757026658</c:v>
                </c:pt>
                <c:pt idx="96">
                  <c:v>2.3618661121023545</c:v>
                </c:pt>
                <c:pt idx="97">
                  <c:v>2.6918911642423904</c:v>
                </c:pt>
                <c:pt idx="98">
                  <c:v>2.4334989120752724</c:v>
                </c:pt>
                <c:pt idx="99">
                  <c:v>1.9691089871408007</c:v>
                </c:pt>
                <c:pt idx="100">
                  <c:v>2.0712619805709669</c:v>
                </c:pt>
                <c:pt idx="101">
                  <c:v>1.9076183527014858</c:v>
                </c:pt>
                <c:pt idx="102">
                  <c:v>2.5337321871449698</c:v>
                </c:pt>
                <c:pt idx="103">
                  <c:v>1.8548520509735185</c:v>
                </c:pt>
                <c:pt idx="104">
                  <c:v>2.4264420616455706</c:v>
                </c:pt>
                <c:pt idx="105">
                  <c:v>1.9018299064684803</c:v>
                </c:pt>
                <c:pt idx="106">
                  <c:v>1.8565495046872162</c:v>
                </c:pt>
                <c:pt idx="107">
                  <c:v>2.1202846340841672</c:v>
                </c:pt>
                <c:pt idx="111">
                  <c:v>2.6802024507205884</c:v>
                </c:pt>
                <c:pt idx="112">
                  <c:v>2.6802024507205884</c:v>
                </c:pt>
                <c:pt idx="113">
                  <c:v>2.2598042570673593</c:v>
                </c:pt>
                <c:pt idx="114">
                  <c:v>1.9586239398603837</c:v>
                </c:pt>
                <c:pt idx="115">
                  <c:v>1.8617191553991561</c:v>
                </c:pt>
                <c:pt idx="117">
                  <c:v>3.1776254911569746</c:v>
                </c:pt>
                <c:pt idx="118">
                  <c:v>3.76297755531747</c:v>
                </c:pt>
                <c:pt idx="119">
                  <c:v>1.5549156853163308</c:v>
                </c:pt>
                <c:pt idx="120">
                  <c:v>4.1575285703645211</c:v>
                </c:pt>
                <c:pt idx="121">
                  <c:v>1.8823236253715079</c:v>
                </c:pt>
                <c:pt idx="122">
                  <c:v>1.7959765430568075</c:v>
                </c:pt>
                <c:pt idx="123">
                  <c:v>1.8729813961089876</c:v>
                </c:pt>
                <c:pt idx="125">
                  <c:v>1.6208298841151914</c:v>
                </c:pt>
                <c:pt idx="126">
                  <c:v>2.0073595498509755</c:v>
                </c:pt>
                <c:pt idx="127">
                  <c:v>2.3538306493316821</c:v>
                </c:pt>
                <c:pt idx="128">
                  <c:v>1.8010891385630652</c:v>
                </c:pt>
                <c:pt idx="129">
                  <c:v>2.1143220322262066</c:v>
                </c:pt>
                <c:pt idx="130">
                  <c:v>1.9429279842221934</c:v>
                </c:pt>
                <c:pt idx="131">
                  <c:v>1.7081986096172024</c:v>
                </c:pt>
                <c:pt idx="132">
                  <c:v>1.9393531043942926</c:v>
                </c:pt>
                <c:pt idx="133">
                  <c:v>1.3963342351638905</c:v>
                </c:pt>
                <c:pt idx="134">
                  <c:v>2.0906896664797538</c:v>
                </c:pt>
                <c:pt idx="135">
                  <c:v>2.4778544195315599</c:v>
                </c:pt>
                <c:pt idx="136">
                  <c:v>2.4733937933183427</c:v>
                </c:pt>
                <c:pt idx="138">
                  <c:v>1.7761637979443932</c:v>
                </c:pt>
                <c:pt idx="139">
                  <c:v>2.0060533812652697</c:v>
                </c:pt>
                <c:pt idx="140">
                  <c:v>2.3146769783830035</c:v>
                </c:pt>
                <c:pt idx="141">
                  <c:v>2.0025184533971014</c:v>
                </c:pt>
                <c:pt idx="142">
                  <c:v>3.4658973231872907</c:v>
                </c:pt>
                <c:pt idx="143">
                  <c:v>1.6174187508207356</c:v>
                </c:pt>
                <c:pt idx="144">
                  <c:v>2.0759123139622355</c:v>
                </c:pt>
                <c:pt idx="145">
                  <c:v>1.0763989776100482</c:v>
                </c:pt>
                <c:pt idx="146">
                  <c:v>1.3839415426414903</c:v>
                </c:pt>
                <c:pt idx="147">
                  <c:v>1.5324374711227635</c:v>
                </c:pt>
                <c:pt idx="148">
                  <c:v>1.5324374711227635</c:v>
                </c:pt>
                <c:pt idx="149">
                  <c:v>2.2986562066841452</c:v>
                </c:pt>
                <c:pt idx="150">
                  <c:v>1.9123083556889577</c:v>
                </c:pt>
                <c:pt idx="151">
                  <c:v>1.9091078134426536</c:v>
                </c:pt>
                <c:pt idx="152">
                  <c:v>1.680014875829535</c:v>
                </c:pt>
                <c:pt idx="153">
                  <c:v>2.0550426927633425</c:v>
                </c:pt>
                <c:pt idx="154">
                  <c:v>2.2760029008790399</c:v>
                </c:pt>
                <c:pt idx="155">
                  <c:v>1.2876796073825534</c:v>
                </c:pt>
                <c:pt idx="156">
                  <c:v>1.8906572782012951</c:v>
                </c:pt>
                <c:pt idx="157">
                  <c:v>2.2548254098171179</c:v>
                </c:pt>
                <c:pt idx="158">
                  <c:v>1.8038603278536942</c:v>
                </c:pt>
                <c:pt idx="159">
                  <c:v>2.2548254098171179</c:v>
                </c:pt>
                <c:pt idx="160">
                  <c:v>2.0889698459545594</c:v>
                </c:pt>
                <c:pt idx="161">
                  <c:v>2.2381819778084564</c:v>
                </c:pt>
                <c:pt idx="162">
                  <c:v>1.7905455822467651</c:v>
                </c:pt>
                <c:pt idx="163">
                  <c:v>1.8651516481737136</c:v>
                </c:pt>
                <c:pt idx="164">
                  <c:v>2.611212307443199</c:v>
                </c:pt>
                <c:pt idx="165">
                  <c:v>1.7905455822467651</c:v>
                </c:pt>
                <c:pt idx="166">
                  <c:v>2.3839515594120546</c:v>
                </c:pt>
                <c:pt idx="167">
                  <c:v>1.7110156116268747</c:v>
                </c:pt>
                <c:pt idx="168">
                  <c:v>3.1156493672098629</c:v>
                </c:pt>
                <c:pt idx="169">
                  <c:v>2.0742046494229696</c:v>
                </c:pt>
                <c:pt idx="170">
                  <c:v>1.6297322245466188</c:v>
                </c:pt>
                <c:pt idx="171">
                  <c:v>2.339105801127324</c:v>
                </c:pt>
                <c:pt idx="172">
                  <c:v>1.5350381819898062</c:v>
                </c:pt>
                <c:pt idx="173">
                  <c:v>1.5350381819898062</c:v>
                </c:pt>
                <c:pt idx="174">
                  <c:v>1.6727619818384931</c:v>
                </c:pt>
                <c:pt idx="175">
                  <c:v>2.324438874018226</c:v>
                </c:pt>
                <c:pt idx="176">
                  <c:v>2.3159396795747824</c:v>
                </c:pt>
                <c:pt idx="177">
                  <c:v>1.800731925644989</c:v>
                </c:pt>
                <c:pt idx="178">
                  <c:v>2.8778032463507612</c:v>
                </c:pt>
                <c:pt idx="179">
                  <c:v>1.5791320941764508</c:v>
                </c:pt>
                <c:pt idx="180">
                  <c:v>1.5056277082119847</c:v>
                </c:pt>
                <c:pt idx="181">
                  <c:v>1.882409870952791</c:v>
                </c:pt>
                <c:pt idx="182">
                  <c:v>1.7168198878166423</c:v>
                </c:pt>
                <c:pt idx="183">
                  <c:v>1.9984805899948046</c:v>
                </c:pt>
                <c:pt idx="184">
                  <c:v>0.78083843416373422</c:v>
                </c:pt>
                <c:pt idx="185">
                  <c:v>2.0574693712342165</c:v>
                </c:pt>
                <c:pt idx="186">
                  <c:v>1.409292929290979</c:v>
                </c:pt>
                <c:pt idx="187">
                  <c:v>1.409292929290979</c:v>
                </c:pt>
                <c:pt idx="188">
                  <c:v>1.2644906648138352</c:v>
                </c:pt>
                <c:pt idx="189">
                  <c:v>2.0311261489831538</c:v>
                </c:pt>
                <c:pt idx="190">
                  <c:v>1.6776197665672301</c:v>
                </c:pt>
                <c:pt idx="191">
                  <c:v>1.957223060995102</c:v>
                </c:pt>
                <c:pt idx="192">
                  <c:v>1.5378181193532943</c:v>
                </c:pt>
                <c:pt idx="193">
                  <c:v>1.9386662966524508</c:v>
                </c:pt>
                <c:pt idx="194">
                  <c:v>1.52323780451264</c:v>
                </c:pt>
                <c:pt idx="195">
                  <c:v>1.5924758865359419</c:v>
                </c:pt>
                <c:pt idx="196">
                  <c:v>2.2848567067689602</c:v>
                </c:pt>
                <c:pt idx="197">
                  <c:v>2.2848567067689602</c:v>
                </c:pt>
                <c:pt idx="198">
                  <c:v>1.7293544904966767</c:v>
                </c:pt>
                <c:pt idx="199">
                  <c:v>1.8526580894601548</c:v>
                </c:pt>
                <c:pt idx="200">
                  <c:v>1.7154241569075506</c:v>
                </c:pt>
                <c:pt idx="201">
                  <c:v>1.9212750557364568</c:v>
                </c:pt>
                <c:pt idx="202">
                  <c:v>1.6396931646346868</c:v>
                </c:pt>
                <c:pt idx="203">
                  <c:v>1.8446548102140228</c:v>
                </c:pt>
                <c:pt idx="204">
                  <c:v>2.3912191984255853</c:v>
                </c:pt>
                <c:pt idx="205">
                  <c:v>1.7763342616875775</c:v>
                </c:pt>
                <c:pt idx="206">
                  <c:v>2.1770517808483403</c:v>
                </c:pt>
                <c:pt idx="207">
                  <c:v>1.8368874400907873</c:v>
                </c:pt>
                <c:pt idx="208">
                  <c:v>1.9680634897383829</c:v>
                </c:pt>
                <c:pt idx="209">
                  <c:v>2.5643117788539844</c:v>
                </c:pt>
                <c:pt idx="210">
                  <c:v>2.0244566675163038</c:v>
                </c:pt>
                <c:pt idx="211">
                  <c:v>2.2269023342679342</c:v>
                </c:pt>
                <c:pt idx="212">
                  <c:v>2.0244566675163038</c:v>
                </c:pt>
                <c:pt idx="213">
                  <c:v>2.4950246721546208</c:v>
                </c:pt>
                <c:pt idx="214">
                  <c:v>2.0118809829277482</c:v>
                </c:pt>
                <c:pt idx="215">
                  <c:v>2.6705860337166438</c:v>
                </c:pt>
                <c:pt idx="216">
                  <c:v>1.8530898499058128</c:v>
                </c:pt>
                <c:pt idx="217">
                  <c:v>2.2766570071014969</c:v>
                </c:pt>
                <c:pt idx="218">
                  <c:v>1.9731072260069775</c:v>
                </c:pt>
                <c:pt idx="219">
                  <c:v>1.9730201130755749</c:v>
                </c:pt>
                <c:pt idx="220">
                  <c:v>1.5076306139641289</c:v>
                </c:pt>
                <c:pt idx="221">
                  <c:v>1.3109831425775034</c:v>
                </c:pt>
                <c:pt idx="222">
                  <c:v>2.6786600858231666</c:v>
                </c:pt>
                <c:pt idx="223">
                  <c:v>2.2792725810519925</c:v>
                </c:pt>
                <c:pt idx="224">
                  <c:v>1.9536622123302794</c:v>
                </c:pt>
                <c:pt idx="225">
                  <c:v>1.4301479005109514</c:v>
                </c:pt>
                <c:pt idx="226">
                  <c:v>1.6899395487665885</c:v>
                </c:pt>
                <c:pt idx="227">
                  <c:v>1.6221444697088605</c:v>
                </c:pt>
                <c:pt idx="228">
                  <c:v>1.4237022341151575</c:v>
                </c:pt>
                <c:pt idx="229">
                  <c:v>1.7699287060588778</c:v>
                </c:pt>
                <c:pt idx="230">
                  <c:v>1.2771232080101127</c:v>
                </c:pt>
                <c:pt idx="231">
                  <c:v>1.4576884456091312</c:v>
                </c:pt>
                <c:pt idx="232">
                  <c:v>1.0070367397715221</c:v>
                </c:pt>
                <c:pt idx="233">
                  <c:v>0.93877759365255919</c:v>
                </c:pt>
                <c:pt idx="234">
                  <c:v>2.1860868556917641</c:v>
                </c:pt>
                <c:pt idx="235">
                  <c:v>1.4097421406623807</c:v>
                </c:pt>
                <c:pt idx="236">
                  <c:v>1.4703807561331417</c:v>
                </c:pt>
                <c:pt idx="237">
                  <c:v>1.8686088775858676</c:v>
                </c:pt>
                <c:pt idx="238">
                  <c:v>1.8686088775858676</c:v>
                </c:pt>
                <c:pt idx="239">
                  <c:v>1.7154442154886655</c:v>
                </c:pt>
                <c:pt idx="240">
                  <c:v>2.1433888450344658</c:v>
                </c:pt>
                <c:pt idx="241">
                  <c:v>2.1433537244301895</c:v>
                </c:pt>
                <c:pt idx="242">
                  <c:v>1.2592938063436692</c:v>
                </c:pt>
                <c:pt idx="243">
                  <c:v>1.2199545575994333</c:v>
                </c:pt>
                <c:pt idx="244">
                  <c:v>1.5249431969992915</c:v>
                </c:pt>
                <c:pt idx="245">
                  <c:v>1.399933849411664</c:v>
                </c:pt>
                <c:pt idx="246">
                  <c:v>2.4308610880995074</c:v>
                </c:pt>
                <c:pt idx="247">
                  <c:v>1.2122079005518309</c:v>
                </c:pt>
                <c:pt idx="248">
                  <c:v>1.4812744270880982</c:v>
                </c:pt>
                <c:pt idx="249">
                  <c:v>1.3883137968971084</c:v>
                </c:pt>
                <c:pt idx="250">
                  <c:v>1.6813511161766443</c:v>
                </c:pt>
                <c:pt idx="251">
                  <c:v>1.3200234270602176</c:v>
                </c:pt>
                <c:pt idx="252">
                  <c:v>1.3773369753307438</c:v>
                </c:pt>
                <c:pt idx="253">
                  <c:v>2.5018619898609304</c:v>
                </c:pt>
                <c:pt idx="254">
                  <c:v>1.4284966020768219</c:v>
                </c:pt>
                <c:pt idx="255">
                  <c:v>1.6064589164368892</c:v>
                </c:pt>
                <c:pt idx="256">
                  <c:v>1.6064589164368892</c:v>
                </c:pt>
                <c:pt idx="257">
                  <c:v>1.7829655373142002</c:v>
                </c:pt>
                <c:pt idx="258">
                  <c:v>1.5452367990056399</c:v>
                </c:pt>
                <c:pt idx="259">
                  <c:v>1.4135768359906165</c:v>
                </c:pt>
                <c:pt idx="260">
                  <c:v>1.7638899870489388</c:v>
                </c:pt>
                <c:pt idx="261">
                  <c:v>1.2935193238358884</c:v>
                </c:pt>
                <c:pt idx="262">
                  <c:v>1.8175717475343196</c:v>
                </c:pt>
                <c:pt idx="263">
                  <c:v>1.6406494518428532</c:v>
                </c:pt>
                <c:pt idx="264">
                  <c:v>2.2227933120098866</c:v>
                </c:pt>
                <c:pt idx="265">
                  <c:v>1.1679532012258913</c:v>
                </c:pt>
                <c:pt idx="266">
                  <c:v>0.8674991552130713</c:v>
                </c:pt>
                <c:pt idx="267">
                  <c:v>0.86347338365293536</c:v>
                </c:pt>
                <c:pt idx="268">
                  <c:v>0.86216010728212789</c:v>
                </c:pt>
                <c:pt idx="269">
                  <c:v>1.3773770980749882</c:v>
                </c:pt>
                <c:pt idx="270">
                  <c:v>1.4347678104947794</c:v>
                </c:pt>
                <c:pt idx="271">
                  <c:v>1.3672996077231514</c:v>
                </c:pt>
              </c:numCache>
            </c:numRef>
          </c:xVal>
          <c:yVal>
            <c:numRef>
              <c:f>'Task 1 Converted AMI PDF Stats'!$AO$5:$AO$279</c:f>
              <c:numCache>
                <c:formatCode>0.0</c:formatCode>
                <c:ptCount val="275"/>
                <c:pt idx="0">
                  <c:v>162.38566005792086</c:v>
                </c:pt>
                <c:pt idx="2">
                  <c:v>200.07347385160014</c:v>
                </c:pt>
                <c:pt idx="3">
                  <c:v>170.38805231205583</c:v>
                </c:pt>
                <c:pt idx="4">
                  <c:v>117.12938136915541</c:v>
                </c:pt>
                <c:pt idx="6">
                  <c:v>156.78004705451693</c:v>
                </c:pt>
                <c:pt idx="7">
                  <c:v>203.44237849034565</c:v>
                </c:pt>
                <c:pt idx="8">
                  <c:v>107.49721864016385</c:v>
                </c:pt>
                <c:pt idx="9">
                  <c:v>314.82465590456587</c:v>
                </c:pt>
                <c:pt idx="10">
                  <c:v>202.61395477818331</c:v>
                </c:pt>
                <c:pt idx="11">
                  <c:v>202.61395477818331</c:v>
                </c:pt>
                <c:pt idx="12">
                  <c:v>207.13652548591597</c:v>
                </c:pt>
                <c:pt idx="13">
                  <c:v>103.93484346399988</c:v>
                </c:pt>
                <c:pt idx="14">
                  <c:v>140.48708398298646</c:v>
                </c:pt>
                <c:pt idx="15">
                  <c:v>165.03099203159812</c:v>
                </c:pt>
                <c:pt idx="16">
                  <c:v>294.59297620770172</c:v>
                </c:pt>
                <c:pt idx="17">
                  <c:v>160.68707793147368</c:v>
                </c:pt>
                <c:pt idx="18">
                  <c:v>122.7183168778389</c:v>
                </c:pt>
                <c:pt idx="19">
                  <c:v>80.363545118653917</c:v>
                </c:pt>
                <c:pt idx="20">
                  <c:v>307.81044309533348</c:v>
                </c:pt>
                <c:pt idx="21">
                  <c:v>236.20825182309525</c:v>
                </c:pt>
                <c:pt idx="22">
                  <c:v>143.44329817737122</c:v>
                </c:pt>
                <c:pt idx="23">
                  <c:v>141.60509577413274</c:v>
                </c:pt>
                <c:pt idx="24">
                  <c:v>178.84199132955283</c:v>
                </c:pt>
                <c:pt idx="25">
                  <c:v>152.37010916768281</c:v>
                </c:pt>
                <c:pt idx="26">
                  <c:v>348.46442547642903</c:v>
                </c:pt>
                <c:pt idx="27">
                  <c:v>134.35509349969729</c:v>
                </c:pt>
                <c:pt idx="28">
                  <c:v>66.014561392572261</c:v>
                </c:pt>
                <c:pt idx="29">
                  <c:v>204.0495740124307</c:v>
                </c:pt>
                <c:pt idx="30">
                  <c:v>204.0495740124307</c:v>
                </c:pt>
                <c:pt idx="31">
                  <c:v>204.0495740124307</c:v>
                </c:pt>
                <c:pt idx="32">
                  <c:v>124.22017241655449</c:v>
                </c:pt>
                <c:pt idx="33">
                  <c:v>124.22017241655449</c:v>
                </c:pt>
                <c:pt idx="34">
                  <c:v>124.22017241655449</c:v>
                </c:pt>
                <c:pt idx="35">
                  <c:v>185.74979052942729</c:v>
                </c:pt>
                <c:pt idx="36">
                  <c:v>148.82190582315849</c:v>
                </c:pt>
                <c:pt idx="37">
                  <c:v>126.23188964505242</c:v>
                </c:pt>
                <c:pt idx="38">
                  <c:v>188.75796582437744</c:v>
                </c:pt>
                <c:pt idx="39">
                  <c:v>162.60108177553309</c:v>
                </c:pt>
                <c:pt idx="40">
                  <c:v>208.65146314607483</c:v>
                </c:pt>
                <c:pt idx="41">
                  <c:v>104.49935851507868</c:v>
                </c:pt>
                <c:pt idx="42">
                  <c:v>172.75160797789255</c:v>
                </c:pt>
                <c:pt idx="43">
                  <c:v>142.16760364466623</c:v>
                </c:pt>
                <c:pt idx="44">
                  <c:v>188.41076919265637</c:v>
                </c:pt>
                <c:pt idx="45">
                  <c:v>143.70318935627122</c:v>
                </c:pt>
                <c:pt idx="46">
                  <c:v>126.07014155651417</c:v>
                </c:pt>
                <c:pt idx="47">
                  <c:v>162.95116419781249</c:v>
                </c:pt>
                <c:pt idx="48">
                  <c:v>189.23487859659539</c:v>
                </c:pt>
                <c:pt idx="49">
                  <c:v>203.18765593094867</c:v>
                </c:pt>
                <c:pt idx="50">
                  <c:v>190.64793827892441</c:v>
                </c:pt>
                <c:pt idx="51">
                  <c:v>191.1383513194848</c:v>
                </c:pt>
                <c:pt idx="52">
                  <c:v>155.22816719785348</c:v>
                </c:pt>
                <c:pt idx="53">
                  <c:v>278.2419543220675</c:v>
                </c:pt>
                <c:pt idx="54">
                  <c:v>278.2419543220675</c:v>
                </c:pt>
                <c:pt idx="55">
                  <c:v>143.30053341011225</c:v>
                </c:pt>
                <c:pt idx="56">
                  <c:v>94.334650921501137</c:v>
                </c:pt>
                <c:pt idx="57">
                  <c:v>94.334650921501137</c:v>
                </c:pt>
                <c:pt idx="58">
                  <c:v>160.40706981091787</c:v>
                </c:pt>
                <c:pt idx="59">
                  <c:v>160.40706981091787</c:v>
                </c:pt>
                <c:pt idx="60">
                  <c:v>190.07547005005438</c:v>
                </c:pt>
                <c:pt idx="61">
                  <c:v>158.35333767942379</c:v>
                </c:pt>
                <c:pt idx="62">
                  <c:v>195.03930154063929</c:v>
                </c:pt>
                <c:pt idx="63">
                  <c:v>133.58502456934841</c:v>
                </c:pt>
                <c:pt idx="64">
                  <c:v>125.17941287012333</c:v>
                </c:pt>
                <c:pt idx="65">
                  <c:v>191.01994685850028</c:v>
                </c:pt>
                <c:pt idx="66">
                  <c:v>183.67999936639691</c:v>
                </c:pt>
                <c:pt idx="67">
                  <c:v>181.60058042572948</c:v>
                </c:pt>
                <c:pt idx="68">
                  <c:v>177.27311036789752</c:v>
                </c:pt>
                <c:pt idx="69">
                  <c:v>146.85410706852366</c:v>
                </c:pt>
                <c:pt idx="70">
                  <c:v>107.58294648010288</c:v>
                </c:pt>
                <c:pt idx="71">
                  <c:v>156.2202043307789</c:v>
                </c:pt>
                <c:pt idx="72">
                  <c:v>259.25305397813662</c:v>
                </c:pt>
                <c:pt idx="73">
                  <c:v>379.92415369725211</c:v>
                </c:pt>
                <c:pt idx="74">
                  <c:v>125.73431326440648</c:v>
                </c:pt>
                <c:pt idx="75">
                  <c:v>196.60309272195903</c:v>
                </c:pt>
                <c:pt idx="76">
                  <c:v>163.93713175238196</c:v>
                </c:pt>
                <c:pt idx="77">
                  <c:v>172.1360720654281</c:v>
                </c:pt>
                <c:pt idx="78">
                  <c:v>154.59226567692897</c:v>
                </c:pt>
                <c:pt idx="79">
                  <c:v>203.49876947904383</c:v>
                </c:pt>
                <c:pt idx="80">
                  <c:v>176.61320044368793</c:v>
                </c:pt>
                <c:pt idx="81">
                  <c:v>243.07167403242659</c:v>
                </c:pt>
                <c:pt idx="82">
                  <c:v>124.45269710460242</c:v>
                </c:pt>
                <c:pt idx="83">
                  <c:v>207.71009112086188</c:v>
                </c:pt>
                <c:pt idx="84">
                  <c:v>178.25231671049326</c:v>
                </c:pt>
                <c:pt idx="85">
                  <c:v>147.68867472463879</c:v>
                </c:pt>
                <c:pt idx="86">
                  <c:v>123.91726414016325</c:v>
                </c:pt>
                <c:pt idx="87">
                  <c:v>335.50528606987314</c:v>
                </c:pt>
                <c:pt idx="88">
                  <c:v>335.50528606987314</c:v>
                </c:pt>
                <c:pt idx="89">
                  <c:v>335.50528606987314</c:v>
                </c:pt>
                <c:pt idx="90">
                  <c:v>111.23894845107783</c:v>
                </c:pt>
                <c:pt idx="91">
                  <c:v>124.78049887620632</c:v>
                </c:pt>
                <c:pt idx="92">
                  <c:v>243.61692569533994</c:v>
                </c:pt>
                <c:pt idx="94">
                  <c:v>246.85700541337096</c:v>
                </c:pt>
                <c:pt idx="95">
                  <c:v>167.29080221402376</c:v>
                </c:pt>
                <c:pt idx="96">
                  <c:v>188.75796582437744</c:v>
                </c:pt>
                <c:pt idx="97">
                  <c:v>195.58705563969505</c:v>
                </c:pt>
                <c:pt idx="98">
                  <c:v>183.63641522349215</c:v>
                </c:pt>
                <c:pt idx="99">
                  <c:v>141.91390406759641</c:v>
                </c:pt>
                <c:pt idx="100">
                  <c:v>182.271670585674</c:v>
                </c:pt>
                <c:pt idx="101">
                  <c:v>118.27754463054094</c:v>
                </c:pt>
                <c:pt idx="102">
                  <c:v>189.61863180975163</c:v>
                </c:pt>
                <c:pt idx="103">
                  <c:v>379.92415369725211</c:v>
                </c:pt>
                <c:pt idx="104">
                  <c:v>195.64199781382439</c:v>
                </c:pt>
                <c:pt idx="105">
                  <c:v>128.28238286582126</c:v>
                </c:pt>
                <c:pt idx="106">
                  <c:v>133.77151742060852</c:v>
                </c:pt>
                <c:pt idx="107">
                  <c:v>155.01636508793578</c:v>
                </c:pt>
                <c:pt idx="111">
                  <c:v>141.1402301741891</c:v>
                </c:pt>
                <c:pt idx="112">
                  <c:v>141.1402301741891</c:v>
                </c:pt>
                <c:pt idx="113">
                  <c:v>80.587416585840614</c:v>
                </c:pt>
                <c:pt idx="114">
                  <c:v>63.248603817781941</c:v>
                </c:pt>
                <c:pt idx="115">
                  <c:v>117.01832124016656</c:v>
                </c:pt>
                <c:pt idx="117">
                  <c:v>171.28850341227411</c:v>
                </c:pt>
                <c:pt idx="118">
                  <c:v>298.77207521642049</c:v>
                </c:pt>
                <c:pt idx="119">
                  <c:v>123.57713783566507</c:v>
                </c:pt>
                <c:pt idx="120">
                  <c:v>419.20647286299396</c:v>
                </c:pt>
                <c:pt idx="121">
                  <c:v>124.19176971397229</c:v>
                </c:pt>
                <c:pt idx="122">
                  <c:v>109.78203113021659</c:v>
                </c:pt>
                <c:pt idx="123">
                  <c:v>126.68819071878335</c:v>
                </c:pt>
                <c:pt idx="125">
                  <c:v>50.325903770127709</c:v>
                </c:pt>
                <c:pt idx="126">
                  <c:v>103.53635443712734</c:v>
                </c:pt>
                <c:pt idx="127">
                  <c:v>118.62886397300143</c:v>
                </c:pt>
                <c:pt idx="128">
                  <c:v>84.511590784162408</c:v>
                </c:pt>
                <c:pt idx="129">
                  <c:v>144.17012998119824</c:v>
                </c:pt>
                <c:pt idx="130">
                  <c:v>135.14069567227253</c:v>
                </c:pt>
                <c:pt idx="131">
                  <c:v>165.10380276509872</c:v>
                </c:pt>
                <c:pt idx="132">
                  <c:v>117.95404177429035</c:v>
                </c:pt>
                <c:pt idx="133">
                  <c:v>47.19599011743059</c:v>
                </c:pt>
                <c:pt idx="134">
                  <c:v>148.56599407254947</c:v>
                </c:pt>
                <c:pt idx="135">
                  <c:v>155.66268873506513</c:v>
                </c:pt>
                <c:pt idx="136">
                  <c:v>205.69519557972404</c:v>
                </c:pt>
                <c:pt idx="138">
                  <c:v>245.72975267532195</c:v>
                </c:pt>
                <c:pt idx="139">
                  <c:v>98.205743714286442</c:v>
                </c:pt>
                <c:pt idx="140">
                  <c:v>269.65717956021541</c:v>
                </c:pt>
                <c:pt idx="141">
                  <c:v>124.00329859889354</c:v>
                </c:pt>
                <c:pt idx="142">
                  <c:v>256.45172099478822</c:v>
                </c:pt>
                <c:pt idx="143">
                  <c:v>71.412875977873156</c:v>
                </c:pt>
                <c:pt idx="144">
                  <c:v>117.90640654220275</c:v>
                </c:pt>
                <c:pt idx="145">
                  <c:v>44.597298516026115</c:v>
                </c:pt>
                <c:pt idx="146">
                  <c:v>24.45466209764205</c:v>
                </c:pt>
                <c:pt idx="147">
                  <c:v>82.149266871998591</c:v>
                </c:pt>
                <c:pt idx="148">
                  <c:v>73.233842560308815</c:v>
                </c:pt>
                <c:pt idx="149">
                  <c:v>122.63147771036328</c:v>
                </c:pt>
                <c:pt idx="150">
                  <c:v>139.32602519000596</c:v>
                </c:pt>
                <c:pt idx="151">
                  <c:v>267.1670002519698</c:v>
                </c:pt>
                <c:pt idx="152">
                  <c:v>84.964520664664832</c:v>
                </c:pt>
                <c:pt idx="153">
                  <c:v>161.5386455055843</c:v>
                </c:pt>
                <c:pt idx="154">
                  <c:v>137.20305144239842</c:v>
                </c:pt>
                <c:pt idx="155">
                  <c:v>99.406231895252418</c:v>
                </c:pt>
                <c:pt idx="156">
                  <c:v>197.72003097732477</c:v>
                </c:pt>
                <c:pt idx="157">
                  <c:v>123.97160293193997</c:v>
                </c:pt>
                <c:pt idx="158">
                  <c:v>105.78910116858877</c:v>
                </c:pt>
                <c:pt idx="159">
                  <c:v>177.96669958647715</c:v>
                </c:pt>
                <c:pt idx="160">
                  <c:v>97.141813034676588</c:v>
                </c:pt>
                <c:pt idx="161">
                  <c:v>244.63681678080314</c:v>
                </c:pt>
                <c:pt idx="162">
                  <c:v>72.6473491112273</c:v>
                </c:pt>
                <c:pt idx="163">
                  <c:v>69.455549877068549</c:v>
                </c:pt>
                <c:pt idx="164">
                  <c:v>194.98416799027635</c:v>
                </c:pt>
                <c:pt idx="165">
                  <c:v>96.150903235447885</c:v>
                </c:pt>
                <c:pt idx="166">
                  <c:v>169.43277717635902</c:v>
                </c:pt>
                <c:pt idx="167">
                  <c:v>71.214666503437385</c:v>
                </c:pt>
                <c:pt idx="168">
                  <c:v>199.16055874392202</c:v>
                </c:pt>
                <c:pt idx="169">
                  <c:v>121.3786347334793</c:v>
                </c:pt>
                <c:pt idx="170">
                  <c:v>49.817912960665801</c:v>
                </c:pt>
                <c:pt idx="171">
                  <c:v>140.15037133472515</c:v>
                </c:pt>
                <c:pt idx="172">
                  <c:v>163.90245179454593</c:v>
                </c:pt>
                <c:pt idx="173">
                  <c:v>67.516634972185116</c:v>
                </c:pt>
                <c:pt idx="174">
                  <c:v>78.668043709610032</c:v>
                </c:pt>
                <c:pt idx="175">
                  <c:v>119.76776655719898</c:v>
                </c:pt>
                <c:pt idx="176">
                  <c:v>145.84271555490781</c:v>
                </c:pt>
                <c:pt idx="177">
                  <c:v>51.61212145241705</c:v>
                </c:pt>
                <c:pt idx="178">
                  <c:v>357.90008909594087</c:v>
                </c:pt>
                <c:pt idx="179">
                  <c:v>48.981129261013272</c:v>
                </c:pt>
                <c:pt idx="180">
                  <c:v>64.194792104663421</c:v>
                </c:pt>
                <c:pt idx="181">
                  <c:v>117.01427949424091</c:v>
                </c:pt>
                <c:pt idx="182">
                  <c:v>128.92989055741884</c:v>
                </c:pt>
                <c:pt idx="183">
                  <c:v>106.84977365170518</c:v>
                </c:pt>
                <c:pt idx="184">
                  <c:v>99.755869424456648</c:v>
                </c:pt>
                <c:pt idx="185">
                  <c:v>141.05145971162864</c:v>
                </c:pt>
                <c:pt idx="186">
                  <c:v>84.304525503692545</c:v>
                </c:pt>
                <c:pt idx="187">
                  <c:v>54.031536800093861</c:v>
                </c:pt>
                <c:pt idx="188">
                  <c:v>39.873785503520125</c:v>
                </c:pt>
                <c:pt idx="189">
                  <c:v>118.88622441253456</c:v>
                </c:pt>
                <c:pt idx="190">
                  <c:v>67.768104669154013</c:v>
                </c:pt>
                <c:pt idx="191">
                  <c:v>102.06952790650543</c:v>
                </c:pt>
                <c:pt idx="192">
                  <c:v>34.037899919805618</c:v>
                </c:pt>
                <c:pt idx="193">
                  <c:v>121.49729640987854</c:v>
                </c:pt>
                <c:pt idx="194">
                  <c:v>70.719927779102775</c:v>
                </c:pt>
                <c:pt idx="195">
                  <c:v>64.819686553700691</c:v>
                </c:pt>
                <c:pt idx="196">
                  <c:v>193.81878362738368</c:v>
                </c:pt>
                <c:pt idx="197">
                  <c:v>159.11983750298126</c:v>
                </c:pt>
                <c:pt idx="198">
                  <c:v>124.21475617969845</c:v>
                </c:pt>
                <c:pt idx="199">
                  <c:v>215.97594963449694</c:v>
                </c:pt>
                <c:pt idx="200">
                  <c:v>112.01809118865374</c:v>
                </c:pt>
                <c:pt idx="201">
                  <c:v>157.71947749753096</c:v>
                </c:pt>
                <c:pt idx="202">
                  <c:v>140.86708449443015</c:v>
                </c:pt>
                <c:pt idx="203">
                  <c:v>116.11977287837533</c:v>
                </c:pt>
                <c:pt idx="204">
                  <c:v>201.08270476391073</c:v>
                </c:pt>
                <c:pt idx="205">
                  <c:v>146.83983915531803</c:v>
                </c:pt>
                <c:pt idx="206">
                  <c:v>145.53893979403114</c:v>
                </c:pt>
                <c:pt idx="207">
                  <c:v>131.7317282130623</c:v>
                </c:pt>
                <c:pt idx="208">
                  <c:v>209.29497477067591</c:v>
                </c:pt>
                <c:pt idx="209">
                  <c:v>172.09402425943725</c:v>
                </c:pt>
                <c:pt idx="210">
                  <c:v>142.37546580217392</c:v>
                </c:pt>
                <c:pt idx="211">
                  <c:v>176.34190158111755</c:v>
                </c:pt>
                <c:pt idx="212">
                  <c:v>139.87032564143186</c:v>
                </c:pt>
                <c:pt idx="213">
                  <c:v>129.18503198482898</c:v>
                </c:pt>
                <c:pt idx="214">
                  <c:v>162.99846310669025</c:v>
                </c:pt>
                <c:pt idx="215">
                  <c:v>175.97578352805024</c:v>
                </c:pt>
                <c:pt idx="216">
                  <c:v>240.89965908338073</c:v>
                </c:pt>
                <c:pt idx="217">
                  <c:v>175.26642552926143</c:v>
                </c:pt>
                <c:pt idx="218">
                  <c:v>172.17606681871666</c:v>
                </c:pt>
                <c:pt idx="220">
                  <c:v>80.474619163737827</c:v>
                </c:pt>
                <c:pt idx="221">
                  <c:v>69.017437042095608</c:v>
                </c:pt>
                <c:pt idx="222">
                  <c:v>203.18765593094867</c:v>
                </c:pt>
                <c:pt idx="223">
                  <c:v>159.62086302621847</c:v>
                </c:pt>
                <c:pt idx="224">
                  <c:v>161.27298392581525</c:v>
                </c:pt>
                <c:pt idx="226">
                  <c:v>124.39298304395612</c:v>
                </c:pt>
                <c:pt idx="227">
                  <c:v>103.79184240236935</c:v>
                </c:pt>
                <c:pt idx="228">
                  <c:v>65.221809545862143</c:v>
                </c:pt>
                <c:pt idx="229">
                  <c:v>219.25315953489016</c:v>
                </c:pt>
                <c:pt idx="230">
                  <c:v>94.003198925389569</c:v>
                </c:pt>
                <c:pt idx="231">
                  <c:v>137.26671516447007</c:v>
                </c:pt>
                <c:pt idx="232">
                  <c:v>47.807248095881157</c:v>
                </c:pt>
                <c:pt idx="233">
                  <c:v>73.930999362540788</c:v>
                </c:pt>
                <c:pt idx="234">
                  <c:v>154.02704345497509</c:v>
                </c:pt>
                <c:pt idx="235">
                  <c:v>110.57145999324966</c:v>
                </c:pt>
                <c:pt idx="236">
                  <c:v>108.92075291617239</c:v>
                </c:pt>
                <c:pt idx="237">
                  <c:v>368.85898925011259</c:v>
                </c:pt>
                <c:pt idx="238">
                  <c:v>368.85898925011259</c:v>
                </c:pt>
                <c:pt idx="239">
                  <c:v>103.40126830533374</c:v>
                </c:pt>
                <c:pt idx="240">
                  <c:v>120.68481290980839</c:v>
                </c:pt>
                <c:pt idx="241">
                  <c:v>119.18632889819638</c:v>
                </c:pt>
                <c:pt idx="242">
                  <c:v>105.67388220953448</c:v>
                </c:pt>
                <c:pt idx="243">
                  <c:v>91.245717966487149</c:v>
                </c:pt>
                <c:pt idx="244">
                  <c:v>93.967536258101106</c:v>
                </c:pt>
                <c:pt idx="245">
                  <c:v>89.830044628392116</c:v>
                </c:pt>
                <c:pt idx="246">
                  <c:v>228.88672850175766</c:v>
                </c:pt>
                <c:pt idx="247">
                  <c:v>70.965166446925636</c:v>
                </c:pt>
                <c:pt idx="248">
                  <c:v>100.7918976272535</c:v>
                </c:pt>
                <c:pt idx="249">
                  <c:v>152.2652581260829</c:v>
                </c:pt>
                <c:pt idx="250">
                  <c:v>139.7733588146981</c:v>
                </c:pt>
                <c:pt idx="251">
                  <c:v>72.170759972450668</c:v>
                </c:pt>
                <c:pt idx="252">
                  <c:v>157.53478646764208</c:v>
                </c:pt>
                <c:pt idx="253">
                  <c:v>247.29056475396393</c:v>
                </c:pt>
                <c:pt idx="254">
                  <c:v>100.87115120176784</c:v>
                </c:pt>
                <c:pt idx="255">
                  <c:v>130.02285678450249</c:v>
                </c:pt>
                <c:pt idx="256">
                  <c:v>130.02285678450249</c:v>
                </c:pt>
                <c:pt idx="257">
                  <c:v>259.11446227706961</c:v>
                </c:pt>
                <c:pt idx="258">
                  <c:v>181.550695675947</c:v>
                </c:pt>
                <c:pt idx="259">
                  <c:v>105.19767574753783</c:v>
                </c:pt>
                <c:pt idx="260">
                  <c:v>147.13141101956219</c:v>
                </c:pt>
                <c:pt idx="263">
                  <c:v>155.04418241338064</c:v>
                </c:pt>
                <c:pt idx="264">
                  <c:v>148.87427718231723</c:v>
                </c:pt>
                <c:pt idx="265">
                  <c:v>58.916111755663884</c:v>
                </c:pt>
                <c:pt idx="266">
                  <c:v>122.79627283998238</c:v>
                </c:pt>
                <c:pt idx="267">
                  <c:v>112.59215105906625</c:v>
                </c:pt>
                <c:pt idx="268">
                  <c:v>113.27973937739827</c:v>
                </c:pt>
                <c:pt idx="269">
                  <c:v>101.47862012898386</c:v>
                </c:pt>
                <c:pt idx="270">
                  <c:v>105.52337705108096</c:v>
                </c:pt>
                <c:pt idx="271">
                  <c:v>96.143306532146951</c:v>
                </c:pt>
              </c:numCache>
            </c:numRef>
          </c:yVal>
          <c:smooth val="1"/>
          <c:extLst>
            <c:ext xmlns:c16="http://schemas.microsoft.com/office/drawing/2014/chart" uri="{C3380CC4-5D6E-409C-BE32-E72D297353CC}">
              <c16:uniqueId val="{00000000-79E3-4F03-AA7E-5FBC323753FD}"/>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53647743010321691"/>
                  <c:y val="-0.42772716236318264"/>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Stats'!$AA$5:$AA$12</c:f>
              <c:numCache>
                <c:formatCode>0.000</c:formatCode>
                <c:ptCount val="8"/>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numCache>
            </c:numRef>
          </c:xVal>
          <c:yVal>
            <c:numRef>
              <c:f>'Task 1 Converted AMI PDF Stats'!$AO$5:$AO$12</c:f>
              <c:numCache>
                <c:formatCode>0.0</c:formatCode>
                <c:ptCount val="8"/>
                <c:pt idx="0">
                  <c:v>162.38566005792086</c:v>
                </c:pt>
                <c:pt idx="2">
                  <c:v>200.07347385160014</c:v>
                </c:pt>
                <c:pt idx="3">
                  <c:v>170.38805231205583</c:v>
                </c:pt>
                <c:pt idx="4">
                  <c:v>117.12938136915541</c:v>
                </c:pt>
                <c:pt idx="6">
                  <c:v>156.78004705451693</c:v>
                </c:pt>
                <c:pt idx="7">
                  <c:v>203.44237849034565</c:v>
                </c:pt>
              </c:numCache>
            </c:numRef>
          </c:yVal>
          <c:smooth val="1"/>
          <c:extLst>
            <c:ext xmlns:c16="http://schemas.microsoft.com/office/drawing/2014/chart" uri="{C3380CC4-5D6E-409C-BE32-E72D297353CC}">
              <c16:uniqueId val="{00000001-79E3-4F03-AA7E-5FBC323753FD}"/>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1497215349847487"/>
                  <c:y val="-0.25855674598620204"/>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Stats'!$AA$13:$AA$98</c:f>
              <c:numCache>
                <c:formatCode>0.000</c:formatCode>
                <c:ptCount val="86"/>
                <c:pt idx="0">
                  <c:v>4.2578781301312683</c:v>
                </c:pt>
                <c:pt idx="1">
                  <c:v>3.3448689380599737</c:v>
                </c:pt>
                <c:pt idx="2">
                  <c:v>2.9771509183214606</c:v>
                </c:pt>
                <c:pt idx="3">
                  <c:v>2.9771509183214606</c:v>
                </c:pt>
                <c:pt idx="4">
                  <c:v>2.999427721161795</c:v>
                </c:pt>
                <c:pt idx="5">
                  <c:v>2.2514270068628797</c:v>
                </c:pt>
                <c:pt idx="6">
                  <c:v>2.3576001141871554</c:v>
                </c:pt>
                <c:pt idx="7">
                  <c:v>2.190112809023498</c:v>
                </c:pt>
                <c:pt idx="8">
                  <c:v>2.1818634545719475</c:v>
                </c:pt>
                <c:pt idx="9">
                  <c:v>2.1818634545719475</c:v>
                </c:pt>
                <c:pt idx="10">
                  <c:v>2.0240101110609023</c:v>
                </c:pt>
                <c:pt idx="11">
                  <c:v>1.800731925644989</c:v>
                </c:pt>
                <c:pt idx="12">
                  <c:v>2.6619680028744539</c:v>
                </c:pt>
                <c:pt idx="13">
                  <c:v>2.6467639937173235</c:v>
                </c:pt>
                <c:pt idx="14">
                  <c:v>2.069854896780333</c:v>
                </c:pt>
                <c:pt idx="15">
                  <c:v>2.2595420483327904</c:v>
                </c:pt>
                <c:pt idx="16">
                  <c:v>2.2595420483327904</c:v>
                </c:pt>
                <c:pt idx="17">
                  <c:v>2.1669255318160054</c:v>
                </c:pt>
                <c:pt idx="18">
                  <c:v>3.1455370623135566</c:v>
                </c:pt>
                <c:pt idx="19">
                  <c:v>2.6086473483748582</c:v>
                </c:pt>
                <c:pt idx="20">
                  <c:v>1.5852204308625291</c:v>
                </c:pt>
                <c:pt idx="21">
                  <c:v>2.8819125836046848</c:v>
                </c:pt>
                <c:pt idx="22">
                  <c:v>2.8819125836046848</c:v>
                </c:pt>
                <c:pt idx="23">
                  <c:v>2.8819125836046848</c:v>
                </c:pt>
                <c:pt idx="24">
                  <c:v>2.371371051549791</c:v>
                </c:pt>
                <c:pt idx="25">
                  <c:v>2.371371051549791</c:v>
                </c:pt>
                <c:pt idx="26">
                  <c:v>2.371371051549791</c:v>
                </c:pt>
                <c:pt idx="27">
                  <c:v>2.371371051549791</c:v>
                </c:pt>
                <c:pt idx="28">
                  <c:v>2.1663529822826906</c:v>
                </c:pt>
                <c:pt idx="29">
                  <c:v>2.3618661121023545</c:v>
                </c:pt>
                <c:pt idx="30">
                  <c:v>2.3618661121023545</c:v>
                </c:pt>
                <c:pt idx="31">
                  <c:v>1.8865102430633052</c:v>
                </c:pt>
                <c:pt idx="32">
                  <c:v>2.4198393639787561</c:v>
                </c:pt>
                <c:pt idx="33">
                  <c:v>1.0673659461753169</c:v>
                </c:pt>
                <c:pt idx="34">
                  <c:v>2.2768845030336466</c:v>
                </c:pt>
                <c:pt idx="35">
                  <c:v>2.1060828598451677</c:v>
                </c:pt>
                <c:pt idx="36">
                  <c:v>2.6308096346759702</c:v>
                </c:pt>
                <c:pt idx="37">
                  <c:v>2.4205018391001354</c:v>
                </c:pt>
                <c:pt idx="38">
                  <c:v>2.2881590271964689</c:v>
                </c:pt>
                <c:pt idx="39">
                  <c:v>2.3846608081108682</c:v>
                </c:pt>
                <c:pt idx="40">
                  <c:v>2.6133269129982115</c:v>
                </c:pt>
                <c:pt idx="41">
                  <c:v>2.6786600858231666</c:v>
                </c:pt>
                <c:pt idx="42">
                  <c:v>2.6065565033135569</c:v>
                </c:pt>
                <c:pt idx="43">
                  <c:v>2.6048829497737058</c:v>
                </c:pt>
                <c:pt idx="44">
                  <c:v>2.4746388022850203</c:v>
                </c:pt>
                <c:pt idx="45">
                  <c:v>2.6048829497737058</c:v>
                </c:pt>
                <c:pt idx="46">
                  <c:v>2.6048829497737058</c:v>
                </c:pt>
                <c:pt idx="47">
                  <c:v>2.3694215380899792</c:v>
                </c:pt>
                <c:pt idx="48">
                  <c:v>2.0123854159120369</c:v>
                </c:pt>
                <c:pt idx="49">
                  <c:v>2.0123854159120369</c:v>
                </c:pt>
                <c:pt idx="50">
                  <c:v>2.3369637088010751</c:v>
                </c:pt>
                <c:pt idx="51">
                  <c:v>2.3369637088010751</c:v>
                </c:pt>
                <c:pt idx="52">
                  <c:v>2.4621711827915069</c:v>
                </c:pt>
                <c:pt idx="53">
                  <c:v>2.5917591397805335</c:v>
                </c:pt>
                <c:pt idx="54">
                  <c:v>2.5917591397805335</c:v>
                </c:pt>
                <c:pt idx="55">
                  <c:v>1.7483518224639953</c:v>
                </c:pt>
                <c:pt idx="56">
                  <c:v>2.6532632544873387</c:v>
                </c:pt>
                <c:pt idx="57">
                  <c:v>2.4591220407443628</c:v>
                </c:pt>
                <c:pt idx="58">
                  <c:v>2.3944083028300378</c:v>
                </c:pt>
                <c:pt idx="59">
                  <c:v>2.4193549999763144</c:v>
                </c:pt>
                <c:pt idx="60">
                  <c:v>2.4650646962888745</c:v>
                </c:pt>
                <c:pt idx="61">
                  <c:v>1.9757254171590406</c:v>
                </c:pt>
                <c:pt idx="62">
                  <c:v>1.8992418100053081</c:v>
                </c:pt>
                <c:pt idx="63">
                  <c:v>1.8267821846579544</c:v>
                </c:pt>
                <c:pt idx="64">
                  <c:v>2.4336286613320408</c:v>
                </c:pt>
                <c:pt idx="65">
                  <c:v>1.8548520509735185</c:v>
                </c:pt>
                <c:pt idx="66">
                  <c:v>1.5805140808096707</c:v>
                </c:pt>
                <c:pt idx="67">
                  <c:v>2.3090039333397643</c:v>
                </c:pt>
                <c:pt idx="68">
                  <c:v>2.3383974386850541</c:v>
                </c:pt>
                <c:pt idx="69">
                  <c:v>2.3100409973553808</c:v>
                </c:pt>
                <c:pt idx="70">
                  <c:v>2.160038335189447</c:v>
                </c:pt>
                <c:pt idx="71">
                  <c:v>1.800031945991206</c:v>
                </c:pt>
                <c:pt idx="72">
                  <c:v>2.2756002201116634</c:v>
                </c:pt>
                <c:pt idx="73">
                  <c:v>2.3953686527491196</c:v>
                </c:pt>
                <c:pt idx="74">
                  <c:v>1.9162949221992955</c:v>
                </c:pt>
                <c:pt idx="75">
                  <c:v>2.2729648881756734</c:v>
                </c:pt>
                <c:pt idx="76">
                  <c:v>2.2703507724055916</c:v>
                </c:pt>
                <c:pt idx="77">
                  <c:v>1.9018299064684803</c:v>
                </c:pt>
                <c:pt idx="78">
                  <c:v>1.7829655373142002</c:v>
                </c:pt>
                <c:pt idx="79">
                  <c:v>1.6474433704258884</c:v>
                </c:pt>
                <c:pt idx="80">
                  <c:v>1.6474433704258884</c:v>
                </c:pt>
                <c:pt idx="81">
                  <c:v>1.6474433704258884</c:v>
                </c:pt>
                <c:pt idx="82">
                  <c:v>1.8176719413792313</c:v>
                </c:pt>
                <c:pt idx="83">
                  <c:v>1.8115371711008192</c:v>
                </c:pt>
                <c:pt idx="84">
                  <c:v>2.184138938448057</c:v>
                </c:pt>
                <c:pt idx="85">
                  <c:v>1.9370077776077976</c:v>
                </c:pt>
              </c:numCache>
            </c:numRef>
          </c:xVal>
          <c:yVal>
            <c:numRef>
              <c:f>'Task 1 Converted AMI PDF Stats'!$AO$13:$AO$98</c:f>
              <c:numCache>
                <c:formatCode>0.0</c:formatCode>
                <c:ptCount val="86"/>
                <c:pt idx="0">
                  <c:v>107.49721864016385</c:v>
                </c:pt>
                <c:pt idx="1">
                  <c:v>314.82465590456587</c:v>
                </c:pt>
                <c:pt idx="2">
                  <c:v>202.61395477818331</c:v>
                </c:pt>
                <c:pt idx="3">
                  <c:v>202.61395477818331</c:v>
                </c:pt>
                <c:pt idx="4">
                  <c:v>207.13652548591597</c:v>
                </c:pt>
                <c:pt idx="5">
                  <c:v>103.93484346399988</c:v>
                </c:pt>
                <c:pt idx="6">
                  <c:v>140.48708398298646</c:v>
                </c:pt>
                <c:pt idx="7">
                  <c:v>165.03099203159812</c:v>
                </c:pt>
                <c:pt idx="8">
                  <c:v>294.59297620770172</c:v>
                </c:pt>
                <c:pt idx="9">
                  <c:v>160.68707793147368</c:v>
                </c:pt>
                <c:pt idx="10">
                  <c:v>122.7183168778389</c:v>
                </c:pt>
                <c:pt idx="11">
                  <c:v>80.363545118653917</c:v>
                </c:pt>
                <c:pt idx="12">
                  <c:v>307.81044309533348</c:v>
                </c:pt>
                <c:pt idx="13">
                  <c:v>236.20825182309525</c:v>
                </c:pt>
                <c:pt idx="14">
                  <c:v>143.44329817737122</c:v>
                </c:pt>
                <c:pt idx="15">
                  <c:v>141.60509577413274</c:v>
                </c:pt>
                <c:pt idx="16">
                  <c:v>178.84199132955283</c:v>
                </c:pt>
                <c:pt idx="17">
                  <c:v>152.37010916768281</c:v>
                </c:pt>
                <c:pt idx="18">
                  <c:v>348.46442547642903</c:v>
                </c:pt>
                <c:pt idx="19">
                  <c:v>134.35509349969729</c:v>
                </c:pt>
                <c:pt idx="20">
                  <c:v>66.014561392572261</c:v>
                </c:pt>
                <c:pt idx="21">
                  <c:v>204.0495740124307</c:v>
                </c:pt>
                <c:pt idx="22">
                  <c:v>204.0495740124307</c:v>
                </c:pt>
                <c:pt idx="23">
                  <c:v>204.0495740124307</c:v>
                </c:pt>
                <c:pt idx="24">
                  <c:v>124.22017241655449</c:v>
                </c:pt>
                <c:pt idx="25">
                  <c:v>124.22017241655449</c:v>
                </c:pt>
                <c:pt idx="26">
                  <c:v>124.22017241655449</c:v>
                </c:pt>
                <c:pt idx="27">
                  <c:v>185.74979052942729</c:v>
                </c:pt>
                <c:pt idx="28">
                  <c:v>148.82190582315849</c:v>
                </c:pt>
                <c:pt idx="29">
                  <c:v>126.23188964505242</c:v>
                </c:pt>
                <c:pt idx="30">
                  <c:v>188.75796582437744</c:v>
                </c:pt>
                <c:pt idx="31">
                  <c:v>162.60108177553309</c:v>
                </c:pt>
                <c:pt idx="32">
                  <c:v>208.65146314607483</c:v>
                </c:pt>
                <c:pt idx="33">
                  <c:v>104.49935851507868</c:v>
                </c:pt>
                <c:pt idx="34">
                  <c:v>172.75160797789255</c:v>
                </c:pt>
                <c:pt idx="35">
                  <c:v>142.16760364466623</c:v>
                </c:pt>
                <c:pt idx="36">
                  <c:v>188.41076919265637</c:v>
                </c:pt>
                <c:pt idx="37">
                  <c:v>143.70318935627122</c:v>
                </c:pt>
                <c:pt idx="38">
                  <c:v>126.07014155651417</c:v>
                </c:pt>
                <c:pt idx="39">
                  <c:v>162.95116419781249</c:v>
                </c:pt>
                <c:pt idx="40">
                  <c:v>189.23487859659539</c:v>
                </c:pt>
                <c:pt idx="41">
                  <c:v>203.18765593094867</c:v>
                </c:pt>
                <c:pt idx="42">
                  <c:v>190.64793827892441</c:v>
                </c:pt>
                <c:pt idx="43">
                  <c:v>191.1383513194848</c:v>
                </c:pt>
                <c:pt idx="44">
                  <c:v>155.22816719785348</c:v>
                </c:pt>
                <c:pt idx="45">
                  <c:v>278.2419543220675</c:v>
                </c:pt>
                <c:pt idx="46">
                  <c:v>278.2419543220675</c:v>
                </c:pt>
                <c:pt idx="47">
                  <c:v>143.30053341011225</c:v>
                </c:pt>
                <c:pt idx="48">
                  <c:v>94.334650921501137</c:v>
                </c:pt>
                <c:pt idx="49">
                  <c:v>94.334650921501137</c:v>
                </c:pt>
                <c:pt idx="50">
                  <c:v>160.40706981091787</c:v>
                </c:pt>
                <c:pt idx="51">
                  <c:v>160.40706981091787</c:v>
                </c:pt>
                <c:pt idx="52">
                  <c:v>190.07547005005438</c:v>
                </c:pt>
                <c:pt idx="53">
                  <c:v>158.35333767942379</c:v>
                </c:pt>
                <c:pt idx="54">
                  <c:v>195.03930154063929</c:v>
                </c:pt>
                <c:pt idx="55">
                  <c:v>133.58502456934841</c:v>
                </c:pt>
                <c:pt idx="56">
                  <c:v>125.17941287012333</c:v>
                </c:pt>
                <c:pt idx="57">
                  <c:v>191.01994685850028</c:v>
                </c:pt>
                <c:pt idx="58">
                  <c:v>183.67999936639691</c:v>
                </c:pt>
                <c:pt idx="59">
                  <c:v>181.60058042572948</c:v>
                </c:pt>
                <c:pt idx="60">
                  <c:v>177.27311036789752</c:v>
                </c:pt>
                <c:pt idx="61">
                  <c:v>146.85410706852366</c:v>
                </c:pt>
                <c:pt idx="62">
                  <c:v>107.58294648010288</c:v>
                </c:pt>
                <c:pt idx="63">
                  <c:v>156.2202043307789</c:v>
                </c:pt>
                <c:pt idx="64">
                  <c:v>259.25305397813662</c:v>
                </c:pt>
                <c:pt idx="65">
                  <c:v>379.92415369725211</c:v>
                </c:pt>
                <c:pt idx="66">
                  <c:v>125.73431326440648</c:v>
                </c:pt>
                <c:pt idx="67">
                  <c:v>196.60309272195903</c:v>
                </c:pt>
                <c:pt idx="68">
                  <c:v>163.93713175238196</c:v>
                </c:pt>
                <c:pt idx="69">
                  <c:v>172.1360720654281</c:v>
                </c:pt>
                <c:pt idx="70">
                  <c:v>154.59226567692897</c:v>
                </c:pt>
                <c:pt idx="71">
                  <c:v>203.49876947904383</c:v>
                </c:pt>
                <c:pt idx="72">
                  <c:v>176.61320044368793</c:v>
                </c:pt>
                <c:pt idx="73">
                  <c:v>243.07167403242659</c:v>
                </c:pt>
                <c:pt idx="74">
                  <c:v>124.45269710460242</c:v>
                </c:pt>
                <c:pt idx="75">
                  <c:v>207.71009112086188</c:v>
                </c:pt>
                <c:pt idx="76">
                  <c:v>178.25231671049326</c:v>
                </c:pt>
                <c:pt idx="77">
                  <c:v>147.68867472463879</c:v>
                </c:pt>
                <c:pt idx="78">
                  <c:v>123.91726414016325</c:v>
                </c:pt>
                <c:pt idx="79">
                  <c:v>335.50528606987314</c:v>
                </c:pt>
                <c:pt idx="80">
                  <c:v>335.50528606987314</c:v>
                </c:pt>
                <c:pt idx="81">
                  <c:v>335.50528606987314</c:v>
                </c:pt>
                <c:pt idx="82">
                  <c:v>111.23894845107783</c:v>
                </c:pt>
                <c:pt idx="83">
                  <c:v>124.78049887620632</c:v>
                </c:pt>
                <c:pt idx="84">
                  <c:v>243.61692569533994</c:v>
                </c:pt>
              </c:numCache>
            </c:numRef>
          </c:yVal>
          <c:smooth val="1"/>
          <c:extLst>
            <c:ext xmlns:c16="http://schemas.microsoft.com/office/drawing/2014/chart" uri="{C3380CC4-5D6E-409C-BE32-E72D297353CC}">
              <c16:uniqueId val="{00000002-79E3-4F03-AA7E-5FBC323753FD}"/>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47708312099237832"/>
                  <c:y val="-0.24256943803812991"/>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Stats'!$AA$99:$AA$112</c:f>
              <c:numCache>
                <c:formatCode>0.000</c:formatCode>
                <c:ptCount val="14"/>
                <c:pt idx="0">
                  <c:v>2.5164296498508452</c:v>
                </c:pt>
                <c:pt idx="1">
                  <c:v>2.1681106757026658</c:v>
                </c:pt>
                <c:pt idx="2">
                  <c:v>2.3618661121023545</c:v>
                </c:pt>
                <c:pt idx="3">
                  <c:v>2.6918911642423904</c:v>
                </c:pt>
                <c:pt idx="4">
                  <c:v>2.4334989120752724</c:v>
                </c:pt>
                <c:pt idx="5">
                  <c:v>1.9691089871408007</c:v>
                </c:pt>
                <c:pt idx="6">
                  <c:v>2.0712619805709669</c:v>
                </c:pt>
                <c:pt idx="7">
                  <c:v>1.9076183527014858</c:v>
                </c:pt>
                <c:pt idx="8">
                  <c:v>2.5337321871449698</c:v>
                </c:pt>
                <c:pt idx="9">
                  <c:v>1.8548520509735185</c:v>
                </c:pt>
                <c:pt idx="10">
                  <c:v>2.4264420616455706</c:v>
                </c:pt>
                <c:pt idx="11">
                  <c:v>1.9018299064684803</c:v>
                </c:pt>
                <c:pt idx="12">
                  <c:v>1.8565495046872162</c:v>
                </c:pt>
                <c:pt idx="13">
                  <c:v>2.1202846340841672</c:v>
                </c:pt>
              </c:numCache>
            </c:numRef>
          </c:xVal>
          <c:yVal>
            <c:numRef>
              <c:f>'Task 1 Converted AMI PDF Stats'!$AO$99:$AO$112</c:f>
              <c:numCache>
                <c:formatCode>0.0</c:formatCode>
                <c:ptCount val="14"/>
                <c:pt idx="0">
                  <c:v>246.85700541337096</c:v>
                </c:pt>
                <c:pt idx="1">
                  <c:v>167.29080221402376</c:v>
                </c:pt>
                <c:pt idx="2">
                  <c:v>188.75796582437744</c:v>
                </c:pt>
                <c:pt idx="3">
                  <c:v>195.58705563969505</c:v>
                </c:pt>
                <c:pt idx="4">
                  <c:v>183.63641522349215</c:v>
                </c:pt>
                <c:pt idx="5">
                  <c:v>141.91390406759641</c:v>
                </c:pt>
                <c:pt idx="6">
                  <c:v>182.271670585674</c:v>
                </c:pt>
                <c:pt idx="7">
                  <c:v>118.27754463054094</c:v>
                </c:pt>
                <c:pt idx="8">
                  <c:v>189.61863180975163</c:v>
                </c:pt>
                <c:pt idx="9">
                  <c:v>379.92415369725211</c:v>
                </c:pt>
                <c:pt idx="10">
                  <c:v>195.64199781382439</c:v>
                </c:pt>
                <c:pt idx="11">
                  <c:v>128.28238286582126</c:v>
                </c:pt>
                <c:pt idx="12">
                  <c:v>133.77151742060852</c:v>
                </c:pt>
                <c:pt idx="13">
                  <c:v>155.01636508793578</c:v>
                </c:pt>
              </c:numCache>
            </c:numRef>
          </c:yVal>
          <c:smooth val="1"/>
          <c:extLst>
            <c:ext xmlns:c16="http://schemas.microsoft.com/office/drawing/2014/chart" uri="{C3380CC4-5D6E-409C-BE32-E72D297353CC}">
              <c16:uniqueId val="{00000003-79E3-4F03-AA7E-5FBC323753FD}"/>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2879442738825229"/>
                  <c:y val="-2.3304623079885067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Stats'!$AA$113:$AA$276</c:f>
              <c:numCache>
                <c:formatCode>0.000</c:formatCode>
                <c:ptCount val="164"/>
                <c:pt idx="3">
                  <c:v>2.6802024507205884</c:v>
                </c:pt>
                <c:pt idx="4">
                  <c:v>2.6802024507205884</c:v>
                </c:pt>
                <c:pt idx="5">
                  <c:v>2.2598042570673593</c:v>
                </c:pt>
                <c:pt idx="6">
                  <c:v>1.9586239398603837</c:v>
                </c:pt>
                <c:pt idx="7">
                  <c:v>1.8617191553991561</c:v>
                </c:pt>
                <c:pt idx="9">
                  <c:v>3.1776254911569746</c:v>
                </c:pt>
                <c:pt idx="10">
                  <c:v>3.76297755531747</c:v>
                </c:pt>
                <c:pt idx="11">
                  <c:v>1.5549156853163308</c:v>
                </c:pt>
                <c:pt idx="12">
                  <c:v>4.1575285703645211</c:v>
                </c:pt>
                <c:pt idx="13">
                  <c:v>1.8823236253715079</c:v>
                </c:pt>
                <c:pt idx="14">
                  <c:v>1.7959765430568075</c:v>
                </c:pt>
                <c:pt idx="15">
                  <c:v>1.8729813961089876</c:v>
                </c:pt>
                <c:pt idx="17">
                  <c:v>1.6208298841151914</c:v>
                </c:pt>
                <c:pt idx="18">
                  <c:v>2.0073595498509755</c:v>
                </c:pt>
                <c:pt idx="19">
                  <c:v>2.3538306493316821</c:v>
                </c:pt>
                <c:pt idx="20">
                  <c:v>1.8010891385630652</c:v>
                </c:pt>
                <c:pt idx="21">
                  <c:v>2.1143220322262066</c:v>
                </c:pt>
                <c:pt idx="22">
                  <c:v>1.9429279842221934</c:v>
                </c:pt>
                <c:pt idx="23">
                  <c:v>1.7081986096172024</c:v>
                </c:pt>
                <c:pt idx="24">
                  <c:v>1.9393531043942926</c:v>
                </c:pt>
                <c:pt idx="25">
                  <c:v>1.3963342351638905</c:v>
                </c:pt>
                <c:pt idx="26">
                  <c:v>2.0906896664797538</c:v>
                </c:pt>
                <c:pt idx="27">
                  <c:v>2.4778544195315599</c:v>
                </c:pt>
                <c:pt idx="28">
                  <c:v>2.4733937933183427</c:v>
                </c:pt>
                <c:pt idx="30">
                  <c:v>1.7761637979443932</c:v>
                </c:pt>
                <c:pt idx="31">
                  <c:v>2.0060533812652697</c:v>
                </c:pt>
                <c:pt idx="32">
                  <c:v>2.3146769783830035</c:v>
                </c:pt>
                <c:pt idx="33">
                  <c:v>2.0025184533971014</c:v>
                </c:pt>
                <c:pt idx="34">
                  <c:v>3.4658973231872907</c:v>
                </c:pt>
                <c:pt idx="35">
                  <c:v>1.6174187508207356</c:v>
                </c:pt>
                <c:pt idx="36">
                  <c:v>2.0759123139622355</c:v>
                </c:pt>
                <c:pt idx="37">
                  <c:v>1.0763989776100482</c:v>
                </c:pt>
                <c:pt idx="38">
                  <c:v>1.3839415426414903</c:v>
                </c:pt>
                <c:pt idx="39">
                  <c:v>1.5324374711227635</c:v>
                </c:pt>
                <c:pt idx="40">
                  <c:v>1.5324374711227635</c:v>
                </c:pt>
                <c:pt idx="41">
                  <c:v>2.2986562066841452</c:v>
                </c:pt>
                <c:pt idx="42">
                  <c:v>1.9123083556889577</c:v>
                </c:pt>
                <c:pt idx="43">
                  <c:v>1.9091078134426536</c:v>
                </c:pt>
                <c:pt idx="44">
                  <c:v>1.680014875829535</c:v>
                </c:pt>
                <c:pt idx="45">
                  <c:v>2.0550426927633425</c:v>
                </c:pt>
                <c:pt idx="46">
                  <c:v>2.2760029008790399</c:v>
                </c:pt>
                <c:pt idx="47">
                  <c:v>1.2876796073825534</c:v>
                </c:pt>
                <c:pt idx="48">
                  <c:v>1.8906572782012951</c:v>
                </c:pt>
                <c:pt idx="49">
                  <c:v>2.2548254098171179</c:v>
                </c:pt>
                <c:pt idx="50">
                  <c:v>1.8038603278536942</c:v>
                </c:pt>
                <c:pt idx="51">
                  <c:v>2.2548254098171179</c:v>
                </c:pt>
                <c:pt idx="52">
                  <c:v>2.0889698459545594</c:v>
                </c:pt>
                <c:pt idx="53">
                  <c:v>2.2381819778084564</c:v>
                </c:pt>
                <c:pt idx="54">
                  <c:v>1.7905455822467651</c:v>
                </c:pt>
                <c:pt idx="55">
                  <c:v>1.8651516481737136</c:v>
                </c:pt>
                <c:pt idx="56">
                  <c:v>2.611212307443199</c:v>
                </c:pt>
                <c:pt idx="57">
                  <c:v>1.7905455822467651</c:v>
                </c:pt>
                <c:pt idx="58">
                  <c:v>2.3839515594120546</c:v>
                </c:pt>
                <c:pt idx="59">
                  <c:v>1.7110156116268747</c:v>
                </c:pt>
                <c:pt idx="60">
                  <c:v>3.1156493672098629</c:v>
                </c:pt>
                <c:pt idx="61">
                  <c:v>2.0742046494229696</c:v>
                </c:pt>
                <c:pt idx="62">
                  <c:v>1.6297322245466188</c:v>
                </c:pt>
                <c:pt idx="63">
                  <c:v>2.339105801127324</c:v>
                </c:pt>
                <c:pt idx="64">
                  <c:v>1.5350381819898062</c:v>
                </c:pt>
                <c:pt idx="65">
                  <c:v>1.5350381819898062</c:v>
                </c:pt>
                <c:pt idx="66">
                  <c:v>1.6727619818384931</c:v>
                </c:pt>
                <c:pt idx="67">
                  <c:v>2.324438874018226</c:v>
                </c:pt>
                <c:pt idx="68">
                  <c:v>2.3159396795747824</c:v>
                </c:pt>
                <c:pt idx="69">
                  <c:v>1.800731925644989</c:v>
                </c:pt>
                <c:pt idx="70">
                  <c:v>2.8778032463507612</c:v>
                </c:pt>
                <c:pt idx="71">
                  <c:v>1.5791320941764508</c:v>
                </c:pt>
                <c:pt idx="72">
                  <c:v>1.5056277082119847</c:v>
                </c:pt>
                <c:pt idx="73">
                  <c:v>1.882409870952791</c:v>
                </c:pt>
                <c:pt idx="74">
                  <c:v>1.7168198878166423</c:v>
                </c:pt>
                <c:pt idx="75">
                  <c:v>1.9984805899948046</c:v>
                </c:pt>
                <c:pt idx="76">
                  <c:v>0.78083843416373422</c:v>
                </c:pt>
                <c:pt idx="77">
                  <c:v>2.0574693712342165</c:v>
                </c:pt>
                <c:pt idx="78">
                  <c:v>1.409292929290979</c:v>
                </c:pt>
                <c:pt idx="79">
                  <c:v>1.409292929290979</c:v>
                </c:pt>
                <c:pt idx="80">
                  <c:v>1.2644906648138352</c:v>
                </c:pt>
                <c:pt idx="81">
                  <c:v>2.0311261489831538</c:v>
                </c:pt>
                <c:pt idx="82">
                  <c:v>1.6776197665672301</c:v>
                </c:pt>
                <c:pt idx="83">
                  <c:v>1.957223060995102</c:v>
                </c:pt>
                <c:pt idx="84">
                  <c:v>1.5378181193532943</c:v>
                </c:pt>
                <c:pt idx="85">
                  <c:v>1.9386662966524508</c:v>
                </c:pt>
                <c:pt idx="86">
                  <c:v>1.52323780451264</c:v>
                </c:pt>
                <c:pt idx="87">
                  <c:v>1.5924758865359419</c:v>
                </c:pt>
                <c:pt idx="88">
                  <c:v>2.2848567067689602</c:v>
                </c:pt>
                <c:pt idx="89">
                  <c:v>2.2848567067689602</c:v>
                </c:pt>
                <c:pt idx="90">
                  <c:v>1.7293544904966767</c:v>
                </c:pt>
                <c:pt idx="91">
                  <c:v>1.8526580894601548</c:v>
                </c:pt>
                <c:pt idx="92">
                  <c:v>1.7154241569075506</c:v>
                </c:pt>
                <c:pt idx="93">
                  <c:v>1.9212750557364568</c:v>
                </c:pt>
                <c:pt idx="94">
                  <c:v>1.6396931646346868</c:v>
                </c:pt>
                <c:pt idx="95">
                  <c:v>1.8446548102140228</c:v>
                </c:pt>
                <c:pt idx="96">
                  <c:v>2.3912191984255853</c:v>
                </c:pt>
                <c:pt idx="97">
                  <c:v>1.7763342616875775</c:v>
                </c:pt>
                <c:pt idx="98">
                  <c:v>2.1770517808483403</c:v>
                </c:pt>
                <c:pt idx="99">
                  <c:v>1.8368874400907873</c:v>
                </c:pt>
                <c:pt idx="100">
                  <c:v>1.9680634897383829</c:v>
                </c:pt>
                <c:pt idx="101">
                  <c:v>2.5643117788539844</c:v>
                </c:pt>
                <c:pt idx="102">
                  <c:v>2.0244566675163038</c:v>
                </c:pt>
                <c:pt idx="103">
                  <c:v>2.2269023342679342</c:v>
                </c:pt>
                <c:pt idx="104">
                  <c:v>2.0244566675163038</c:v>
                </c:pt>
                <c:pt idx="105">
                  <c:v>2.4950246721546208</c:v>
                </c:pt>
                <c:pt idx="106">
                  <c:v>2.0118809829277482</c:v>
                </c:pt>
                <c:pt idx="107">
                  <c:v>2.6705860337166438</c:v>
                </c:pt>
                <c:pt idx="108">
                  <c:v>1.8530898499058128</c:v>
                </c:pt>
                <c:pt idx="109">
                  <c:v>2.2766570071014969</c:v>
                </c:pt>
                <c:pt idx="110">
                  <c:v>1.9731072260069775</c:v>
                </c:pt>
                <c:pt idx="111">
                  <c:v>1.9730201130755749</c:v>
                </c:pt>
                <c:pt idx="112">
                  <c:v>1.5076306139641289</c:v>
                </c:pt>
                <c:pt idx="113">
                  <c:v>1.3109831425775034</c:v>
                </c:pt>
                <c:pt idx="114">
                  <c:v>2.6786600858231666</c:v>
                </c:pt>
                <c:pt idx="115">
                  <c:v>2.2792725810519925</c:v>
                </c:pt>
                <c:pt idx="116">
                  <c:v>1.9536622123302794</c:v>
                </c:pt>
                <c:pt idx="117">
                  <c:v>1.4301479005109514</c:v>
                </c:pt>
                <c:pt idx="118">
                  <c:v>1.6899395487665885</c:v>
                </c:pt>
                <c:pt idx="119">
                  <c:v>1.6221444697088605</c:v>
                </c:pt>
                <c:pt idx="120">
                  <c:v>1.4237022341151575</c:v>
                </c:pt>
                <c:pt idx="121">
                  <c:v>1.7699287060588778</c:v>
                </c:pt>
                <c:pt idx="122">
                  <c:v>1.2771232080101127</c:v>
                </c:pt>
                <c:pt idx="123">
                  <c:v>1.4576884456091312</c:v>
                </c:pt>
                <c:pt idx="124">
                  <c:v>1.0070367397715221</c:v>
                </c:pt>
                <c:pt idx="125">
                  <c:v>0.93877759365255919</c:v>
                </c:pt>
                <c:pt idx="126">
                  <c:v>2.1860868556917641</c:v>
                </c:pt>
                <c:pt idx="127">
                  <c:v>1.4097421406623807</c:v>
                </c:pt>
                <c:pt idx="128">
                  <c:v>1.4703807561331417</c:v>
                </c:pt>
                <c:pt idx="129">
                  <c:v>1.8686088775858676</c:v>
                </c:pt>
                <c:pt idx="130">
                  <c:v>1.8686088775858676</c:v>
                </c:pt>
                <c:pt idx="131">
                  <c:v>1.7154442154886655</c:v>
                </c:pt>
                <c:pt idx="132">
                  <c:v>2.1433888450344658</c:v>
                </c:pt>
                <c:pt idx="133">
                  <c:v>2.1433537244301895</c:v>
                </c:pt>
                <c:pt idx="134">
                  <c:v>1.2592938063436692</c:v>
                </c:pt>
                <c:pt idx="135">
                  <c:v>1.2199545575994333</c:v>
                </c:pt>
                <c:pt idx="136">
                  <c:v>1.5249431969992915</c:v>
                </c:pt>
                <c:pt idx="137">
                  <c:v>1.399933849411664</c:v>
                </c:pt>
                <c:pt idx="138">
                  <c:v>2.4308610880995074</c:v>
                </c:pt>
                <c:pt idx="139">
                  <c:v>1.2122079005518309</c:v>
                </c:pt>
                <c:pt idx="140">
                  <c:v>1.4812744270880982</c:v>
                </c:pt>
                <c:pt idx="141">
                  <c:v>1.3883137968971084</c:v>
                </c:pt>
                <c:pt idx="142">
                  <c:v>1.6813511161766443</c:v>
                </c:pt>
                <c:pt idx="143">
                  <c:v>1.3200234270602176</c:v>
                </c:pt>
                <c:pt idx="144">
                  <c:v>1.3773369753307438</c:v>
                </c:pt>
                <c:pt idx="145">
                  <c:v>2.5018619898609304</c:v>
                </c:pt>
                <c:pt idx="146">
                  <c:v>1.4284966020768219</c:v>
                </c:pt>
                <c:pt idx="147">
                  <c:v>1.6064589164368892</c:v>
                </c:pt>
                <c:pt idx="148">
                  <c:v>1.6064589164368892</c:v>
                </c:pt>
                <c:pt idx="149">
                  <c:v>1.7829655373142002</c:v>
                </c:pt>
                <c:pt idx="150">
                  <c:v>1.5452367990056399</c:v>
                </c:pt>
                <c:pt idx="151">
                  <c:v>1.4135768359906165</c:v>
                </c:pt>
                <c:pt idx="152">
                  <c:v>1.7638899870489388</c:v>
                </c:pt>
                <c:pt idx="153">
                  <c:v>1.2935193238358884</c:v>
                </c:pt>
                <c:pt idx="154">
                  <c:v>1.8175717475343196</c:v>
                </c:pt>
                <c:pt idx="155">
                  <c:v>1.6406494518428532</c:v>
                </c:pt>
                <c:pt idx="156">
                  <c:v>2.2227933120098866</c:v>
                </c:pt>
                <c:pt idx="157">
                  <c:v>1.1679532012258913</c:v>
                </c:pt>
                <c:pt idx="158">
                  <c:v>0.8674991552130713</c:v>
                </c:pt>
                <c:pt idx="159">
                  <c:v>0.86347338365293536</c:v>
                </c:pt>
                <c:pt idx="160">
                  <c:v>0.86216010728212789</c:v>
                </c:pt>
                <c:pt idx="161">
                  <c:v>1.3773770980749882</c:v>
                </c:pt>
                <c:pt idx="162">
                  <c:v>1.4347678104947794</c:v>
                </c:pt>
                <c:pt idx="163">
                  <c:v>1.3672996077231514</c:v>
                </c:pt>
              </c:numCache>
            </c:numRef>
          </c:xVal>
          <c:yVal>
            <c:numRef>
              <c:f>'Task 1 Converted AMI PDF Stats'!$AO$113:$AO$276</c:f>
              <c:numCache>
                <c:formatCode>0.0</c:formatCode>
                <c:ptCount val="164"/>
                <c:pt idx="3">
                  <c:v>141.1402301741891</c:v>
                </c:pt>
                <c:pt idx="4">
                  <c:v>141.1402301741891</c:v>
                </c:pt>
                <c:pt idx="5">
                  <c:v>80.587416585840614</c:v>
                </c:pt>
                <c:pt idx="6">
                  <c:v>63.248603817781941</c:v>
                </c:pt>
                <c:pt idx="7">
                  <c:v>117.01832124016656</c:v>
                </c:pt>
                <c:pt idx="9">
                  <c:v>171.28850341227411</c:v>
                </c:pt>
                <c:pt idx="10">
                  <c:v>298.77207521642049</c:v>
                </c:pt>
                <c:pt idx="11">
                  <c:v>123.57713783566507</c:v>
                </c:pt>
                <c:pt idx="12">
                  <c:v>419.20647286299396</c:v>
                </c:pt>
                <c:pt idx="13">
                  <c:v>124.19176971397229</c:v>
                </c:pt>
                <c:pt idx="14">
                  <c:v>109.78203113021659</c:v>
                </c:pt>
                <c:pt idx="15">
                  <c:v>126.68819071878335</c:v>
                </c:pt>
                <c:pt idx="17">
                  <c:v>50.325903770127709</c:v>
                </c:pt>
                <c:pt idx="18">
                  <c:v>103.53635443712734</c:v>
                </c:pt>
                <c:pt idx="19">
                  <c:v>118.62886397300143</c:v>
                </c:pt>
                <c:pt idx="20">
                  <c:v>84.511590784162408</c:v>
                </c:pt>
                <c:pt idx="21">
                  <c:v>144.17012998119824</c:v>
                </c:pt>
                <c:pt idx="22">
                  <c:v>135.14069567227253</c:v>
                </c:pt>
                <c:pt idx="23">
                  <c:v>165.10380276509872</c:v>
                </c:pt>
                <c:pt idx="24">
                  <c:v>117.95404177429035</c:v>
                </c:pt>
                <c:pt idx="25">
                  <c:v>47.19599011743059</c:v>
                </c:pt>
                <c:pt idx="26">
                  <c:v>148.56599407254947</c:v>
                </c:pt>
                <c:pt idx="27">
                  <c:v>155.66268873506513</c:v>
                </c:pt>
                <c:pt idx="28">
                  <c:v>205.69519557972404</c:v>
                </c:pt>
                <c:pt idx="30">
                  <c:v>245.72975267532195</c:v>
                </c:pt>
                <c:pt idx="31">
                  <c:v>98.205743714286442</c:v>
                </c:pt>
                <c:pt idx="32">
                  <c:v>269.65717956021541</c:v>
                </c:pt>
                <c:pt idx="33">
                  <c:v>124.00329859889354</c:v>
                </c:pt>
                <c:pt idx="34">
                  <c:v>256.45172099478822</c:v>
                </c:pt>
                <c:pt idx="35">
                  <c:v>71.412875977873156</c:v>
                </c:pt>
                <c:pt idx="36">
                  <c:v>117.90640654220275</c:v>
                </c:pt>
                <c:pt idx="37">
                  <c:v>44.597298516026115</c:v>
                </c:pt>
                <c:pt idx="38">
                  <c:v>24.45466209764205</c:v>
                </c:pt>
                <c:pt idx="39">
                  <c:v>82.149266871998591</c:v>
                </c:pt>
                <c:pt idx="40">
                  <c:v>73.233842560308815</c:v>
                </c:pt>
                <c:pt idx="41">
                  <c:v>122.63147771036328</c:v>
                </c:pt>
                <c:pt idx="42">
                  <c:v>139.32602519000596</c:v>
                </c:pt>
                <c:pt idx="43">
                  <c:v>267.1670002519698</c:v>
                </c:pt>
                <c:pt idx="44">
                  <c:v>84.964520664664832</c:v>
                </c:pt>
                <c:pt idx="45">
                  <c:v>161.5386455055843</c:v>
                </c:pt>
                <c:pt idx="46">
                  <c:v>137.20305144239842</c:v>
                </c:pt>
                <c:pt idx="47">
                  <c:v>99.406231895252418</c:v>
                </c:pt>
                <c:pt idx="48">
                  <c:v>197.72003097732477</c:v>
                </c:pt>
                <c:pt idx="49">
                  <c:v>123.97160293193997</c:v>
                </c:pt>
                <c:pt idx="50">
                  <c:v>105.78910116858877</c:v>
                </c:pt>
                <c:pt idx="51">
                  <c:v>177.96669958647715</c:v>
                </c:pt>
                <c:pt idx="52">
                  <c:v>97.141813034676588</c:v>
                </c:pt>
                <c:pt idx="53">
                  <c:v>244.63681678080314</c:v>
                </c:pt>
                <c:pt idx="54">
                  <c:v>72.6473491112273</c:v>
                </c:pt>
                <c:pt idx="55">
                  <c:v>69.455549877068549</c:v>
                </c:pt>
                <c:pt idx="56">
                  <c:v>194.98416799027635</c:v>
                </c:pt>
                <c:pt idx="57">
                  <c:v>96.150903235447885</c:v>
                </c:pt>
                <c:pt idx="58">
                  <c:v>169.43277717635902</c:v>
                </c:pt>
                <c:pt idx="59">
                  <c:v>71.214666503437385</c:v>
                </c:pt>
                <c:pt idx="60">
                  <c:v>199.16055874392202</c:v>
                </c:pt>
                <c:pt idx="61">
                  <c:v>121.3786347334793</c:v>
                </c:pt>
                <c:pt idx="62">
                  <c:v>49.817912960665801</c:v>
                </c:pt>
                <c:pt idx="63">
                  <c:v>140.15037133472515</c:v>
                </c:pt>
                <c:pt idx="64">
                  <c:v>163.90245179454593</c:v>
                </c:pt>
                <c:pt idx="65">
                  <c:v>67.516634972185116</c:v>
                </c:pt>
                <c:pt idx="66">
                  <c:v>78.668043709610032</c:v>
                </c:pt>
                <c:pt idx="67">
                  <c:v>119.76776655719898</c:v>
                </c:pt>
                <c:pt idx="68">
                  <c:v>145.84271555490781</c:v>
                </c:pt>
                <c:pt idx="69">
                  <c:v>51.61212145241705</c:v>
                </c:pt>
                <c:pt idx="70">
                  <c:v>357.90008909594087</c:v>
                </c:pt>
                <c:pt idx="71">
                  <c:v>48.981129261013272</c:v>
                </c:pt>
                <c:pt idx="72">
                  <c:v>64.194792104663421</c:v>
                </c:pt>
                <c:pt idx="73">
                  <c:v>117.01427949424091</c:v>
                </c:pt>
                <c:pt idx="74">
                  <c:v>128.92989055741884</c:v>
                </c:pt>
                <c:pt idx="75">
                  <c:v>106.84977365170518</c:v>
                </c:pt>
                <c:pt idx="76">
                  <c:v>99.755869424456648</c:v>
                </c:pt>
                <c:pt idx="77">
                  <c:v>141.05145971162864</c:v>
                </c:pt>
                <c:pt idx="78">
                  <c:v>84.304525503692545</c:v>
                </c:pt>
                <c:pt idx="79">
                  <c:v>54.031536800093861</c:v>
                </c:pt>
                <c:pt idx="80">
                  <c:v>39.873785503520125</c:v>
                </c:pt>
                <c:pt idx="81">
                  <c:v>118.88622441253456</c:v>
                </c:pt>
                <c:pt idx="82">
                  <c:v>67.768104669154013</c:v>
                </c:pt>
                <c:pt idx="83">
                  <c:v>102.06952790650543</c:v>
                </c:pt>
                <c:pt idx="84">
                  <c:v>34.037899919805618</c:v>
                </c:pt>
                <c:pt idx="85">
                  <c:v>121.49729640987854</c:v>
                </c:pt>
                <c:pt idx="86">
                  <c:v>70.719927779102775</c:v>
                </c:pt>
                <c:pt idx="87">
                  <c:v>64.819686553700691</c:v>
                </c:pt>
                <c:pt idx="88">
                  <c:v>193.81878362738368</c:v>
                </c:pt>
                <c:pt idx="89">
                  <c:v>159.11983750298126</c:v>
                </c:pt>
                <c:pt idx="90">
                  <c:v>124.21475617969845</c:v>
                </c:pt>
                <c:pt idx="91">
                  <c:v>215.97594963449694</c:v>
                </c:pt>
                <c:pt idx="92">
                  <c:v>112.01809118865374</c:v>
                </c:pt>
                <c:pt idx="93">
                  <c:v>157.71947749753096</c:v>
                </c:pt>
                <c:pt idx="94">
                  <c:v>140.86708449443015</c:v>
                </c:pt>
                <c:pt idx="95">
                  <c:v>116.11977287837533</c:v>
                </c:pt>
                <c:pt idx="96">
                  <c:v>201.08270476391073</c:v>
                </c:pt>
                <c:pt idx="97">
                  <c:v>146.83983915531803</c:v>
                </c:pt>
                <c:pt idx="98">
                  <c:v>145.53893979403114</c:v>
                </c:pt>
                <c:pt idx="99">
                  <c:v>131.7317282130623</c:v>
                </c:pt>
                <c:pt idx="100">
                  <c:v>209.29497477067591</c:v>
                </c:pt>
                <c:pt idx="101">
                  <c:v>172.09402425943725</c:v>
                </c:pt>
                <c:pt idx="102">
                  <c:v>142.37546580217392</c:v>
                </c:pt>
                <c:pt idx="103">
                  <c:v>176.34190158111755</c:v>
                </c:pt>
                <c:pt idx="104">
                  <c:v>139.87032564143186</c:v>
                </c:pt>
                <c:pt idx="105">
                  <c:v>129.18503198482898</c:v>
                </c:pt>
                <c:pt idx="106">
                  <c:v>162.99846310669025</c:v>
                </c:pt>
                <c:pt idx="107">
                  <c:v>175.97578352805024</c:v>
                </c:pt>
                <c:pt idx="108">
                  <c:v>240.89965908338073</c:v>
                </c:pt>
                <c:pt idx="109">
                  <c:v>175.26642552926143</c:v>
                </c:pt>
                <c:pt idx="110">
                  <c:v>172.17606681871666</c:v>
                </c:pt>
                <c:pt idx="112">
                  <c:v>80.474619163737827</c:v>
                </c:pt>
                <c:pt idx="113">
                  <c:v>69.017437042095608</c:v>
                </c:pt>
                <c:pt idx="114">
                  <c:v>203.18765593094867</c:v>
                </c:pt>
                <c:pt idx="115">
                  <c:v>159.62086302621847</c:v>
                </c:pt>
                <c:pt idx="116">
                  <c:v>161.27298392581525</c:v>
                </c:pt>
                <c:pt idx="118">
                  <c:v>124.39298304395612</c:v>
                </c:pt>
                <c:pt idx="119">
                  <c:v>103.79184240236935</c:v>
                </c:pt>
                <c:pt idx="120">
                  <c:v>65.221809545862143</c:v>
                </c:pt>
                <c:pt idx="121">
                  <c:v>219.25315953489016</c:v>
                </c:pt>
                <c:pt idx="122">
                  <c:v>94.003198925389569</c:v>
                </c:pt>
                <c:pt idx="123">
                  <c:v>137.26671516447007</c:v>
                </c:pt>
                <c:pt idx="124">
                  <c:v>47.807248095881157</c:v>
                </c:pt>
                <c:pt idx="125">
                  <c:v>73.930999362540788</c:v>
                </c:pt>
                <c:pt idx="126">
                  <c:v>154.02704345497509</c:v>
                </c:pt>
                <c:pt idx="127">
                  <c:v>110.57145999324966</c:v>
                </c:pt>
                <c:pt idx="128">
                  <c:v>108.92075291617239</c:v>
                </c:pt>
                <c:pt idx="129">
                  <c:v>368.85898925011259</c:v>
                </c:pt>
                <c:pt idx="130">
                  <c:v>368.85898925011259</c:v>
                </c:pt>
                <c:pt idx="131">
                  <c:v>103.40126830533374</c:v>
                </c:pt>
                <c:pt idx="132">
                  <c:v>120.68481290980839</c:v>
                </c:pt>
                <c:pt idx="133">
                  <c:v>119.18632889819638</c:v>
                </c:pt>
                <c:pt idx="134">
                  <c:v>105.67388220953448</c:v>
                </c:pt>
                <c:pt idx="135">
                  <c:v>91.245717966487149</c:v>
                </c:pt>
                <c:pt idx="136">
                  <c:v>93.967536258101106</c:v>
                </c:pt>
                <c:pt idx="137">
                  <c:v>89.830044628392116</c:v>
                </c:pt>
                <c:pt idx="138">
                  <c:v>228.88672850175766</c:v>
                </c:pt>
                <c:pt idx="139">
                  <c:v>70.965166446925636</c:v>
                </c:pt>
                <c:pt idx="140">
                  <c:v>100.7918976272535</c:v>
                </c:pt>
                <c:pt idx="141">
                  <c:v>152.2652581260829</c:v>
                </c:pt>
                <c:pt idx="142">
                  <c:v>139.7733588146981</c:v>
                </c:pt>
                <c:pt idx="143">
                  <c:v>72.170759972450668</c:v>
                </c:pt>
                <c:pt idx="144">
                  <c:v>157.53478646764208</c:v>
                </c:pt>
                <c:pt idx="145">
                  <c:v>247.29056475396393</c:v>
                </c:pt>
                <c:pt idx="146">
                  <c:v>100.87115120176784</c:v>
                </c:pt>
                <c:pt idx="147">
                  <c:v>130.02285678450249</c:v>
                </c:pt>
                <c:pt idx="148">
                  <c:v>130.02285678450249</c:v>
                </c:pt>
                <c:pt idx="149">
                  <c:v>259.11446227706961</c:v>
                </c:pt>
                <c:pt idx="150">
                  <c:v>181.550695675947</c:v>
                </c:pt>
                <c:pt idx="151">
                  <c:v>105.19767574753783</c:v>
                </c:pt>
                <c:pt idx="152">
                  <c:v>147.13141101956219</c:v>
                </c:pt>
                <c:pt idx="155">
                  <c:v>155.04418241338064</c:v>
                </c:pt>
                <c:pt idx="156">
                  <c:v>148.87427718231723</c:v>
                </c:pt>
                <c:pt idx="157">
                  <c:v>58.916111755663884</c:v>
                </c:pt>
                <c:pt idx="158">
                  <c:v>122.79627283998238</c:v>
                </c:pt>
                <c:pt idx="159">
                  <c:v>112.59215105906625</c:v>
                </c:pt>
                <c:pt idx="160">
                  <c:v>113.27973937739827</c:v>
                </c:pt>
                <c:pt idx="161">
                  <c:v>101.47862012898386</c:v>
                </c:pt>
                <c:pt idx="162">
                  <c:v>105.52337705108096</c:v>
                </c:pt>
                <c:pt idx="163">
                  <c:v>96.143306532146951</c:v>
                </c:pt>
              </c:numCache>
            </c:numRef>
          </c:yVal>
          <c:smooth val="1"/>
          <c:extLst>
            <c:ext xmlns:c16="http://schemas.microsoft.com/office/drawing/2014/chart" uri="{C3380CC4-5D6E-409C-BE32-E72D297353CC}">
              <c16:uniqueId val="{00000004-79E3-4F03-AA7E-5FBC323753FD}"/>
            </c:ext>
          </c:extLst>
        </c:ser>
        <c:ser>
          <c:idx val="5"/>
          <c:order val="5"/>
          <c:tx>
            <c:v>FRC</c:v>
          </c:tx>
          <c:spPr>
            <a:ln w="19050">
              <a:noFill/>
            </a:ln>
          </c:spPr>
          <c:marker>
            <c:symbol val="plus"/>
            <c:size val="5"/>
            <c:spPr>
              <a:solidFill>
                <a:srgbClr val="993300"/>
              </a:solidFill>
              <a:ln>
                <a:solidFill>
                  <a:srgbClr val="FFCC99"/>
                </a:solidFill>
                <a:prstDash val="solid"/>
              </a:ln>
            </c:spPr>
          </c:marker>
          <c:xVal>
            <c:numRef>
              <c:f>'Task 1 Converted AMI PDF Stats'!$AA$283</c:f>
              <c:numCache>
                <c:formatCode>0.000</c:formatCode>
                <c:ptCount val="1"/>
                <c:pt idx="0">
                  <c:v>1.9450834864481774</c:v>
                </c:pt>
              </c:numCache>
            </c:numRef>
          </c:xVal>
          <c:yVal>
            <c:numRef>
              <c:f>'Task 1 Converted AMI PDF Stats'!$AO$283</c:f>
              <c:numCache>
                <c:formatCode>0.0</c:formatCode>
                <c:ptCount val="1"/>
                <c:pt idx="0">
                  <c:v>96.454197720128022</c:v>
                </c:pt>
              </c:numCache>
            </c:numRef>
          </c:yVal>
          <c:smooth val="1"/>
          <c:extLst>
            <c:ext xmlns:c16="http://schemas.microsoft.com/office/drawing/2014/chart" uri="{C3380CC4-5D6E-409C-BE32-E72D297353CC}">
              <c16:uniqueId val="{00000005-79E3-4F03-AA7E-5FBC323753FD}"/>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Stats'!$AA$284:$AA$294</c:f>
              <c:numCache>
                <c:formatCode>0.000</c:formatCode>
                <c:ptCount val="11"/>
                <c:pt idx="3">
                  <c:v>1.6221444697088605</c:v>
                </c:pt>
                <c:pt idx="6">
                  <c:v>1.9731072260069775</c:v>
                </c:pt>
                <c:pt idx="7">
                  <c:v>1.7699287060588778</c:v>
                </c:pt>
                <c:pt idx="8">
                  <c:v>2.1860868556917641</c:v>
                </c:pt>
                <c:pt idx="9">
                  <c:v>2.0311261489831538</c:v>
                </c:pt>
                <c:pt idx="10">
                  <c:v>1.9386662966524508</c:v>
                </c:pt>
              </c:numCache>
            </c:numRef>
          </c:xVal>
          <c:yVal>
            <c:numRef>
              <c:f>'Task 1 Converted AMI PDF Stats'!$AO$284:$AO$294</c:f>
              <c:numCache>
                <c:formatCode>0.0</c:formatCode>
                <c:ptCount val="11"/>
                <c:pt idx="3">
                  <c:v>103.79184240236935</c:v>
                </c:pt>
                <c:pt idx="6">
                  <c:v>172.17606681871666</c:v>
                </c:pt>
                <c:pt idx="7">
                  <c:v>219.25315953489016</c:v>
                </c:pt>
                <c:pt idx="8">
                  <c:v>154.02704345497509</c:v>
                </c:pt>
                <c:pt idx="9">
                  <c:v>118.88622441253456</c:v>
                </c:pt>
                <c:pt idx="10">
                  <c:v>121.49729640987854</c:v>
                </c:pt>
              </c:numCache>
            </c:numRef>
          </c:yVal>
          <c:smooth val="1"/>
          <c:extLst>
            <c:ext xmlns:c16="http://schemas.microsoft.com/office/drawing/2014/chart" uri="{C3380CC4-5D6E-409C-BE32-E72D297353CC}">
              <c16:uniqueId val="{00000006-79E3-4F03-AA7E-5FBC323753FD}"/>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Stats'!$AA$295:$AA$298</c:f>
              <c:numCache>
                <c:formatCode>0.000</c:formatCode>
                <c:ptCount val="4"/>
                <c:pt idx="0">
                  <c:v>2.5337321871449698</c:v>
                </c:pt>
                <c:pt idx="1">
                  <c:v>1.9691089871408007</c:v>
                </c:pt>
                <c:pt idx="2">
                  <c:v>2.0712619805709669</c:v>
                </c:pt>
                <c:pt idx="3">
                  <c:v>1.9076183527014858</c:v>
                </c:pt>
              </c:numCache>
            </c:numRef>
          </c:xVal>
          <c:yVal>
            <c:numRef>
              <c:f>'Task 1 Converted AMI PDF Stats'!$AO$295:$AO$298</c:f>
              <c:numCache>
                <c:formatCode>0.0</c:formatCode>
                <c:ptCount val="4"/>
                <c:pt idx="0">
                  <c:v>189.61863180975163</c:v>
                </c:pt>
                <c:pt idx="1">
                  <c:v>141.91390406759641</c:v>
                </c:pt>
                <c:pt idx="2">
                  <c:v>182.271670585674</c:v>
                </c:pt>
                <c:pt idx="3">
                  <c:v>118.27754463054094</c:v>
                </c:pt>
              </c:numCache>
            </c:numRef>
          </c:yVal>
          <c:smooth val="1"/>
          <c:extLst>
            <c:ext xmlns:c16="http://schemas.microsoft.com/office/drawing/2014/chart" uri="{C3380CC4-5D6E-409C-BE32-E72D297353CC}">
              <c16:uniqueId val="{00000007-79E3-4F03-AA7E-5FBC323753FD}"/>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Stats'!$AA$299:$AA$300</c:f>
              <c:numCache>
                <c:formatCode>0.000</c:formatCode>
                <c:ptCount val="2"/>
                <c:pt idx="0">
                  <c:v>2.6048829497737058</c:v>
                </c:pt>
              </c:numCache>
            </c:numRef>
          </c:xVal>
          <c:yVal>
            <c:numRef>
              <c:f>'Task 1 Converted AMI PDF Stats'!$AO$299:$AO$300</c:f>
              <c:numCache>
                <c:formatCode>0.0</c:formatCode>
                <c:ptCount val="2"/>
                <c:pt idx="0">
                  <c:v>278.2419543220675</c:v>
                </c:pt>
              </c:numCache>
            </c:numRef>
          </c:yVal>
          <c:smooth val="1"/>
          <c:extLst>
            <c:ext xmlns:c16="http://schemas.microsoft.com/office/drawing/2014/chart" uri="{C3380CC4-5D6E-409C-BE32-E72D297353CC}">
              <c16:uniqueId val="{00000008-79E3-4F03-AA7E-5FBC323753FD}"/>
            </c:ext>
          </c:extLst>
        </c:ser>
        <c:dLbls>
          <c:showLegendKey val="0"/>
          <c:showVal val="0"/>
          <c:showCatName val="0"/>
          <c:showSerName val="0"/>
          <c:showPercent val="0"/>
          <c:showBubbleSize val="0"/>
        </c:dLbls>
        <c:axId val="727662072"/>
        <c:axId val="1"/>
      </c:scatterChart>
      <c:valAx>
        <c:axId val="727662072"/>
        <c:scaling>
          <c:orientation val="minMax"/>
          <c:min val="0.5"/>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Fnv</a:t>
                </a:r>
              </a:p>
            </c:rich>
          </c:tx>
          <c:layout>
            <c:manualLayout>
              <c:xMode val="edge"/>
              <c:yMode val="edge"/>
              <c:x val="0.40288568257491675"/>
              <c:y val="0.94453507340946163"/>
            </c:manualLayout>
          </c:layout>
          <c:overlay val="0"/>
          <c:spPr>
            <a:noFill/>
            <a:ln w="25400">
              <a:noFill/>
            </a:ln>
          </c:spPr>
        </c:title>
        <c:numFmt formatCode="0.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Ac</a:t>
                </a:r>
              </a:p>
            </c:rich>
          </c:tx>
          <c:layout>
            <c:manualLayout>
              <c:xMode val="edge"/>
              <c:yMode val="edge"/>
              <c:x val="1.4428412874583796E-2"/>
              <c:y val="0.46655791190864598"/>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62072"/>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803551609322973"/>
          <c:y val="0.4828711256117455"/>
          <c:w val="0.21309655937846839"/>
          <c:h val="0.40619902120717777"/>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Cruise Range vs Volumetric Froude No</a:t>
            </a:r>
          </a:p>
        </c:rich>
      </c:tx>
      <c:layout>
        <c:manualLayout>
          <c:xMode val="edge"/>
          <c:yMode val="edge"/>
          <c:x val="0.3318534961154273"/>
          <c:y val="1.9575856443719411E-2"/>
        </c:manualLayout>
      </c:layout>
      <c:overlay val="0"/>
      <c:spPr>
        <a:noFill/>
        <a:ln w="25400">
          <a:noFill/>
        </a:ln>
      </c:spPr>
    </c:title>
    <c:autoTitleDeleted val="0"/>
    <c:plotArea>
      <c:layout>
        <c:manualLayout>
          <c:layoutTarget val="inner"/>
          <c:xMode val="edge"/>
          <c:yMode val="edge"/>
          <c:x val="9.2119866814650384E-2"/>
          <c:y val="7.01468189233279E-2"/>
          <c:w val="0.66592674805771368"/>
          <c:h val="0.8238172920065253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0504181417612011"/>
                  <c:y val="-0.46945609902193197"/>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Stats'!$AA$5:$AA$279</c:f>
              <c:numCache>
                <c:formatCode>0.000</c:formatCode>
                <c:ptCount val="275"/>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pt idx="8">
                  <c:v>4.2578781301312683</c:v>
                </c:pt>
                <c:pt idx="9">
                  <c:v>3.3448689380599737</c:v>
                </c:pt>
                <c:pt idx="10">
                  <c:v>2.9771509183214606</c:v>
                </c:pt>
                <c:pt idx="11">
                  <c:v>2.9771509183214606</c:v>
                </c:pt>
                <c:pt idx="12">
                  <c:v>2.999427721161795</c:v>
                </c:pt>
                <c:pt idx="13">
                  <c:v>2.2514270068628797</c:v>
                </c:pt>
                <c:pt idx="14">
                  <c:v>2.3576001141871554</c:v>
                </c:pt>
                <c:pt idx="15">
                  <c:v>2.190112809023498</c:v>
                </c:pt>
                <c:pt idx="16">
                  <c:v>2.1818634545719475</c:v>
                </c:pt>
                <c:pt idx="17">
                  <c:v>2.1818634545719475</c:v>
                </c:pt>
                <c:pt idx="18">
                  <c:v>2.0240101110609023</c:v>
                </c:pt>
                <c:pt idx="19">
                  <c:v>1.800731925644989</c:v>
                </c:pt>
                <c:pt idx="20">
                  <c:v>2.6619680028744539</c:v>
                </c:pt>
                <c:pt idx="21">
                  <c:v>2.6467639937173235</c:v>
                </c:pt>
                <c:pt idx="22">
                  <c:v>2.069854896780333</c:v>
                </c:pt>
                <c:pt idx="23">
                  <c:v>2.2595420483327904</c:v>
                </c:pt>
                <c:pt idx="24">
                  <c:v>2.2595420483327904</c:v>
                </c:pt>
                <c:pt idx="25">
                  <c:v>2.1669255318160054</c:v>
                </c:pt>
                <c:pt idx="26">
                  <c:v>3.1455370623135566</c:v>
                </c:pt>
                <c:pt idx="27">
                  <c:v>2.6086473483748582</c:v>
                </c:pt>
                <c:pt idx="28">
                  <c:v>1.5852204308625291</c:v>
                </c:pt>
                <c:pt idx="29">
                  <c:v>2.8819125836046848</c:v>
                </c:pt>
                <c:pt idx="30">
                  <c:v>2.8819125836046848</c:v>
                </c:pt>
                <c:pt idx="31">
                  <c:v>2.8819125836046848</c:v>
                </c:pt>
                <c:pt idx="32">
                  <c:v>2.371371051549791</c:v>
                </c:pt>
                <c:pt idx="33">
                  <c:v>2.371371051549791</c:v>
                </c:pt>
                <c:pt idx="34">
                  <c:v>2.371371051549791</c:v>
                </c:pt>
                <c:pt idx="35">
                  <c:v>2.371371051549791</c:v>
                </c:pt>
                <c:pt idx="36">
                  <c:v>2.1663529822826906</c:v>
                </c:pt>
                <c:pt idx="37">
                  <c:v>2.3618661121023545</c:v>
                </c:pt>
                <c:pt idx="38">
                  <c:v>2.3618661121023545</c:v>
                </c:pt>
                <c:pt idx="39">
                  <c:v>1.8865102430633052</c:v>
                </c:pt>
                <c:pt idx="40">
                  <c:v>2.4198393639787561</c:v>
                </c:pt>
                <c:pt idx="41">
                  <c:v>1.0673659461753169</c:v>
                </c:pt>
                <c:pt idx="42">
                  <c:v>2.2768845030336466</c:v>
                </c:pt>
                <c:pt idx="43">
                  <c:v>2.1060828598451677</c:v>
                </c:pt>
                <c:pt idx="44">
                  <c:v>2.6308096346759702</c:v>
                </c:pt>
                <c:pt idx="45">
                  <c:v>2.4205018391001354</c:v>
                </c:pt>
                <c:pt idx="46">
                  <c:v>2.2881590271964689</c:v>
                </c:pt>
                <c:pt idx="47">
                  <c:v>2.3846608081108682</c:v>
                </c:pt>
                <c:pt idx="48">
                  <c:v>2.6133269129982115</c:v>
                </c:pt>
                <c:pt idx="49">
                  <c:v>2.6786600858231666</c:v>
                </c:pt>
                <c:pt idx="50">
                  <c:v>2.6065565033135569</c:v>
                </c:pt>
                <c:pt idx="51">
                  <c:v>2.6048829497737058</c:v>
                </c:pt>
                <c:pt idx="52">
                  <c:v>2.4746388022850203</c:v>
                </c:pt>
                <c:pt idx="53">
                  <c:v>2.6048829497737058</c:v>
                </c:pt>
                <c:pt idx="54">
                  <c:v>2.6048829497737058</c:v>
                </c:pt>
                <c:pt idx="55">
                  <c:v>2.3694215380899792</c:v>
                </c:pt>
                <c:pt idx="56">
                  <c:v>2.0123854159120369</c:v>
                </c:pt>
                <c:pt idx="57">
                  <c:v>2.0123854159120369</c:v>
                </c:pt>
                <c:pt idx="58">
                  <c:v>2.3369637088010751</c:v>
                </c:pt>
                <c:pt idx="59">
                  <c:v>2.3369637088010751</c:v>
                </c:pt>
                <c:pt idx="60">
                  <c:v>2.4621711827915069</c:v>
                </c:pt>
                <c:pt idx="61">
                  <c:v>2.5917591397805335</c:v>
                </c:pt>
                <c:pt idx="62">
                  <c:v>2.5917591397805335</c:v>
                </c:pt>
                <c:pt idx="63">
                  <c:v>1.7483518224639953</c:v>
                </c:pt>
                <c:pt idx="64">
                  <c:v>2.6532632544873387</c:v>
                </c:pt>
                <c:pt idx="65">
                  <c:v>2.4591220407443628</c:v>
                </c:pt>
                <c:pt idx="66">
                  <c:v>2.3944083028300378</c:v>
                </c:pt>
                <c:pt idx="67">
                  <c:v>2.4193549999763144</c:v>
                </c:pt>
                <c:pt idx="68">
                  <c:v>2.4650646962888745</c:v>
                </c:pt>
                <c:pt idx="69">
                  <c:v>1.9757254171590406</c:v>
                </c:pt>
                <c:pt idx="70">
                  <c:v>1.8992418100053081</c:v>
                </c:pt>
                <c:pt idx="71">
                  <c:v>1.8267821846579544</c:v>
                </c:pt>
                <c:pt idx="72">
                  <c:v>2.4336286613320408</c:v>
                </c:pt>
                <c:pt idx="73">
                  <c:v>1.8548520509735185</c:v>
                </c:pt>
                <c:pt idx="74">
                  <c:v>1.5805140808096707</c:v>
                </c:pt>
                <c:pt idx="75">
                  <c:v>2.3090039333397643</c:v>
                </c:pt>
                <c:pt idx="76">
                  <c:v>2.3383974386850541</c:v>
                </c:pt>
                <c:pt idx="77">
                  <c:v>2.3100409973553808</c:v>
                </c:pt>
                <c:pt idx="78">
                  <c:v>2.160038335189447</c:v>
                </c:pt>
                <c:pt idx="79">
                  <c:v>1.800031945991206</c:v>
                </c:pt>
                <c:pt idx="80">
                  <c:v>2.2756002201116634</c:v>
                </c:pt>
                <c:pt idx="81">
                  <c:v>2.3953686527491196</c:v>
                </c:pt>
                <c:pt idx="82">
                  <c:v>1.9162949221992955</c:v>
                </c:pt>
                <c:pt idx="83">
                  <c:v>2.2729648881756734</c:v>
                </c:pt>
                <c:pt idx="84">
                  <c:v>2.2703507724055916</c:v>
                </c:pt>
                <c:pt idx="85">
                  <c:v>1.9018299064684803</c:v>
                </c:pt>
                <c:pt idx="86">
                  <c:v>1.7829655373142002</c:v>
                </c:pt>
                <c:pt idx="87">
                  <c:v>1.6474433704258884</c:v>
                </c:pt>
                <c:pt idx="88">
                  <c:v>1.6474433704258884</c:v>
                </c:pt>
                <c:pt idx="89">
                  <c:v>1.6474433704258884</c:v>
                </c:pt>
                <c:pt idx="90">
                  <c:v>1.8176719413792313</c:v>
                </c:pt>
                <c:pt idx="91">
                  <c:v>1.8115371711008192</c:v>
                </c:pt>
                <c:pt idx="92">
                  <c:v>2.184138938448057</c:v>
                </c:pt>
                <c:pt idx="93">
                  <c:v>1.9370077776077976</c:v>
                </c:pt>
                <c:pt idx="94">
                  <c:v>2.5164296498508452</c:v>
                </c:pt>
                <c:pt idx="95">
                  <c:v>2.1681106757026658</c:v>
                </c:pt>
                <c:pt idx="96">
                  <c:v>2.3618661121023545</c:v>
                </c:pt>
                <c:pt idx="97">
                  <c:v>2.6918911642423904</c:v>
                </c:pt>
                <c:pt idx="98">
                  <c:v>2.4334989120752724</c:v>
                </c:pt>
                <c:pt idx="99">
                  <c:v>1.9691089871408007</c:v>
                </c:pt>
                <c:pt idx="100">
                  <c:v>2.0712619805709669</c:v>
                </c:pt>
                <c:pt idx="101">
                  <c:v>1.9076183527014858</c:v>
                </c:pt>
                <c:pt idx="102">
                  <c:v>2.5337321871449698</c:v>
                </c:pt>
                <c:pt idx="103">
                  <c:v>1.8548520509735185</c:v>
                </c:pt>
                <c:pt idx="104">
                  <c:v>2.4264420616455706</c:v>
                </c:pt>
                <c:pt idx="105">
                  <c:v>1.9018299064684803</c:v>
                </c:pt>
                <c:pt idx="106">
                  <c:v>1.8565495046872162</c:v>
                </c:pt>
                <c:pt idx="107">
                  <c:v>2.1202846340841672</c:v>
                </c:pt>
                <c:pt idx="111">
                  <c:v>2.6802024507205884</c:v>
                </c:pt>
                <c:pt idx="112">
                  <c:v>2.6802024507205884</c:v>
                </c:pt>
                <c:pt idx="113">
                  <c:v>2.2598042570673593</c:v>
                </c:pt>
                <c:pt idx="114">
                  <c:v>1.9586239398603837</c:v>
                </c:pt>
                <c:pt idx="115">
                  <c:v>1.8617191553991561</c:v>
                </c:pt>
                <c:pt idx="117">
                  <c:v>3.1776254911569746</c:v>
                </c:pt>
                <c:pt idx="118">
                  <c:v>3.76297755531747</c:v>
                </c:pt>
                <c:pt idx="119">
                  <c:v>1.5549156853163308</c:v>
                </c:pt>
                <c:pt idx="120">
                  <c:v>4.1575285703645211</c:v>
                </c:pt>
                <c:pt idx="121">
                  <c:v>1.8823236253715079</c:v>
                </c:pt>
                <c:pt idx="122">
                  <c:v>1.7959765430568075</c:v>
                </c:pt>
                <c:pt idx="123">
                  <c:v>1.8729813961089876</c:v>
                </c:pt>
                <c:pt idx="125">
                  <c:v>1.6208298841151914</c:v>
                </c:pt>
                <c:pt idx="126">
                  <c:v>2.0073595498509755</c:v>
                </c:pt>
                <c:pt idx="127">
                  <c:v>2.3538306493316821</c:v>
                </c:pt>
                <c:pt idx="128">
                  <c:v>1.8010891385630652</c:v>
                </c:pt>
                <c:pt idx="129">
                  <c:v>2.1143220322262066</c:v>
                </c:pt>
                <c:pt idx="130">
                  <c:v>1.9429279842221934</c:v>
                </c:pt>
                <c:pt idx="131">
                  <c:v>1.7081986096172024</c:v>
                </c:pt>
                <c:pt idx="132">
                  <c:v>1.9393531043942926</c:v>
                </c:pt>
                <c:pt idx="133">
                  <c:v>1.3963342351638905</c:v>
                </c:pt>
                <c:pt idx="134">
                  <c:v>2.0906896664797538</c:v>
                </c:pt>
                <c:pt idx="135">
                  <c:v>2.4778544195315599</c:v>
                </c:pt>
                <c:pt idx="136">
                  <c:v>2.4733937933183427</c:v>
                </c:pt>
                <c:pt idx="138">
                  <c:v>1.7761637979443932</c:v>
                </c:pt>
                <c:pt idx="139">
                  <c:v>2.0060533812652697</c:v>
                </c:pt>
                <c:pt idx="140">
                  <c:v>2.3146769783830035</c:v>
                </c:pt>
                <c:pt idx="141">
                  <c:v>2.0025184533971014</c:v>
                </c:pt>
                <c:pt idx="142">
                  <c:v>3.4658973231872907</c:v>
                </c:pt>
                <c:pt idx="143">
                  <c:v>1.6174187508207356</c:v>
                </c:pt>
                <c:pt idx="144">
                  <c:v>2.0759123139622355</c:v>
                </c:pt>
                <c:pt idx="145">
                  <c:v>1.0763989776100482</c:v>
                </c:pt>
                <c:pt idx="146">
                  <c:v>1.3839415426414903</c:v>
                </c:pt>
                <c:pt idx="147">
                  <c:v>1.5324374711227635</c:v>
                </c:pt>
                <c:pt idx="148">
                  <c:v>1.5324374711227635</c:v>
                </c:pt>
                <c:pt idx="149">
                  <c:v>2.2986562066841452</c:v>
                </c:pt>
                <c:pt idx="150">
                  <c:v>1.9123083556889577</c:v>
                </c:pt>
                <c:pt idx="151">
                  <c:v>1.9091078134426536</c:v>
                </c:pt>
                <c:pt idx="152">
                  <c:v>1.680014875829535</c:v>
                </c:pt>
                <c:pt idx="153">
                  <c:v>2.0550426927633425</c:v>
                </c:pt>
                <c:pt idx="154">
                  <c:v>2.2760029008790399</c:v>
                </c:pt>
                <c:pt idx="155">
                  <c:v>1.2876796073825534</c:v>
                </c:pt>
                <c:pt idx="156">
                  <c:v>1.8906572782012951</c:v>
                </c:pt>
                <c:pt idx="157">
                  <c:v>2.2548254098171179</c:v>
                </c:pt>
                <c:pt idx="158">
                  <c:v>1.8038603278536942</c:v>
                </c:pt>
                <c:pt idx="159">
                  <c:v>2.2548254098171179</c:v>
                </c:pt>
                <c:pt idx="160">
                  <c:v>2.0889698459545594</c:v>
                </c:pt>
                <c:pt idx="161">
                  <c:v>2.2381819778084564</c:v>
                </c:pt>
                <c:pt idx="162">
                  <c:v>1.7905455822467651</c:v>
                </c:pt>
                <c:pt idx="163">
                  <c:v>1.8651516481737136</c:v>
                </c:pt>
                <c:pt idx="164">
                  <c:v>2.611212307443199</c:v>
                </c:pt>
                <c:pt idx="165">
                  <c:v>1.7905455822467651</c:v>
                </c:pt>
                <c:pt idx="166">
                  <c:v>2.3839515594120546</c:v>
                </c:pt>
                <c:pt idx="167">
                  <c:v>1.7110156116268747</c:v>
                </c:pt>
                <c:pt idx="168">
                  <c:v>3.1156493672098629</c:v>
                </c:pt>
                <c:pt idx="169">
                  <c:v>2.0742046494229696</c:v>
                </c:pt>
                <c:pt idx="170">
                  <c:v>1.6297322245466188</c:v>
                </c:pt>
                <c:pt idx="171">
                  <c:v>2.339105801127324</c:v>
                </c:pt>
                <c:pt idx="172">
                  <c:v>1.5350381819898062</c:v>
                </c:pt>
                <c:pt idx="173">
                  <c:v>1.5350381819898062</c:v>
                </c:pt>
                <c:pt idx="174">
                  <c:v>1.6727619818384931</c:v>
                </c:pt>
                <c:pt idx="175">
                  <c:v>2.324438874018226</c:v>
                </c:pt>
                <c:pt idx="176">
                  <c:v>2.3159396795747824</c:v>
                </c:pt>
                <c:pt idx="177">
                  <c:v>1.800731925644989</c:v>
                </c:pt>
                <c:pt idx="178">
                  <c:v>2.8778032463507612</c:v>
                </c:pt>
                <c:pt idx="179">
                  <c:v>1.5791320941764508</c:v>
                </c:pt>
                <c:pt idx="180">
                  <c:v>1.5056277082119847</c:v>
                </c:pt>
                <c:pt idx="181">
                  <c:v>1.882409870952791</c:v>
                </c:pt>
                <c:pt idx="182">
                  <c:v>1.7168198878166423</c:v>
                </c:pt>
                <c:pt idx="183">
                  <c:v>1.9984805899948046</c:v>
                </c:pt>
                <c:pt idx="184">
                  <c:v>0.78083843416373422</c:v>
                </c:pt>
                <c:pt idx="185">
                  <c:v>2.0574693712342165</c:v>
                </c:pt>
                <c:pt idx="186">
                  <c:v>1.409292929290979</c:v>
                </c:pt>
                <c:pt idx="187">
                  <c:v>1.409292929290979</c:v>
                </c:pt>
                <c:pt idx="188">
                  <c:v>1.2644906648138352</c:v>
                </c:pt>
                <c:pt idx="189">
                  <c:v>2.0311261489831538</c:v>
                </c:pt>
                <c:pt idx="190">
                  <c:v>1.6776197665672301</c:v>
                </c:pt>
                <c:pt idx="191">
                  <c:v>1.957223060995102</c:v>
                </c:pt>
                <c:pt idx="192">
                  <c:v>1.5378181193532943</c:v>
                </c:pt>
                <c:pt idx="193">
                  <c:v>1.9386662966524508</c:v>
                </c:pt>
                <c:pt idx="194">
                  <c:v>1.52323780451264</c:v>
                </c:pt>
                <c:pt idx="195">
                  <c:v>1.5924758865359419</c:v>
                </c:pt>
                <c:pt idx="196">
                  <c:v>2.2848567067689602</c:v>
                </c:pt>
                <c:pt idx="197">
                  <c:v>2.2848567067689602</c:v>
                </c:pt>
                <c:pt idx="198">
                  <c:v>1.7293544904966767</c:v>
                </c:pt>
                <c:pt idx="199">
                  <c:v>1.8526580894601548</c:v>
                </c:pt>
                <c:pt idx="200">
                  <c:v>1.7154241569075506</c:v>
                </c:pt>
                <c:pt idx="201">
                  <c:v>1.9212750557364568</c:v>
                </c:pt>
                <c:pt idx="202">
                  <c:v>1.6396931646346868</c:v>
                </c:pt>
                <c:pt idx="203">
                  <c:v>1.8446548102140228</c:v>
                </c:pt>
                <c:pt idx="204">
                  <c:v>2.3912191984255853</c:v>
                </c:pt>
                <c:pt idx="205">
                  <c:v>1.7763342616875775</c:v>
                </c:pt>
                <c:pt idx="206">
                  <c:v>2.1770517808483403</c:v>
                </c:pt>
                <c:pt idx="207">
                  <c:v>1.8368874400907873</c:v>
                </c:pt>
                <c:pt idx="208">
                  <c:v>1.9680634897383829</c:v>
                </c:pt>
                <c:pt idx="209">
                  <c:v>2.5643117788539844</c:v>
                </c:pt>
                <c:pt idx="210">
                  <c:v>2.0244566675163038</c:v>
                </c:pt>
                <c:pt idx="211">
                  <c:v>2.2269023342679342</c:v>
                </c:pt>
                <c:pt idx="212">
                  <c:v>2.0244566675163038</c:v>
                </c:pt>
                <c:pt idx="213">
                  <c:v>2.4950246721546208</c:v>
                </c:pt>
                <c:pt idx="214">
                  <c:v>2.0118809829277482</c:v>
                </c:pt>
                <c:pt idx="215">
                  <c:v>2.6705860337166438</c:v>
                </c:pt>
                <c:pt idx="216">
                  <c:v>1.8530898499058128</c:v>
                </c:pt>
                <c:pt idx="217">
                  <c:v>2.2766570071014969</c:v>
                </c:pt>
                <c:pt idx="218">
                  <c:v>1.9731072260069775</c:v>
                </c:pt>
                <c:pt idx="219">
                  <c:v>1.9730201130755749</c:v>
                </c:pt>
                <c:pt idx="220">
                  <c:v>1.5076306139641289</c:v>
                </c:pt>
                <c:pt idx="221">
                  <c:v>1.3109831425775034</c:v>
                </c:pt>
                <c:pt idx="222">
                  <c:v>2.6786600858231666</c:v>
                </c:pt>
                <c:pt idx="223">
                  <c:v>2.2792725810519925</c:v>
                </c:pt>
                <c:pt idx="224">
                  <c:v>1.9536622123302794</c:v>
                </c:pt>
                <c:pt idx="225">
                  <c:v>1.4301479005109514</c:v>
                </c:pt>
                <c:pt idx="226">
                  <c:v>1.6899395487665885</c:v>
                </c:pt>
                <c:pt idx="227">
                  <c:v>1.6221444697088605</c:v>
                </c:pt>
                <c:pt idx="228">
                  <c:v>1.4237022341151575</c:v>
                </c:pt>
                <c:pt idx="229">
                  <c:v>1.7699287060588778</c:v>
                </c:pt>
                <c:pt idx="230">
                  <c:v>1.2771232080101127</c:v>
                </c:pt>
                <c:pt idx="231">
                  <c:v>1.4576884456091312</c:v>
                </c:pt>
                <c:pt idx="232">
                  <c:v>1.0070367397715221</c:v>
                </c:pt>
                <c:pt idx="233">
                  <c:v>0.93877759365255919</c:v>
                </c:pt>
                <c:pt idx="234">
                  <c:v>2.1860868556917641</c:v>
                </c:pt>
                <c:pt idx="235">
                  <c:v>1.4097421406623807</c:v>
                </c:pt>
                <c:pt idx="236">
                  <c:v>1.4703807561331417</c:v>
                </c:pt>
                <c:pt idx="237">
                  <c:v>1.8686088775858676</c:v>
                </c:pt>
                <c:pt idx="238">
                  <c:v>1.8686088775858676</c:v>
                </c:pt>
                <c:pt idx="239">
                  <c:v>1.7154442154886655</c:v>
                </c:pt>
                <c:pt idx="240">
                  <c:v>2.1433888450344658</c:v>
                </c:pt>
                <c:pt idx="241">
                  <c:v>2.1433537244301895</c:v>
                </c:pt>
                <c:pt idx="242">
                  <c:v>1.2592938063436692</c:v>
                </c:pt>
                <c:pt idx="243">
                  <c:v>1.2199545575994333</c:v>
                </c:pt>
                <c:pt idx="244">
                  <c:v>1.5249431969992915</c:v>
                </c:pt>
                <c:pt idx="245">
                  <c:v>1.399933849411664</c:v>
                </c:pt>
                <c:pt idx="246">
                  <c:v>2.4308610880995074</c:v>
                </c:pt>
                <c:pt idx="247">
                  <c:v>1.2122079005518309</c:v>
                </c:pt>
                <c:pt idx="248">
                  <c:v>1.4812744270880982</c:v>
                </c:pt>
                <c:pt idx="249">
                  <c:v>1.3883137968971084</c:v>
                </c:pt>
                <c:pt idx="250">
                  <c:v>1.6813511161766443</c:v>
                </c:pt>
                <c:pt idx="251">
                  <c:v>1.3200234270602176</c:v>
                </c:pt>
                <c:pt idx="252">
                  <c:v>1.3773369753307438</c:v>
                </c:pt>
                <c:pt idx="253">
                  <c:v>2.5018619898609304</c:v>
                </c:pt>
                <c:pt idx="254">
                  <c:v>1.4284966020768219</c:v>
                </c:pt>
                <c:pt idx="255">
                  <c:v>1.6064589164368892</c:v>
                </c:pt>
                <c:pt idx="256">
                  <c:v>1.6064589164368892</c:v>
                </c:pt>
                <c:pt idx="257">
                  <c:v>1.7829655373142002</c:v>
                </c:pt>
                <c:pt idx="258">
                  <c:v>1.5452367990056399</c:v>
                </c:pt>
                <c:pt idx="259">
                  <c:v>1.4135768359906165</c:v>
                </c:pt>
                <c:pt idx="260">
                  <c:v>1.7638899870489388</c:v>
                </c:pt>
                <c:pt idx="261">
                  <c:v>1.2935193238358884</c:v>
                </c:pt>
                <c:pt idx="262">
                  <c:v>1.8175717475343196</c:v>
                </c:pt>
                <c:pt idx="263">
                  <c:v>1.6406494518428532</c:v>
                </c:pt>
                <c:pt idx="264">
                  <c:v>2.2227933120098866</c:v>
                </c:pt>
                <c:pt idx="265">
                  <c:v>1.1679532012258913</c:v>
                </c:pt>
                <c:pt idx="266">
                  <c:v>0.8674991552130713</c:v>
                </c:pt>
                <c:pt idx="267">
                  <c:v>0.86347338365293536</c:v>
                </c:pt>
                <c:pt idx="268">
                  <c:v>0.86216010728212789</c:v>
                </c:pt>
                <c:pt idx="269">
                  <c:v>1.3773770980749882</c:v>
                </c:pt>
                <c:pt idx="270">
                  <c:v>1.4347678104947794</c:v>
                </c:pt>
                <c:pt idx="271">
                  <c:v>1.3672996077231514</c:v>
                </c:pt>
              </c:numCache>
            </c:numRef>
          </c:xVal>
          <c:yVal>
            <c:numRef>
              <c:f>'Task 1 Converted AMI PDF Stats'!$AG$5:$AG$279</c:f>
              <c:numCache>
                <c:formatCode>General</c:formatCode>
                <c:ptCount val="275"/>
                <c:pt idx="0">
                  <c:v>1610</c:v>
                </c:pt>
                <c:pt idx="2">
                  <c:v>1800</c:v>
                </c:pt>
                <c:pt idx="4">
                  <c:v>2200</c:v>
                </c:pt>
                <c:pt idx="5">
                  <c:v>1650</c:v>
                </c:pt>
                <c:pt idx="7">
                  <c:v>4000</c:v>
                </c:pt>
                <c:pt idx="23">
                  <c:v>440</c:v>
                </c:pt>
                <c:pt idx="24">
                  <c:v>1500</c:v>
                </c:pt>
                <c:pt idx="27">
                  <c:v>2000</c:v>
                </c:pt>
                <c:pt idx="30">
                  <c:v>500</c:v>
                </c:pt>
                <c:pt idx="34">
                  <c:v>800</c:v>
                </c:pt>
                <c:pt idx="35">
                  <c:v>800</c:v>
                </c:pt>
                <c:pt idx="42">
                  <c:v>1850</c:v>
                </c:pt>
                <c:pt idx="43">
                  <c:v>2000</c:v>
                </c:pt>
                <c:pt idx="45">
                  <c:v>2300</c:v>
                </c:pt>
                <c:pt idx="46">
                  <c:v>950</c:v>
                </c:pt>
                <c:pt idx="47">
                  <c:v>850</c:v>
                </c:pt>
                <c:pt idx="53">
                  <c:v>500</c:v>
                </c:pt>
                <c:pt idx="55">
                  <c:v>800</c:v>
                </c:pt>
                <c:pt idx="57">
                  <c:v>570</c:v>
                </c:pt>
                <c:pt idx="58">
                  <c:v>570</c:v>
                </c:pt>
                <c:pt idx="62">
                  <c:v>2000</c:v>
                </c:pt>
                <c:pt idx="63">
                  <c:v>1800</c:v>
                </c:pt>
                <c:pt idx="70">
                  <c:v>2100</c:v>
                </c:pt>
                <c:pt idx="72">
                  <c:v>2600</c:v>
                </c:pt>
                <c:pt idx="77">
                  <c:v>2700</c:v>
                </c:pt>
                <c:pt idx="78">
                  <c:v>700</c:v>
                </c:pt>
                <c:pt idx="89">
                  <c:v>1300</c:v>
                </c:pt>
                <c:pt idx="94">
                  <c:v>550</c:v>
                </c:pt>
                <c:pt idx="95">
                  <c:v>1100</c:v>
                </c:pt>
                <c:pt idx="96">
                  <c:v>400</c:v>
                </c:pt>
                <c:pt idx="97">
                  <c:v>500</c:v>
                </c:pt>
                <c:pt idx="98">
                  <c:v>800</c:v>
                </c:pt>
                <c:pt idx="100">
                  <c:v>500</c:v>
                </c:pt>
                <c:pt idx="101">
                  <c:v>300</c:v>
                </c:pt>
                <c:pt idx="102">
                  <c:v>1600</c:v>
                </c:pt>
                <c:pt idx="103">
                  <c:v>1300</c:v>
                </c:pt>
                <c:pt idx="104">
                  <c:v>1300</c:v>
                </c:pt>
                <c:pt idx="105">
                  <c:v>1650</c:v>
                </c:pt>
                <c:pt idx="106">
                  <c:v>1800</c:v>
                </c:pt>
                <c:pt idx="107">
                  <c:v>2500</c:v>
                </c:pt>
                <c:pt idx="109">
                  <c:v>1000</c:v>
                </c:pt>
                <c:pt idx="124">
                  <c:v>1000</c:v>
                </c:pt>
                <c:pt idx="137">
                  <c:v>1000</c:v>
                </c:pt>
                <c:pt idx="166">
                  <c:v>300</c:v>
                </c:pt>
                <c:pt idx="175">
                  <c:v>800</c:v>
                </c:pt>
                <c:pt idx="176">
                  <c:v>550</c:v>
                </c:pt>
                <c:pt idx="180">
                  <c:v>1200</c:v>
                </c:pt>
                <c:pt idx="182">
                  <c:v>1537</c:v>
                </c:pt>
                <c:pt idx="198">
                  <c:v>2375</c:v>
                </c:pt>
                <c:pt idx="205">
                  <c:v>2400</c:v>
                </c:pt>
                <c:pt idx="207">
                  <c:v>3300</c:v>
                </c:pt>
                <c:pt idx="209">
                  <c:v>1700</c:v>
                </c:pt>
                <c:pt idx="213">
                  <c:v>800</c:v>
                </c:pt>
                <c:pt idx="214">
                  <c:v>450</c:v>
                </c:pt>
                <c:pt idx="215">
                  <c:v>2000</c:v>
                </c:pt>
                <c:pt idx="216">
                  <c:v>1100</c:v>
                </c:pt>
                <c:pt idx="217">
                  <c:v>1850</c:v>
                </c:pt>
                <c:pt idx="218">
                  <c:v>1450</c:v>
                </c:pt>
                <c:pt idx="219">
                  <c:v>1350</c:v>
                </c:pt>
                <c:pt idx="220">
                  <c:v>2000</c:v>
                </c:pt>
                <c:pt idx="222">
                  <c:v>180</c:v>
                </c:pt>
                <c:pt idx="224">
                  <c:v>2000</c:v>
                </c:pt>
                <c:pt idx="225">
                  <c:v>2000</c:v>
                </c:pt>
                <c:pt idx="227">
                  <c:v>3000</c:v>
                </c:pt>
                <c:pt idx="228">
                  <c:v>2500</c:v>
                </c:pt>
                <c:pt idx="231">
                  <c:v>2400</c:v>
                </c:pt>
                <c:pt idx="234">
                  <c:v>2500</c:v>
                </c:pt>
                <c:pt idx="240">
                  <c:v>1800</c:v>
                </c:pt>
                <c:pt idx="241">
                  <c:v>1800</c:v>
                </c:pt>
                <c:pt idx="242">
                  <c:v>4900</c:v>
                </c:pt>
                <c:pt idx="245">
                  <c:v>4500</c:v>
                </c:pt>
                <c:pt idx="246">
                  <c:v>2000</c:v>
                </c:pt>
                <c:pt idx="249">
                  <c:v>4500</c:v>
                </c:pt>
                <c:pt idx="253">
                  <c:v>2000</c:v>
                </c:pt>
                <c:pt idx="254">
                  <c:v>4200</c:v>
                </c:pt>
                <c:pt idx="258">
                  <c:v>2000</c:v>
                </c:pt>
                <c:pt idx="259">
                  <c:v>2400</c:v>
                </c:pt>
                <c:pt idx="260">
                  <c:v>2400</c:v>
                </c:pt>
                <c:pt idx="262">
                  <c:v>3000</c:v>
                </c:pt>
                <c:pt idx="264">
                  <c:v>2900</c:v>
                </c:pt>
              </c:numCache>
            </c:numRef>
          </c:yVal>
          <c:smooth val="1"/>
          <c:extLst>
            <c:ext xmlns:c16="http://schemas.microsoft.com/office/drawing/2014/chart" uri="{C3380CC4-5D6E-409C-BE32-E72D297353CC}">
              <c16:uniqueId val="{00000000-16C1-4D62-B078-388F5C773771}"/>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51744336735052021"/>
                  <c:y val="-0.65759539224701302"/>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Stats'!$AA$5:$AA$12</c:f>
              <c:numCache>
                <c:formatCode>0.000</c:formatCode>
                <c:ptCount val="8"/>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numCache>
            </c:numRef>
          </c:xVal>
          <c:yVal>
            <c:numRef>
              <c:f>'Task 1 Converted AMI PDF Stats'!$AG$5:$AG$12</c:f>
              <c:numCache>
                <c:formatCode>General</c:formatCode>
                <c:ptCount val="8"/>
                <c:pt idx="0">
                  <c:v>1610</c:v>
                </c:pt>
                <c:pt idx="2">
                  <c:v>1800</c:v>
                </c:pt>
                <c:pt idx="4">
                  <c:v>2200</c:v>
                </c:pt>
                <c:pt idx="5">
                  <c:v>1650</c:v>
                </c:pt>
                <c:pt idx="7">
                  <c:v>4000</c:v>
                </c:pt>
              </c:numCache>
            </c:numRef>
          </c:yVal>
          <c:smooth val="1"/>
          <c:extLst>
            <c:ext xmlns:c16="http://schemas.microsoft.com/office/drawing/2014/chart" uri="{C3380CC4-5D6E-409C-BE32-E72D297353CC}">
              <c16:uniqueId val="{00000001-16C1-4D62-B078-388F5C773771}"/>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0615169208954964"/>
                  <c:y val="-0.66237854694347598"/>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Stats'!$AA$13:$AA$98</c:f>
              <c:numCache>
                <c:formatCode>0.000</c:formatCode>
                <c:ptCount val="86"/>
                <c:pt idx="0">
                  <c:v>4.2578781301312683</c:v>
                </c:pt>
                <c:pt idx="1">
                  <c:v>3.3448689380599737</c:v>
                </c:pt>
                <c:pt idx="2">
                  <c:v>2.9771509183214606</c:v>
                </c:pt>
                <c:pt idx="3">
                  <c:v>2.9771509183214606</c:v>
                </c:pt>
                <c:pt idx="4">
                  <c:v>2.999427721161795</c:v>
                </c:pt>
                <c:pt idx="5">
                  <c:v>2.2514270068628797</c:v>
                </c:pt>
                <c:pt idx="6">
                  <c:v>2.3576001141871554</c:v>
                </c:pt>
                <c:pt idx="7">
                  <c:v>2.190112809023498</c:v>
                </c:pt>
                <c:pt idx="8">
                  <c:v>2.1818634545719475</c:v>
                </c:pt>
                <c:pt idx="9">
                  <c:v>2.1818634545719475</c:v>
                </c:pt>
                <c:pt idx="10">
                  <c:v>2.0240101110609023</c:v>
                </c:pt>
                <c:pt idx="11">
                  <c:v>1.800731925644989</c:v>
                </c:pt>
                <c:pt idx="12">
                  <c:v>2.6619680028744539</c:v>
                </c:pt>
                <c:pt idx="13">
                  <c:v>2.6467639937173235</c:v>
                </c:pt>
                <c:pt idx="14">
                  <c:v>2.069854896780333</c:v>
                </c:pt>
                <c:pt idx="15">
                  <c:v>2.2595420483327904</c:v>
                </c:pt>
                <c:pt idx="16">
                  <c:v>2.2595420483327904</c:v>
                </c:pt>
                <c:pt idx="17">
                  <c:v>2.1669255318160054</c:v>
                </c:pt>
                <c:pt idx="18">
                  <c:v>3.1455370623135566</c:v>
                </c:pt>
                <c:pt idx="19">
                  <c:v>2.6086473483748582</c:v>
                </c:pt>
                <c:pt idx="20">
                  <c:v>1.5852204308625291</c:v>
                </c:pt>
                <c:pt idx="21">
                  <c:v>2.8819125836046848</c:v>
                </c:pt>
                <c:pt idx="22">
                  <c:v>2.8819125836046848</c:v>
                </c:pt>
                <c:pt idx="23">
                  <c:v>2.8819125836046848</c:v>
                </c:pt>
                <c:pt idx="24">
                  <c:v>2.371371051549791</c:v>
                </c:pt>
                <c:pt idx="25">
                  <c:v>2.371371051549791</c:v>
                </c:pt>
                <c:pt idx="26">
                  <c:v>2.371371051549791</c:v>
                </c:pt>
                <c:pt idx="27">
                  <c:v>2.371371051549791</c:v>
                </c:pt>
                <c:pt idx="28">
                  <c:v>2.1663529822826906</c:v>
                </c:pt>
                <c:pt idx="29">
                  <c:v>2.3618661121023545</c:v>
                </c:pt>
                <c:pt idx="30">
                  <c:v>2.3618661121023545</c:v>
                </c:pt>
                <c:pt idx="31">
                  <c:v>1.8865102430633052</c:v>
                </c:pt>
                <c:pt idx="32">
                  <c:v>2.4198393639787561</c:v>
                </c:pt>
                <c:pt idx="33">
                  <c:v>1.0673659461753169</c:v>
                </c:pt>
                <c:pt idx="34">
                  <c:v>2.2768845030336466</c:v>
                </c:pt>
                <c:pt idx="35">
                  <c:v>2.1060828598451677</c:v>
                </c:pt>
                <c:pt idx="36">
                  <c:v>2.6308096346759702</c:v>
                </c:pt>
                <c:pt idx="37">
                  <c:v>2.4205018391001354</c:v>
                </c:pt>
                <c:pt idx="38">
                  <c:v>2.2881590271964689</c:v>
                </c:pt>
                <c:pt idx="39">
                  <c:v>2.3846608081108682</c:v>
                </c:pt>
                <c:pt idx="40">
                  <c:v>2.6133269129982115</c:v>
                </c:pt>
                <c:pt idx="41">
                  <c:v>2.6786600858231666</c:v>
                </c:pt>
                <c:pt idx="42">
                  <c:v>2.6065565033135569</c:v>
                </c:pt>
                <c:pt idx="43">
                  <c:v>2.6048829497737058</c:v>
                </c:pt>
                <c:pt idx="44">
                  <c:v>2.4746388022850203</c:v>
                </c:pt>
                <c:pt idx="45">
                  <c:v>2.6048829497737058</c:v>
                </c:pt>
                <c:pt idx="46">
                  <c:v>2.6048829497737058</c:v>
                </c:pt>
                <c:pt idx="47">
                  <c:v>2.3694215380899792</c:v>
                </c:pt>
                <c:pt idx="48">
                  <c:v>2.0123854159120369</c:v>
                </c:pt>
                <c:pt idx="49">
                  <c:v>2.0123854159120369</c:v>
                </c:pt>
                <c:pt idx="50">
                  <c:v>2.3369637088010751</c:v>
                </c:pt>
                <c:pt idx="51">
                  <c:v>2.3369637088010751</c:v>
                </c:pt>
                <c:pt idx="52">
                  <c:v>2.4621711827915069</c:v>
                </c:pt>
                <c:pt idx="53">
                  <c:v>2.5917591397805335</c:v>
                </c:pt>
                <c:pt idx="54">
                  <c:v>2.5917591397805335</c:v>
                </c:pt>
                <c:pt idx="55">
                  <c:v>1.7483518224639953</c:v>
                </c:pt>
                <c:pt idx="56">
                  <c:v>2.6532632544873387</c:v>
                </c:pt>
                <c:pt idx="57">
                  <c:v>2.4591220407443628</c:v>
                </c:pt>
                <c:pt idx="58">
                  <c:v>2.3944083028300378</c:v>
                </c:pt>
                <c:pt idx="59">
                  <c:v>2.4193549999763144</c:v>
                </c:pt>
                <c:pt idx="60">
                  <c:v>2.4650646962888745</c:v>
                </c:pt>
                <c:pt idx="61">
                  <c:v>1.9757254171590406</c:v>
                </c:pt>
                <c:pt idx="62">
                  <c:v>1.8992418100053081</c:v>
                </c:pt>
                <c:pt idx="63">
                  <c:v>1.8267821846579544</c:v>
                </c:pt>
                <c:pt idx="64">
                  <c:v>2.4336286613320408</c:v>
                </c:pt>
                <c:pt idx="65">
                  <c:v>1.8548520509735185</c:v>
                </c:pt>
                <c:pt idx="66">
                  <c:v>1.5805140808096707</c:v>
                </c:pt>
                <c:pt idx="67">
                  <c:v>2.3090039333397643</c:v>
                </c:pt>
                <c:pt idx="68">
                  <c:v>2.3383974386850541</c:v>
                </c:pt>
                <c:pt idx="69">
                  <c:v>2.3100409973553808</c:v>
                </c:pt>
                <c:pt idx="70">
                  <c:v>2.160038335189447</c:v>
                </c:pt>
                <c:pt idx="71">
                  <c:v>1.800031945991206</c:v>
                </c:pt>
                <c:pt idx="72">
                  <c:v>2.2756002201116634</c:v>
                </c:pt>
                <c:pt idx="73">
                  <c:v>2.3953686527491196</c:v>
                </c:pt>
                <c:pt idx="74">
                  <c:v>1.9162949221992955</c:v>
                </c:pt>
                <c:pt idx="75">
                  <c:v>2.2729648881756734</c:v>
                </c:pt>
                <c:pt idx="76">
                  <c:v>2.2703507724055916</c:v>
                </c:pt>
                <c:pt idx="77">
                  <c:v>1.9018299064684803</c:v>
                </c:pt>
                <c:pt idx="78">
                  <c:v>1.7829655373142002</c:v>
                </c:pt>
                <c:pt idx="79">
                  <c:v>1.6474433704258884</c:v>
                </c:pt>
                <c:pt idx="80">
                  <c:v>1.6474433704258884</c:v>
                </c:pt>
                <c:pt idx="81">
                  <c:v>1.6474433704258884</c:v>
                </c:pt>
                <c:pt idx="82">
                  <c:v>1.8176719413792313</c:v>
                </c:pt>
                <c:pt idx="83">
                  <c:v>1.8115371711008192</c:v>
                </c:pt>
                <c:pt idx="84">
                  <c:v>2.184138938448057</c:v>
                </c:pt>
                <c:pt idx="85">
                  <c:v>1.9370077776077976</c:v>
                </c:pt>
              </c:numCache>
            </c:numRef>
          </c:xVal>
          <c:yVal>
            <c:numRef>
              <c:f>'Task 1 Converted AMI PDF Stats'!$AG$13:$AG$98</c:f>
              <c:numCache>
                <c:formatCode>General</c:formatCode>
                <c:ptCount val="86"/>
                <c:pt idx="15">
                  <c:v>440</c:v>
                </c:pt>
                <c:pt idx="16">
                  <c:v>1500</c:v>
                </c:pt>
                <c:pt idx="19">
                  <c:v>2000</c:v>
                </c:pt>
                <c:pt idx="22">
                  <c:v>500</c:v>
                </c:pt>
                <c:pt idx="26">
                  <c:v>800</c:v>
                </c:pt>
                <c:pt idx="27">
                  <c:v>800</c:v>
                </c:pt>
                <c:pt idx="34">
                  <c:v>1850</c:v>
                </c:pt>
                <c:pt idx="35">
                  <c:v>2000</c:v>
                </c:pt>
                <c:pt idx="37">
                  <c:v>2300</c:v>
                </c:pt>
                <c:pt idx="38">
                  <c:v>950</c:v>
                </c:pt>
                <c:pt idx="39">
                  <c:v>850</c:v>
                </c:pt>
                <c:pt idx="45">
                  <c:v>500</c:v>
                </c:pt>
                <c:pt idx="47">
                  <c:v>800</c:v>
                </c:pt>
                <c:pt idx="49">
                  <c:v>570</c:v>
                </c:pt>
                <c:pt idx="50">
                  <c:v>570</c:v>
                </c:pt>
                <c:pt idx="54">
                  <c:v>2000</c:v>
                </c:pt>
                <c:pt idx="55">
                  <c:v>1800</c:v>
                </c:pt>
                <c:pt idx="62">
                  <c:v>2100</c:v>
                </c:pt>
                <c:pt idx="64">
                  <c:v>2600</c:v>
                </c:pt>
                <c:pt idx="69">
                  <c:v>2700</c:v>
                </c:pt>
                <c:pt idx="70">
                  <c:v>700</c:v>
                </c:pt>
                <c:pt idx="81">
                  <c:v>1300</c:v>
                </c:pt>
              </c:numCache>
            </c:numRef>
          </c:yVal>
          <c:smooth val="1"/>
          <c:extLst>
            <c:ext xmlns:c16="http://schemas.microsoft.com/office/drawing/2014/chart" uri="{C3380CC4-5D6E-409C-BE32-E72D297353CC}">
              <c16:uniqueId val="{00000002-16C1-4D62-B078-388F5C773771}"/>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46685975646725353"/>
                  <c:y val="-0.5819742479379888"/>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Stats'!$AA$99:$AA$112</c:f>
              <c:numCache>
                <c:formatCode>0.000</c:formatCode>
                <c:ptCount val="14"/>
                <c:pt idx="0">
                  <c:v>2.5164296498508452</c:v>
                </c:pt>
                <c:pt idx="1">
                  <c:v>2.1681106757026658</c:v>
                </c:pt>
                <c:pt idx="2">
                  <c:v>2.3618661121023545</c:v>
                </c:pt>
                <c:pt idx="3">
                  <c:v>2.6918911642423904</c:v>
                </c:pt>
                <c:pt idx="4">
                  <c:v>2.4334989120752724</c:v>
                </c:pt>
                <c:pt idx="5">
                  <c:v>1.9691089871408007</c:v>
                </c:pt>
                <c:pt idx="6">
                  <c:v>2.0712619805709669</c:v>
                </c:pt>
                <c:pt idx="7">
                  <c:v>1.9076183527014858</c:v>
                </c:pt>
                <c:pt idx="8">
                  <c:v>2.5337321871449698</c:v>
                </c:pt>
                <c:pt idx="9">
                  <c:v>1.8548520509735185</c:v>
                </c:pt>
                <c:pt idx="10">
                  <c:v>2.4264420616455706</c:v>
                </c:pt>
                <c:pt idx="11">
                  <c:v>1.9018299064684803</c:v>
                </c:pt>
                <c:pt idx="12">
                  <c:v>1.8565495046872162</c:v>
                </c:pt>
                <c:pt idx="13">
                  <c:v>2.1202846340841672</c:v>
                </c:pt>
              </c:numCache>
            </c:numRef>
          </c:xVal>
          <c:yVal>
            <c:numRef>
              <c:f>'Task 1 Converted AMI PDF Stats'!$AG$99:$AG$112</c:f>
              <c:numCache>
                <c:formatCode>General</c:formatCode>
                <c:ptCount val="14"/>
                <c:pt idx="0">
                  <c:v>550</c:v>
                </c:pt>
                <c:pt idx="1">
                  <c:v>1100</c:v>
                </c:pt>
                <c:pt idx="2">
                  <c:v>400</c:v>
                </c:pt>
                <c:pt idx="3">
                  <c:v>500</c:v>
                </c:pt>
                <c:pt idx="4">
                  <c:v>800</c:v>
                </c:pt>
                <c:pt idx="6">
                  <c:v>500</c:v>
                </c:pt>
                <c:pt idx="7">
                  <c:v>300</c:v>
                </c:pt>
                <c:pt idx="8">
                  <c:v>1600</c:v>
                </c:pt>
                <c:pt idx="9">
                  <c:v>1300</c:v>
                </c:pt>
                <c:pt idx="10">
                  <c:v>1300</c:v>
                </c:pt>
                <c:pt idx="11">
                  <c:v>1650</c:v>
                </c:pt>
                <c:pt idx="12">
                  <c:v>1800</c:v>
                </c:pt>
                <c:pt idx="13">
                  <c:v>2500</c:v>
                </c:pt>
              </c:numCache>
            </c:numRef>
          </c:yVal>
          <c:smooth val="1"/>
          <c:extLst>
            <c:ext xmlns:c16="http://schemas.microsoft.com/office/drawing/2014/chart" uri="{C3380CC4-5D6E-409C-BE32-E72D297353CC}">
              <c16:uniqueId val="{00000003-16C1-4D62-B078-388F5C773771}"/>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2507781818078365"/>
                  <c:y val="-0.53923252879718275"/>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Stats'!$AA$113:$AA$276</c:f>
              <c:numCache>
                <c:formatCode>0.000</c:formatCode>
                <c:ptCount val="164"/>
                <c:pt idx="3">
                  <c:v>2.6802024507205884</c:v>
                </c:pt>
                <c:pt idx="4">
                  <c:v>2.6802024507205884</c:v>
                </c:pt>
                <c:pt idx="5">
                  <c:v>2.2598042570673593</c:v>
                </c:pt>
                <c:pt idx="6">
                  <c:v>1.9586239398603837</c:v>
                </c:pt>
                <c:pt idx="7">
                  <c:v>1.8617191553991561</c:v>
                </c:pt>
                <c:pt idx="9">
                  <c:v>3.1776254911569746</c:v>
                </c:pt>
                <c:pt idx="10">
                  <c:v>3.76297755531747</c:v>
                </c:pt>
                <c:pt idx="11">
                  <c:v>1.5549156853163308</c:v>
                </c:pt>
                <c:pt idx="12">
                  <c:v>4.1575285703645211</c:v>
                </c:pt>
                <c:pt idx="13">
                  <c:v>1.8823236253715079</c:v>
                </c:pt>
                <c:pt idx="14">
                  <c:v>1.7959765430568075</c:v>
                </c:pt>
                <c:pt idx="15">
                  <c:v>1.8729813961089876</c:v>
                </c:pt>
                <c:pt idx="17">
                  <c:v>1.6208298841151914</c:v>
                </c:pt>
                <c:pt idx="18">
                  <c:v>2.0073595498509755</c:v>
                </c:pt>
                <c:pt idx="19">
                  <c:v>2.3538306493316821</c:v>
                </c:pt>
                <c:pt idx="20">
                  <c:v>1.8010891385630652</c:v>
                </c:pt>
                <c:pt idx="21">
                  <c:v>2.1143220322262066</c:v>
                </c:pt>
                <c:pt idx="22">
                  <c:v>1.9429279842221934</c:v>
                </c:pt>
                <c:pt idx="23">
                  <c:v>1.7081986096172024</c:v>
                </c:pt>
                <c:pt idx="24">
                  <c:v>1.9393531043942926</c:v>
                </c:pt>
                <c:pt idx="25">
                  <c:v>1.3963342351638905</c:v>
                </c:pt>
                <c:pt idx="26">
                  <c:v>2.0906896664797538</c:v>
                </c:pt>
                <c:pt idx="27">
                  <c:v>2.4778544195315599</c:v>
                </c:pt>
                <c:pt idx="28">
                  <c:v>2.4733937933183427</c:v>
                </c:pt>
                <c:pt idx="30">
                  <c:v>1.7761637979443932</c:v>
                </c:pt>
                <c:pt idx="31">
                  <c:v>2.0060533812652697</c:v>
                </c:pt>
                <c:pt idx="32">
                  <c:v>2.3146769783830035</c:v>
                </c:pt>
                <c:pt idx="33">
                  <c:v>2.0025184533971014</c:v>
                </c:pt>
                <c:pt idx="34">
                  <c:v>3.4658973231872907</c:v>
                </c:pt>
                <c:pt idx="35">
                  <c:v>1.6174187508207356</c:v>
                </c:pt>
                <c:pt idx="36">
                  <c:v>2.0759123139622355</c:v>
                </c:pt>
                <c:pt idx="37">
                  <c:v>1.0763989776100482</c:v>
                </c:pt>
                <c:pt idx="38">
                  <c:v>1.3839415426414903</c:v>
                </c:pt>
                <c:pt idx="39">
                  <c:v>1.5324374711227635</c:v>
                </c:pt>
                <c:pt idx="40">
                  <c:v>1.5324374711227635</c:v>
                </c:pt>
                <c:pt idx="41">
                  <c:v>2.2986562066841452</c:v>
                </c:pt>
                <c:pt idx="42">
                  <c:v>1.9123083556889577</c:v>
                </c:pt>
                <c:pt idx="43">
                  <c:v>1.9091078134426536</c:v>
                </c:pt>
                <c:pt idx="44">
                  <c:v>1.680014875829535</c:v>
                </c:pt>
                <c:pt idx="45">
                  <c:v>2.0550426927633425</c:v>
                </c:pt>
                <c:pt idx="46">
                  <c:v>2.2760029008790399</c:v>
                </c:pt>
                <c:pt idx="47">
                  <c:v>1.2876796073825534</c:v>
                </c:pt>
                <c:pt idx="48">
                  <c:v>1.8906572782012951</c:v>
                </c:pt>
                <c:pt idx="49">
                  <c:v>2.2548254098171179</c:v>
                </c:pt>
                <c:pt idx="50">
                  <c:v>1.8038603278536942</c:v>
                </c:pt>
                <c:pt idx="51">
                  <c:v>2.2548254098171179</c:v>
                </c:pt>
                <c:pt idx="52">
                  <c:v>2.0889698459545594</c:v>
                </c:pt>
                <c:pt idx="53">
                  <c:v>2.2381819778084564</c:v>
                </c:pt>
                <c:pt idx="54">
                  <c:v>1.7905455822467651</c:v>
                </c:pt>
                <c:pt idx="55">
                  <c:v>1.8651516481737136</c:v>
                </c:pt>
                <c:pt idx="56">
                  <c:v>2.611212307443199</c:v>
                </c:pt>
                <c:pt idx="57">
                  <c:v>1.7905455822467651</c:v>
                </c:pt>
                <c:pt idx="58">
                  <c:v>2.3839515594120546</c:v>
                </c:pt>
                <c:pt idx="59">
                  <c:v>1.7110156116268747</c:v>
                </c:pt>
                <c:pt idx="60">
                  <c:v>3.1156493672098629</c:v>
                </c:pt>
                <c:pt idx="61">
                  <c:v>2.0742046494229696</c:v>
                </c:pt>
                <c:pt idx="62">
                  <c:v>1.6297322245466188</c:v>
                </c:pt>
                <c:pt idx="63">
                  <c:v>2.339105801127324</c:v>
                </c:pt>
                <c:pt idx="64">
                  <c:v>1.5350381819898062</c:v>
                </c:pt>
                <c:pt idx="65">
                  <c:v>1.5350381819898062</c:v>
                </c:pt>
                <c:pt idx="66">
                  <c:v>1.6727619818384931</c:v>
                </c:pt>
                <c:pt idx="67">
                  <c:v>2.324438874018226</c:v>
                </c:pt>
                <c:pt idx="68">
                  <c:v>2.3159396795747824</c:v>
                </c:pt>
                <c:pt idx="69">
                  <c:v>1.800731925644989</c:v>
                </c:pt>
                <c:pt idx="70">
                  <c:v>2.8778032463507612</c:v>
                </c:pt>
                <c:pt idx="71">
                  <c:v>1.5791320941764508</c:v>
                </c:pt>
                <c:pt idx="72">
                  <c:v>1.5056277082119847</c:v>
                </c:pt>
                <c:pt idx="73">
                  <c:v>1.882409870952791</c:v>
                </c:pt>
                <c:pt idx="74">
                  <c:v>1.7168198878166423</c:v>
                </c:pt>
                <c:pt idx="75">
                  <c:v>1.9984805899948046</c:v>
                </c:pt>
                <c:pt idx="76">
                  <c:v>0.78083843416373422</c:v>
                </c:pt>
                <c:pt idx="77">
                  <c:v>2.0574693712342165</c:v>
                </c:pt>
                <c:pt idx="78">
                  <c:v>1.409292929290979</c:v>
                </c:pt>
                <c:pt idx="79">
                  <c:v>1.409292929290979</c:v>
                </c:pt>
                <c:pt idx="80">
                  <c:v>1.2644906648138352</c:v>
                </c:pt>
                <c:pt idx="81">
                  <c:v>2.0311261489831538</c:v>
                </c:pt>
                <c:pt idx="82">
                  <c:v>1.6776197665672301</c:v>
                </c:pt>
                <c:pt idx="83">
                  <c:v>1.957223060995102</c:v>
                </c:pt>
                <c:pt idx="84">
                  <c:v>1.5378181193532943</c:v>
                </c:pt>
                <c:pt idx="85">
                  <c:v>1.9386662966524508</c:v>
                </c:pt>
                <c:pt idx="86">
                  <c:v>1.52323780451264</c:v>
                </c:pt>
                <c:pt idx="87">
                  <c:v>1.5924758865359419</c:v>
                </c:pt>
                <c:pt idx="88">
                  <c:v>2.2848567067689602</c:v>
                </c:pt>
                <c:pt idx="89">
                  <c:v>2.2848567067689602</c:v>
                </c:pt>
                <c:pt idx="90">
                  <c:v>1.7293544904966767</c:v>
                </c:pt>
                <c:pt idx="91">
                  <c:v>1.8526580894601548</c:v>
                </c:pt>
                <c:pt idx="92">
                  <c:v>1.7154241569075506</c:v>
                </c:pt>
                <c:pt idx="93">
                  <c:v>1.9212750557364568</c:v>
                </c:pt>
                <c:pt idx="94">
                  <c:v>1.6396931646346868</c:v>
                </c:pt>
                <c:pt idx="95">
                  <c:v>1.8446548102140228</c:v>
                </c:pt>
                <c:pt idx="96">
                  <c:v>2.3912191984255853</c:v>
                </c:pt>
                <c:pt idx="97">
                  <c:v>1.7763342616875775</c:v>
                </c:pt>
                <c:pt idx="98">
                  <c:v>2.1770517808483403</c:v>
                </c:pt>
                <c:pt idx="99">
                  <c:v>1.8368874400907873</c:v>
                </c:pt>
                <c:pt idx="100">
                  <c:v>1.9680634897383829</c:v>
                </c:pt>
                <c:pt idx="101">
                  <c:v>2.5643117788539844</c:v>
                </c:pt>
                <c:pt idx="102">
                  <c:v>2.0244566675163038</c:v>
                </c:pt>
                <c:pt idx="103">
                  <c:v>2.2269023342679342</c:v>
                </c:pt>
                <c:pt idx="104">
                  <c:v>2.0244566675163038</c:v>
                </c:pt>
                <c:pt idx="105">
                  <c:v>2.4950246721546208</c:v>
                </c:pt>
                <c:pt idx="106">
                  <c:v>2.0118809829277482</c:v>
                </c:pt>
                <c:pt idx="107">
                  <c:v>2.6705860337166438</c:v>
                </c:pt>
                <c:pt idx="108">
                  <c:v>1.8530898499058128</c:v>
                </c:pt>
                <c:pt idx="109">
                  <c:v>2.2766570071014969</c:v>
                </c:pt>
                <c:pt idx="110">
                  <c:v>1.9731072260069775</c:v>
                </c:pt>
                <c:pt idx="111">
                  <c:v>1.9730201130755749</c:v>
                </c:pt>
                <c:pt idx="112">
                  <c:v>1.5076306139641289</c:v>
                </c:pt>
                <c:pt idx="113">
                  <c:v>1.3109831425775034</c:v>
                </c:pt>
                <c:pt idx="114">
                  <c:v>2.6786600858231666</c:v>
                </c:pt>
                <c:pt idx="115">
                  <c:v>2.2792725810519925</c:v>
                </c:pt>
                <c:pt idx="116">
                  <c:v>1.9536622123302794</c:v>
                </c:pt>
                <c:pt idx="117">
                  <c:v>1.4301479005109514</c:v>
                </c:pt>
                <c:pt idx="118">
                  <c:v>1.6899395487665885</c:v>
                </c:pt>
                <c:pt idx="119">
                  <c:v>1.6221444697088605</c:v>
                </c:pt>
                <c:pt idx="120">
                  <c:v>1.4237022341151575</c:v>
                </c:pt>
                <c:pt idx="121">
                  <c:v>1.7699287060588778</c:v>
                </c:pt>
                <c:pt idx="122">
                  <c:v>1.2771232080101127</c:v>
                </c:pt>
                <c:pt idx="123">
                  <c:v>1.4576884456091312</c:v>
                </c:pt>
                <c:pt idx="124">
                  <c:v>1.0070367397715221</c:v>
                </c:pt>
                <c:pt idx="125">
                  <c:v>0.93877759365255919</c:v>
                </c:pt>
                <c:pt idx="126">
                  <c:v>2.1860868556917641</c:v>
                </c:pt>
                <c:pt idx="127">
                  <c:v>1.4097421406623807</c:v>
                </c:pt>
                <c:pt idx="128">
                  <c:v>1.4703807561331417</c:v>
                </c:pt>
                <c:pt idx="129">
                  <c:v>1.8686088775858676</c:v>
                </c:pt>
                <c:pt idx="130">
                  <c:v>1.8686088775858676</c:v>
                </c:pt>
                <c:pt idx="131">
                  <c:v>1.7154442154886655</c:v>
                </c:pt>
                <c:pt idx="132">
                  <c:v>2.1433888450344658</c:v>
                </c:pt>
                <c:pt idx="133">
                  <c:v>2.1433537244301895</c:v>
                </c:pt>
                <c:pt idx="134">
                  <c:v>1.2592938063436692</c:v>
                </c:pt>
                <c:pt idx="135">
                  <c:v>1.2199545575994333</c:v>
                </c:pt>
                <c:pt idx="136">
                  <c:v>1.5249431969992915</c:v>
                </c:pt>
                <c:pt idx="137">
                  <c:v>1.399933849411664</c:v>
                </c:pt>
                <c:pt idx="138">
                  <c:v>2.4308610880995074</c:v>
                </c:pt>
                <c:pt idx="139">
                  <c:v>1.2122079005518309</c:v>
                </c:pt>
                <c:pt idx="140">
                  <c:v>1.4812744270880982</c:v>
                </c:pt>
                <c:pt idx="141">
                  <c:v>1.3883137968971084</c:v>
                </c:pt>
                <c:pt idx="142">
                  <c:v>1.6813511161766443</c:v>
                </c:pt>
                <c:pt idx="143">
                  <c:v>1.3200234270602176</c:v>
                </c:pt>
                <c:pt idx="144">
                  <c:v>1.3773369753307438</c:v>
                </c:pt>
                <c:pt idx="145">
                  <c:v>2.5018619898609304</c:v>
                </c:pt>
                <c:pt idx="146">
                  <c:v>1.4284966020768219</c:v>
                </c:pt>
                <c:pt idx="147">
                  <c:v>1.6064589164368892</c:v>
                </c:pt>
                <c:pt idx="148">
                  <c:v>1.6064589164368892</c:v>
                </c:pt>
                <c:pt idx="149">
                  <c:v>1.7829655373142002</c:v>
                </c:pt>
                <c:pt idx="150">
                  <c:v>1.5452367990056399</c:v>
                </c:pt>
                <c:pt idx="151">
                  <c:v>1.4135768359906165</c:v>
                </c:pt>
                <c:pt idx="152">
                  <c:v>1.7638899870489388</c:v>
                </c:pt>
                <c:pt idx="153">
                  <c:v>1.2935193238358884</c:v>
                </c:pt>
                <c:pt idx="154">
                  <c:v>1.8175717475343196</c:v>
                </c:pt>
                <c:pt idx="155">
                  <c:v>1.6406494518428532</c:v>
                </c:pt>
                <c:pt idx="156">
                  <c:v>2.2227933120098866</c:v>
                </c:pt>
                <c:pt idx="157">
                  <c:v>1.1679532012258913</c:v>
                </c:pt>
                <c:pt idx="158">
                  <c:v>0.8674991552130713</c:v>
                </c:pt>
                <c:pt idx="159">
                  <c:v>0.86347338365293536</c:v>
                </c:pt>
                <c:pt idx="160">
                  <c:v>0.86216010728212789</c:v>
                </c:pt>
                <c:pt idx="161">
                  <c:v>1.3773770980749882</c:v>
                </c:pt>
                <c:pt idx="162">
                  <c:v>1.4347678104947794</c:v>
                </c:pt>
                <c:pt idx="163">
                  <c:v>1.3672996077231514</c:v>
                </c:pt>
              </c:numCache>
            </c:numRef>
          </c:xVal>
          <c:yVal>
            <c:numRef>
              <c:f>'Task 1 Converted AMI PDF Stats'!$AG$113:$AG$276</c:f>
              <c:numCache>
                <c:formatCode>General</c:formatCode>
                <c:ptCount val="164"/>
                <c:pt idx="1">
                  <c:v>1000</c:v>
                </c:pt>
                <c:pt idx="16">
                  <c:v>1000</c:v>
                </c:pt>
                <c:pt idx="29">
                  <c:v>1000</c:v>
                </c:pt>
                <c:pt idx="58">
                  <c:v>300</c:v>
                </c:pt>
                <c:pt idx="67">
                  <c:v>800</c:v>
                </c:pt>
                <c:pt idx="68">
                  <c:v>550</c:v>
                </c:pt>
                <c:pt idx="72">
                  <c:v>1200</c:v>
                </c:pt>
                <c:pt idx="74">
                  <c:v>1537</c:v>
                </c:pt>
                <c:pt idx="90">
                  <c:v>2375</c:v>
                </c:pt>
                <c:pt idx="97">
                  <c:v>2400</c:v>
                </c:pt>
                <c:pt idx="99">
                  <c:v>3300</c:v>
                </c:pt>
                <c:pt idx="101">
                  <c:v>1700</c:v>
                </c:pt>
                <c:pt idx="105">
                  <c:v>800</c:v>
                </c:pt>
                <c:pt idx="106">
                  <c:v>450</c:v>
                </c:pt>
                <c:pt idx="107">
                  <c:v>2000</c:v>
                </c:pt>
                <c:pt idx="108">
                  <c:v>1100</c:v>
                </c:pt>
                <c:pt idx="109">
                  <c:v>1850</c:v>
                </c:pt>
                <c:pt idx="110">
                  <c:v>1450</c:v>
                </c:pt>
                <c:pt idx="111">
                  <c:v>1350</c:v>
                </c:pt>
                <c:pt idx="112">
                  <c:v>2000</c:v>
                </c:pt>
                <c:pt idx="114">
                  <c:v>180</c:v>
                </c:pt>
                <c:pt idx="116">
                  <c:v>2000</c:v>
                </c:pt>
                <c:pt idx="117">
                  <c:v>2000</c:v>
                </c:pt>
                <c:pt idx="119">
                  <c:v>3000</c:v>
                </c:pt>
                <c:pt idx="120">
                  <c:v>2500</c:v>
                </c:pt>
                <c:pt idx="123">
                  <c:v>2400</c:v>
                </c:pt>
                <c:pt idx="126">
                  <c:v>2500</c:v>
                </c:pt>
                <c:pt idx="132">
                  <c:v>1800</c:v>
                </c:pt>
                <c:pt idx="133">
                  <c:v>1800</c:v>
                </c:pt>
                <c:pt idx="134">
                  <c:v>4900</c:v>
                </c:pt>
                <c:pt idx="137">
                  <c:v>4500</c:v>
                </c:pt>
                <c:pt idx="138">
                  <c:v>2000</c:v>
                </c:pt>
                <c:pt idx="141">
                  <c:v>4500</c:v>
                </c:pt>
                <c:pt idx="145">
                  <c:v>2000</c:v>
                </c:pt>
                <c:pt idx="146">
                  <c:v>4200</c:v>
                </c:pt>
                <c:pt idx="150">
                  <c:v>2000</c:v>
                </c:pt>
                <c:pt idx="151">
                  <c:v>2400</c:v>
                </c:pt>
                <c:pt idx="152">
                  <c:v>2400</c:v>
                </c:pt>
                <c:pt idx="154">
                  <c:v>3000</c:v>
                </c:pt>
                <c:pt idx="156">
                  <c:v>2900</c:v>
                </c:pt>
              </c:numCache>
            </c:numRef>
          </c:yVal>
          <c:smooth val="1"/>
          <c:extLst>
            <c:ext xmlns:c16="http://schemas.microsoft.com/office/drawing/2014/chart" uri="{C3380CC4-5D6E-409C-BE32-E72D297353CC}">
              <c16:uniqueId val="{00000004-16C1-4D62-B078-388F5C773771}"/>
            </c:ext>
          </c:extLst>
        </c:ser>
        <c:ser>
          <c:idx val="6"/>
          <c:order val="5"/>
          <c:tx>
            <c:v>FRC</c:v>
          </c:tx>
          <c:spPr>
            <a:ln w="19050">
              <a:noFill/>
            </a:ln>
          </c:spPr>
          <c:marker>
            <c:symbol val="plus"/>
            <c:size val="5"/>
            <c:spPr>
              <a:solidFill>
                <a:srgbClr val="993300"/>
              </a:solidFill>
              <a:ln>
                <a:solidFill>
                  <a:srgbClr val="FFCC99"/>
                </a:solidFill>
                <a:prstDash val="solid"/>
              </a:ln>
            </c:spPr>
          </c:marker>
          <c:xVal>
            <c:numRef>
              <c:f>'Task 1 Converted AMI PDF Stats'!$AA$283</c:f>
              <c:numCache>
                <c:formatCode>0.000</c:formatCode>
                <c:ptCount val="1"/>
                <c:pt idx="0">
                  <c:v>1.9450834864481774</c:v>
                </c:pt>
              </c:numCache>
            </c:numRef>
          </c:xVal>
          <c:yVal>
            <c:numRef>
              <c:f>'Task 1 Converted AMI PDF Stats'!$AG$283</c:f>
              <c:numCache>
                <c:formatCode>General</c:formatCode>
                <c:ptCount val="1"/>
                <c:pt idx="0">
                  <c:v>4238</c:v>
                </c:pt>
              </c:numCache>
            </c:numRef>
          </c:yVal>
          <c:smooth val="1"/>
          <c:extLst>
            <c:ext xmlns:c16="http://schemas.microsoft.com/office/drawing/2014/chart" uri="{C3380CC4-5D6E-409C-BE32-E72D297353CC}">
              <c16:uniqueId val="{00000005-16C1-4D62-B078-388F5C773771}"/>
            </c:ext>
          </c:extLst>
        </c:ser>
        <c:ser>
          <c:idx val="5"/>
          <c:order val="6"/>
          <c:spPr>
            <a:ln w="19050">
              <a:noFill/>
            </a:ln>
          </c:spPr>
          <c:marker>
            <c:symbol val="circle"/>
            <c:size val="6"/>
            <c:spPr>
              <a:solidFill>
                <a:srgbClr val="993300"/>
              </a:solidFill>
              <a:ln>
                <a:solidFill>
                  <a:srgbClr val="993300"/>
                </a:solidFill>
                <a:prstDash val="solid"/>
              </a:ln>
            </c:spPr>
          </c:marker>
          <c:xVal>
            <c:numRef>
              <c:f>'Task 1 Converted AMI PDF Stats'!$AA$284:$AA$294</c:f>
              <c:numCache>
                <c:formatCode>0.000</c:formatCode>
                <c:ptCount val="11"/>
                <c:pt idx="3">
                  <c:v>1.6221444697088605</c:v>
                </c:pt>
                <c:pt idx="6">
                  <c:v>1.9731072260069775</c:v>
                </c:pt>
                <c:pt idx="7">
                  <c:v>1.7699287060588778</c:v>
                </c:pt>
                <c:pt idx="8">
                  <c:v>2.1860868556917641</c:v>
                </c:pt>
                <c:pt idx="9">
                  <c:v>2.0311261489831538</c:v>
                </c:pt>
                <c:pt idx="10">
                  <c:v>1.9386662966524508</c:v>
                </c:pt>
              </c:numCache>
            </c:numRef>
          </c:xVal>
          <c:yVal>
            <c:numRef>
              <c:f>'Task 1 Converted AMI PDF Stats'!$AG$284:$AG$294</c:f>
              <c:numCache>
                <c:formatCode>General</c:formatCode>
                <c:ptCount val="11"/>
                <c:pt idx="1">
                  <c:v>1000</c:v>
                </c:pt>
                <c:pt idx="3">
                  <c:v>3000</c:v>
                </c:pt>
                <c:pt idx="4">
                  <c:v>1000</c:v>
                </c:pt>
                <c:pt idx="5">
                  <c:v>1000</c:v>
                </c:pt>
                <c:pt idx="6">
                  <c:v>1450</c:v>
                </c:pt>
                <c:pt idx="8">
                  <c:v>2500</c:v>
                </c:pt>
              </c:numCache>
            </c:numRef>
          </c:yVal>
          <c:smooth val="1"/>
          <c:extLst>
            <c:ext xmlns:c16="http://schemas.microsoft.com/office/drawing/2014/chart" uri="{C3380CC4-5D6E-409C-BE32-E72D297353CC}">
              <c16:uniqueId val="{00000006-16C1-4D62-B078-388F5C773771}"/>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Stats'!$AA$295:$AA$298</c:f>
              <c:numCache>
                <c:formatCode>0.000</c:formatCode>
                <c:ptCount val="4"/>
                <c:pt idx="0">
                  <c:v>2.5337321871449698</c:v>
                </c:pt>
                <c:pt idx="1">
                  <c:v>1.9691089871408007</c:v>
                </c:pt>
                <c:pt idx="2">
                  <c:v>2.0712619805709669</c:v>
                </c:pt>
                <c:pt idx="3">
                  <c:v>1.9076183527014858</c:v>
                </c:pt>
              </c:numCache>
            </c:numRef>
          </c:xVal>
          <c:yVal>
            <c:numRef>
              <c:f>'Task 1 Converted AMI PDF Stats'!$AG$295:$AG$298</c:f>
              <c:numCache>
                <c:formatCode>General</c:formatCode>
                <c:ptCount val="4"/>
                <c:pt idx="0">
                  <c:v>1600</c:v>
                </c:pt>
                <c:pt idx="2">
                  <c:v>500</c:v>
                </c:pt>
                <c:pt idx="3">
                  <c:v>300</c:v>
                </c:pt>
              </c:numCache>
            </c:numRef>
          </c:yVal>
          <c:smooth val="1"/>
          <c:extLst>
            <c:ext xmlns:c16="http://schemas.microsoft.com/office/drawing/2014/chart" uri="{C3380CC4-5D6E-409C-BE32-E72D297353CC}">
              <c16:uniqueId val="{00000007-16C1-4D62-B078-388F5C773771}"/>
            </c:ext>
          </c:extLst>
        </c:ser>
        <c:dLbls>
          <c:showLegendKey val="0"/>
          <c:showVal val="0"/>
          <c:showCatName val="0"/>
          <c:showSerName val="0"/>
          <c:showPercent val="0"/>
          <c:showBubbleSize val="0"/>
        </c:dLbls>
        <c:axId val="727681752"/>
        <c:axId val="1"/>
      </c:scatterChart>
      <c:valAx>
        <c:axId val="727681752"/>
        <c:scaling>
          <c:orientation val="minMax"/>
          <c:min val="0.5"/>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Fnv</a:t>
                </a:r>
              </a:p>
            </c:rich>
          </c:tx>
          <c:layout>
            <c:manualLayout>
              <c:xMode val="edge"/>
              <c:yMode val="edge"/>
              <c:x val="0.41065482796892344"/>
              <c:y val="0.94453507340946163"/>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Cruise Range (nm)</a:t>
                </a:r>
              </a:p>
            </c:rich>
          </c:tx>
          <c:layout>
            <c:manualLayout>
              <c:xMode val="edge"/>
              <c:yMode val="edge"/>
              <c:x val="1.4428412874583796E-2"/>
              <c:y val="0.38336052202283849"/>
            </c:manualLayout>
          </c:layout>
          <c:overlay val="0"/>
          <c:spPr>
            <a:noFill/>
            <a:ln w="25400">
              <a:noFill/>
            </a:ln>
          </c:spPr>
        </c:title>
        <c:numFmt formatCode="General"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81752"/>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ayout>
        <c:manualLayout>
          <c:xMode val="edge"/>
          <c:yMode val="edge"/>
          <c:x val="0.76470588235294112"/>
          <c:y val="0.44861337683523655"/>
          <c:w val="0.21309655937846839"/>
          <c:h val="0.4323001631321369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vs Volumetric Froude No</a:t>
            </a:r>
          </a:p>
        </c:rich>
      </c:tx>
      <c:layout>
        <c:manualLayout>
          <c:xMode val="edge"/>
          <c:yMode val="edge"/>
          <c:x val="0.36182019977802443"/>
          <c:y val="1.9575856443719411E-2"/>
        </c:manualLayout>
      </c:layout>
      <c:overlay val="0"/>
      <c:spPr>
        <a:noFill/>
        <a:ln w="25400">
          <a:noFill/>
        </a:ln>
      </c:spPr>
    </c:title>
    <c:autoTitleDeleted val="0"/>
    <c:plotArea>
      <c:layout>
        <c:manualLayout>
          <c:layoutTarget val="inner"/>
          <c:xMode val="edge"/>
          <c:yMode val="edge"/>
          <c:x val="9.2119866814650384E-2"/>
          <c:y val="7.01468189233279E-2"/>
          <c:w val="0.66592674805771368"/>
          <c:h val="0.8238172920065253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1056769326845581"/>
                  <c:y val="2.4447449558924361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Stats'!$AA$5:$AA$279</c:f>
              <c:numCache>
                <c:formatCode>0.000</c:formatCode>
                <c:ptCount val="275"/>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pt idx="8">
                  <c:v>4.2578781301312683</c:v>
                </c:pt>
                <c:pt idx="9">
                  <c:v>3.3448689380599737</c:v>
                </c:pt>
                <c:pt idx="10">
                  <c:v>2.9771509183214606</c:v>
                </c:pt>
                <c:pt idx="11">
                  <c:v>2.9771509183214606</c:v>
                </c:pt>
                <c:pt idx="12">
                  <c:v>2.999427721161795</c:v>
                </c:pt>
                <c:pt idx="13">
                  <c:v>2.2514270068628797</c:v>
                </c:pt>
                <c:pt idx="14">
                  <c:v>2.3576001141871554</c:v>
                </c:pt>
                <c:pt idx="15">
                  <c:v>2.190112809023498</c:v>
                </c:pt>
                <c:pt idx="16">
                  <c:v>2.1818634545719475</c:v>
                </c:pt>
                <c:pt idx="17">
                  <c:v>2.1818634545719475</c:v>
                </c:pt>
                <c:pt idx="18">
                  <c:v>2.0240101110609023</c:v>
                </c:pt>
                <c:pt idx="19">
                  <c:v>1.800731925644989</c:v>
                </c:pt>
                <c:pt idx="20">
                  <c:v>2.6619680028744539</c:v>
                </c:pt>
                <c:pt idx="21">
                  <c:v>2.6467639937173235</c:v>
                </c:pt>
                <c:pt idx="22">
                  <c:v>2.069854896780333</c:v>
                </c:pt>
                <c:pt idx="23">
                  <c:v>2.2595420483327904</c:v>
                </c:pt>
                <c:pt idx="24">
                  <c:v>2.2595420483327904</c:v>
                </c:pt>
                <c:pt idx="25">
                  <c:v>2.1669255318160054</c:v>
                </c:pt>
                <c:pt idx="26">
                  <c:v>3.1455370623135566</c:v>
                </c:pt>
                <c:pt idx="27">
                  <c:v>2.6086473483748582</c:v>
                </c:pt>
                <c:pt idx="28">
                  <c:v>1.5852204308625291</c:v>
                </c:pt>
                <c:pt idx="29">
                  <c:v>2.8819125836046848</c:v>
                </c:pt>
                <c:pt idx="30">
                  <c:v>2.8819125836046848</c:v>
                </c:pt>
                <c:pt idx="31">
                  <c:v>2.8819125836046848</c:v>
                </c:pt>
                <c:pt idx="32">
                  <c:v>2.371371051549791</c:v>
                </c:pt>
                <c:pt idx="33">
                  <c:v>2.371371051549791</c:v>
                </c:pt>
                <c:pt idx="34">
                  <c:v>2.371371051549791</c:v>
                </c:pt>
                <c:pt idx="35">
                  <c:v>2.371371051549791</c:v>
                </c:pt>
                <c:pt idx="36">
                  <c:v>2.1663529822826906</c:v>
                </c:pt>
                <c:pt idx="37">
                  <c:v>2.3618661121023545</c:v>
                </c:pt>
                <c:pt idx="38">
                  <c:v>2.3618661121023545</c:v>
                </c:pt>
                <c:pt idx="39">
                  <c:v>1.8865102430633052</c:v>
                </c:pt>
                <c:pt idx="40">
                  <c:v>2.4198393639787561</c:v>
                </c:pt>
                <c:pt idx="41">
                  <c:v>1.0673659461753169</c:v>
                </c:pt>
                <c:pt idx="42">
                  <c:v>2.2768845030336466</c:v>
                </c:pt>
                <c:pt idx="43">
                  <c:v>2.1060828598451677</c:v>
                </c:pt>
                <c:pt idx="44">
                  <c:v>2.6308096346759702</c:v>
                </c:pt>
                <c:pt idx="45">
                  <c:v>2.4205018391001354</c:v>
                </c:pt>
                <c:pt idx="46">
                  <c:v>2.2881590271964689</c:v>
                </c:pt>
                <c:pt idx="47">
                  <c:v>2.3846608081108682</c:v>
                </c:pt>
                <c:pt idx="48">
                  <c:v>2.6133269129982115</c:v>
                </c:pt>
                <c:pt idx="49">
                  <c:v>2.6786600858231666</c:v>
                </c:pt>
                <c:pt idx="50">
                  <c:v>2.6065565033135569</c:v>
                </c:pt>
                <c:pt idx="51">
                  <c:v>2.6048829497737058</c:v>
                </c:pt>
                <c:pt idx="52">
                  <c:v>2.4746388022850203</c:v>
                </c:pt>
                <c:pt idx="53">
                  <c:v>2.6048829497737058</c:v>
                </c:pt>
                <c:pt idx="54">
                  <c:v>2.6048829497737058</c:v>
                </c:pt>
                <c:pt idx="55">
                  <c:v>2.3694215380899792</c:v>
                </c:pt>
                <c:pt idx="56">
                  <c:v>2.0123854159120369</c:v>
                </c:pt>
                <c:pt idx="57">
                  <c:v>2.0123854159120369</c:v>
                </c:pt>
                <c:pt idx="58">
                  <c:v>2.3369637088010751</c:v>
                </c:pt>
                <c:pt idx="59">
                  <c:v>2.3369637088010751</c:v>
                </c:pt>
                <c:pt idx="60">
                  <c:v>2.4621711827915069</c:v>
                </c:pt>
                <c:pt idx="61">
                  <c:v>2.5917591397805335</c:v>
                </c:pt>
                <c:pt idx="62">
                  <c:v>2.5917591397805335</c:v>
                </c:pt>
                <c:pt idx="63">
                  <c:v>1.7483518224639953</c:v>
                </c:pt>
                <c:pt idx="64">
                  <c:v>2.6532632544873387</c:v>
                </c:pt>
                <c:pt idx="65">
                  <c:v>2.4591220407443628</c:v>
                </c:pt>
                <c:pt idx="66">
                  <c:v>2.3944083028300378</c:v>
                </c:pt>
                <c:pt idx="67">
                  <c:v>2.4193549999763144</c:v>
                </c:pt>
                <c:pt idx="68">
                  <c:v>2.4650646962888745</c:v>
                </c:pt>
                <c:pt idx="69">
                  <c:v>1.9757254171590406</c:v>
                </c:pt>
                <c:pt idx="70">
                  <c:v>1.8992418100053081</c:v>
                </c:pt>
                <c:pt idx="71">
                  <c:v>1.8267821846579544</c:v>
                </c:pt>
                <c:pt idx="72">
                  <c:v>2.4336286613320408</c:v>
                </c:pt>
                <c:pt idx="73">
                  <c:v>1.8548520509735185</c:v>
                </c:pt>
                <c:pt idx="74">
                  <c:v>1.5805140808096707</c:v>
                </c:pt>
                <c:pt idx="75">
                  <c:v>2.3090039333397643</c:v>
                </c:pt>
                <c:pt idx="76">
                  <c:v>2.3383974386850541</c:v>
                </c:pt>
                <c:pt idx="77">
                  <c:v>2.3100409973553808</c:v>
                </c:pt>
                <c:pt idx="78">
                  <c:v>2.160038335189447</c:v>
                </c:pt>
                <c:pt idx="79">
                  <c:v>1.800031945991206</c:v>
                </c:pt>
                <c:pt idx="80">
                  <c:v>2.2756002201116634</c:v>
                </c:pt>
                <c:pt idx="81">
                  <c:v>2.3953686527491196</c:v>
                </c:pt>
                <c:pt idx="82">
                  <c:v>1.9162949221992955</c:v>
                </c:pt>
                <c:pt idx="83">
                  <c:v>2.2729648881756734</c:v>
                </c:pt>
                <c:pt idx="84">
                  <c:v>2.2703507724055916</c:v>
                </c:pt>
                <c:pt idx="85">
                  <c:v>1.9018299064684803</c:v>
                </c:pt>
                <c:pt idx="86">
                  <c:v>1.7829655373142002</c:v>
                </c:pt>
                <c:pt idx="87">
                  <c:v>1.6474433704258884</c:v>
                </c:pt>
                <c:pt idx="88">
                  <c:v>1.6474433704258884</c:v>
                </c:pt>
                <c:pt idx="89">
                  <c:v>1.6474433704258884</c:v>
                </c:pt>
                <c:pt idx="90">
                  <c:v>1.8176719413792313</c:v>
                </c:pt>
                <c:pt idx="91">
                  <c:v>1.8115371711008192</c:v>
                </c:pt>
                <c:pt idx="92">
                  <c:v>2.184138938448057</c:v>
                </c:pt>
                <c:pt idx="93">
                  <c:v>1.9370077776077976</c:v>
                </c:pt>
                <c:pt idx="94">
                  <c:v>2.5164296498508452</c:v>
                </c:pt>
                <c:pt idx="95">
                  <c:v>2.1681106757026658</c:v>
                </c:pt>
                <c:pt idx="96">
                  <c:v>2.3618661121023545</c:v>
                </c:pt>
                <c:pt idx="97">
                  <c:v>2.6918911642423904</c:v>
                </c:pt>
                <c:pt idx="98">
                  <c:v>2.4334989120752724</c:v>
                </c:pt>
                <c:pt idx="99">
                  <c:v>1.9691089871408007</c:v>
                </c:pt>
                <c:pt idx="100">
                  <c:v>2.0712619805709669</c:v>
                </c:pt>
                <c:pt idx="101">
                  <c:v>1.9076183527014858</c:v>
                </c:pt>
                <c:pt idx="102">
                  <c:v>2.5337321871449698</c:v>
                </c:pt>
                <c:pt idx="103">
                  <c:v>1.8548520509735185</c:v>
                </c:pt>
                <c:pt idx="104">
                  <c:v>2.4264420616455706</c:v>
                </c:pt>
                <c:pt idx="105">
                  <c:v>1.9018299064684803</c:v>
                </c:pt>
                <c:pt idx="106">
                  <c:v>1.8565495046872162</c:v>
                </c:pt>
                <c:pt idx="107">
                  <c:v>2.1202846340841672</c:v>
                </c:pt>
                <c:pt idx="111">
                  <c:v>2.6802024507205884</c:v>
                </c:pt>
                <c:pt idx="112">
                  <c:v>2.6802024507205884</c:v>
                </c:pt>
                <c:pt idx="113">
                  <c:v>2.2598042570673593</c:v>
                </c:pt>
                <c:pt idx="114">
                  <c:v>1.9586239398603837</c:v>
                </c:pt>
                <c:pt idx="115">
                  <c:v>1.8617191553991561</c:v>
                </c:pt>
                <c:pt idx="117">
                  <c:v>3.1776254911569746</c:v>
                </c:pt>
                <c:pt idx="118">
                  <c:v>3.76297755531747</c:v>
                </c:pt>
                <c:pt idx="119">
                  <c:v>1.5549156853163308</c:v>
                </c:pt>
                <c:pt idx="120">
                  <c:v>4.1575285703645211</c:v>
                </c:pt>
                <c:pt idx="121">
                  <c:v>1.8823236253715079</c:v>
                </c:pt>
                <c:pt idx="122">
                  <c:v>1.7959765430568075</c:v>
                </c:pt>
                <c:pt idx="123">
                  <c:v>1.8729813961089876</c:v>
                </c:pt>
                <c:pt idx="125">
                  <c:v>1.6208298841151914</c:v>
                </c:pt>
                <c:pt idx="126">
                  <c:v>2.0073595498509755</c:v>
                </c:pt>
                <c:pt idx="127">
                  <c:v>2.3538306493316821</c:v>
                </c:pt>
                <c:pt idx="128">
                  <c:v>1.8010891385630652</c:v>
                </c:pt>
                <c:pt idx="129">
                  <c:v>2.1143220322262066</c:v>
                </c:pt>
                <c:pt idx="130">
                  <c:v>1.9429279842221934</c:v>
                </c:pt>
                <c:pt idx="131">
                  <c:v>1.7081986096172024</c:v>
                </c:pt>
                <c:pt idx="132">
                  <c:v>1.9393531043942926</c:v>
                </c:pt>
                <c:pt idx="133">
                  <c:v>1.3963342351638905</c:v>
                </c:pt>
                <c:pt idx="134">
                  <c:v>2.0906896664797538</c:v>
                </c:pt>
                <c:pt idx="135">
                  <c:v>2.4778544195315599</c:v>
                </c:pt>
                <c:pt idx="136">
                  <c:v>2.4733937933183427</c:v>
                </c:pt>
                <c:pt idx="138">
                  <c:v>1.7761637979443932</c:v>
                </c:pt>
                <c:pt idx="139">
                  <c:v>2.0060533812652697</c:v>
                </c:pt>
                <c:pt idx="140">
                  <c:v>2.3146769783830035</c:v>
                </c:pt>
                <c:pt idx="141">
                  <c:v>2.0025184533971014</c:v>
                </c:pt>
                <c:pt idx="142">
                  <c:v>3.4658973231872907</c:v>
                </c:pt>
                <c:pt idx="143">
                  <c:v>1.6174187508207356</c:v>
                </c:pt>
                <c:pt idx="144">
                  <c:v>2.0759123139622355</c:v>
                </c:pt>
                <c:pt idx="145">
                  <c:v>1.0763989776100482</c:v>
                </c:pt>
                <c:pt idx="146">
                  <c:v>1.3839415426414903</c:v>
                </c:pt>
                <c:pt idx="147">
                  <c:v>1.5324374711227635</c:v>
                </c:pt>
                <c:pt idx="148">
                  <c:v>1.5324374711227635</c:v>
                </c:pt>
                <c:pt idx="149">
                  <c:v>2.2986562066841452</c:v>
                </c:pt>
                <c:pt idx="150">
                  <c:v>1.9123083556889577</c:v>
                </c:pt>
                <c:pt idx="151">
                  <c:v>1.9091078134426536</c:v>
                </c:pt>
                <c:pt idx="152">
                  <c:v>1.680014875829535</c:v>
                </c:pt>
                <c:pt idx="153">
                  <c:v>2.0550426927633425</c:v>
                </c:pt>
                <c:pt idx="154">
                  <c:v>2.2760029008790399</c:v>
                </c:pt>
                <c:pt idx="155">
                  <c:v>1.2876796073825534</c:v>
                </c:pt>
                <c:pt idx="156">
                  <c:v>1.8906572782012951</c:v>
                </c:pt>
                <c:pt idx="157">
                  <c:v>2.2548254098171179</c:v>
                </c:pt>
                <c:pt idx="158">
                  <c:v>1.8038603278536942</c:v>
                </c:pt>
                <c:pt idx="159">
                  <c:v>2.2548254098171179</c:v>
                </c:pt>
                <c:pt idx="160">
                  <c:v>2.0889698459545594</c:v>
                </c:pt>
                <c:pt idx="161">
                  <c:v>2.2381819778084564</c:v>
                </c:pt>
                <c:pt idx="162">
                  <c:v>1.7905455822467651</c:v>
                </c:pt>
                <c:pt idx="163">
                  <c:v>1.8651516481737136</c:v>
                </c:pt>
                <c:pt idx="164">
                  <c:v>2.611212307443199</c:v>
                </c:pt>
                <c:pt idx="165">
                  <c:v>1.7905455822467651</c:v>
                </c:pt>
                <c:pt idx="166">
                  <c:v>2.3839515594120546</c:v>
                </c:pt>
                <c:pt idx="167">
                  <c:v>1.7110156116268747</c:v>
                </c:pt>
                <c:pt idx="168">
                  <c:v>3.1156493672098629</c:v>
                </c:pt>
                <c:pt idx="169">
                  <c:v>2.0742046494229696</c:v>
                </c:pt>
                <c:pt idx="170">
                  <c:v>1.6297322245466188</c:v>
                </c:pt>
                <c:pt idx="171">
                  <c:v>2.339105801127324</c:v>
                </c:pt>
                <c:pt idx="172">
                  <c:v>1.5350381819898062</c:v>
                </c:pt>
                <c:pt idx="173">
                  <c:v>1.5350381819898062</c:v>
                </c:pt>
                <c:pt idx="174">
                  <c:v>1.6727619818384931</c:v>
                </c:pt>
                <c:pt idx="175">
                  <c:v>2.324438874018226</c:v>
                </c:pt>
                <c:pt idx="176">
                  <c:v>2.3159396795747824</c:v>
                </c:pt>
                <c:pt idx="177">
                  <c:v>1.800731925644989</c:v>
                </c:pt>
                <c:pt idx="178">
                  <c:v>2.8778032463507612</c:v>
                </c:pt>
                <c:pt idx="179">
                  <c:v>1.5791320941764508</c:v>
                </c:pt>
                <c:pt idx="180">
                  <c:v>1.5056277082119847</c:v>
                </c:pt>
                <c:pt idx="181">
                  <c:v>1.882409870952791</c:v>
                </c:pt>
                <c:pt idx="182">
                  <c:v>1.7168198878166423</c:v>
                </c:pt>
                <c:pt idx="183">
                  <c:v>1.9984805899948046</c:v>
                </c:pt>
                <c:pt idx="184">
                  <c:v>0.78083843416373422</c:v>
                </c:pt>
                <c:pt idx="185">
                  <c:v>2.0574693712342165</c:v>
                </c:pt>
                <c:pt idx="186">
                  <c:v>1.409292929290979</c:v>
                </c:pt>
                <c:pt idx="187">
                  <c:v>1.409292929290979</c:v>
                </c:pt>
                <c:pt idx="188">
                  <c:v>1.2644906648138352</c:v>
                </c:pt>
                <c:pt idx="189">
                  <c:v>2.0311261489831538</c:v>
                </c:pt>
                <c:pt idx="190">
                  <c:v>1.6776197665672301</c:v>
                </c:pt>
                <c:pt idx="191">
                  <c:v>1.957223060995102</c:v>
                </c:pt>
                <c:pt idx="192">
                  <c:v>1.5378181193532943</c:v>
                </c:pt>
                <c:pt idx="193">
                  <c:v>1.9386662966524508</c:v>
                </c:pt>
                <c:pt idx="194">
                  <c:v>1.52323780451264</c:v>
                </c:pt>
                <c:pt idx="195">
                  <c:v>1.5924758865359419</c:v>
                </c:pt>
                <c:pt idx="196">
                  <c:v>2.2848567067689602</c:v>
                </c:pt>
                <c:pt idx="197">
                  <c:v>2.2848567067689602</c:v>
                </c:pt>
                <c:pt idx="198">
                  <c:v>1.7293544904966767</c:v>
                </c:pt>
                <c:pt idx="199">
                  <c:v>1.8526580894601548</c:v>
                </c:pt>
                <c:pt idx="200">
                  <c:v>1.7154241569075506</c:v>
                </c:pt>
                <c:pt idx="201">
                  <c:v>1.9212750557364568</c:v>
                </c:pt>
                <c:pt idx="202">
                  <c:v>1.6396931646346868</c:v>
                </c:pt>
                <c:pt idx="203">
                  <c:v>1.8446548102140228</c:v>
                </c:pt>
                <c:pt idx="204">
                  <c:v>2.3912191984255853</c:v>
                </c:pt>
                <c:pt idx="205">
                  <c:v>1.7763342616875775</c:v>
                </c:pt>
                <c:pt idx="206">
                  <c:v>2.1770517808483403</c:v>
                </c:pt>
                <c:pt idx="207">
                  <c:v>1.8368874400907873</c:v>
                </c:pt>
                <c:pt idx="208">
                  <c:v>1.9680634897383829</c:v>
                </c:pt>
                <c:pt idx="209">
                  <c:v>2.5643117788539844</c:v>
                </c:pt>
                <c:pt idx="210">
                  <c:v>2.0244566675163038</c:v>
                </c:pt>
                <c:pt idx="211">
                  <c:v>2.2269023342679342</c:v>
                </c:pt>
                <c:pt idx="212">
                  <c:v>2.0244566675163038</c:v>
                </c:pt>
                <c:pt idx="213">
                  <c:v>2.4950246721546208</c:v>
                </c:pt>
                <c:pt idx="214">
                  <c:v>2.0118809829277482</c:v>
                </c:pt>
                <c:pt idx="215">
                  <c:v>2.6705860337166438</c:v>
                </c:pt>
                <c:pt idx="216">
                  <c:v>1.8530898499058128</c:v>
                </c:pt>
                <c:pt idx="217">
                  <c:v>2.2766570071014969</c:v>
                </c:pt>
                <c:pt idx="218">
                  <c:v>1.9731072260069775</c:v>
                </c:pt>
                <c:pt idx="219">
                  <c:v>1.9730201130755749</c:v>
                </c:pt>
                <c:pt idx="220">
                  <c:v>1.5076306139641289</c:v>
                </c:pt>
                <c:pt idx="221">
                  <c:v>1.3109831425775034</c:v>
                </c:pt>
                <c:pt idx="222">
                  <c:v>2.6786600858231666</c:v>
                </c:pt>
                <c:pt idx="223">
                  <c:v>2.2792725810519925</c:v>
                </c:pt>
                <c:pt idx="224">
                  <c:v>1.9536622123302794</c:v>
                </c:pt>
                <c:pt idx="225">
                  <c:v>1.4301479005109514</c:v>
                </c:pt>
                <c:pt idx="226">
                  <c:v>1.6899395487665885</c:v>
                </c:pt>
                <c:pt idx="227">
                  <c:v>1.6221444697088605</c:v>
                </c:pt>
                <c:pt idx="228">
                  <c:v>1.4237022341151575</c:v>
                </c:pt>
                <c:pt idx="229">
                  <c:v>1.7699287060588778</c:v>
                </c:pt>
                <c:pt idx="230">
                  <c:v>1.2771232080101127</c:v>
                </c:pt>
                <c:pt idx="231">
                  <c:v>1.4576884456091312</c:v>
                </c:pt>
                <c:pt idx="232">
                  <c:v>1.0070367397715221</c:v>
                </c:pt>
                <c:pt idx="233">
                  <c:v>0.93877759365255919</c:v>
                </c:pt>
                <c:pt idx="234">
                  <c:v>2.1860868556917641</c:v>
                </c:pt>
                <c:pt idx="235">
                  <c:v>1.4097421406623807</c:v>
                </c:pt>
                <c:pt idx="236">
                  <c:v>1.4703807561331417</c:v>
                </c:pt>
                <c:pt idx="237">
                  <c:v>1.8686088775858676</c:v>
                </c:pt>
                <c:pt idx="238">
                  <c:v>1.8686088775858676</c:v>
                </c:pt>
                <c:pt idx="239">
                  <c:v>1.7154442154886655</c:v>
                </c:pt>
                <c:pt idx="240">
                  <c:v>2.1433888450344658</c:v>
                </c:pt>
                <c:pt idx="241">
                  <c:v>2.1433537244301895</c:v>
                </c:pt>
                <c:pt idx="242">
                  <c:v>1.2592938063436692</c:v>
                </c:pt>
                <c:pt idx="243">
                  <c:v>1.2199545575994333</c:v>
                </c:pt>
                <c:pt idx="244">
                  <c:v>1.5249431969992915</c:v>
                </c:pt>
                <c:pt idx="245">
                  <c:v>1.399933849411664</c:v>
                </c:pt>
                <c:pt idx="246">
                  <c:v>2.4308610880995074</c:v>
                </c:pt>
                <c:pt idx="247">
                  <c:v>1.2122079005518309</c:v>
                </c:pt>
                <c:pt idx="248">
                  <c:v>1.4812744270880982</c:v>
                </c:pt>
                <c:pt idx="249">
                  <c:v>1.3883137968971084</c:v>
                </c:pt>
                <c:pt idx="250">
                  <c:v>1.6813511161766443</c:v>
                </c:pt>
                <c:pt idx="251">
                  <c:v>1.3200234270602176</c:v>
                </c:pt>
                <c:pt idx="252">
                  <c:v>1.3773369753307438</c:v>
                </c:pt>
                <c:pt idx="253">
                  <c:v>2.5018619898609304</c:v>
                </c:pt>
                <c:pt idx="254">
                  <c:v>1.4284966020768219</c:v>
                </c:pt>
                <c:pt idx="255">
                  <c:v>1.6064589164368892</c:v>
                </c:pt>
                <c:pt idx="256">
                  <c:v>1.6064589164368892</c:v>
                </c:pt>
                <c:pt idx="257">
                  <c:v>1.7829655373142002</c:v>
                </c:pt>
                <c:pt idx="258">
                  <c:v>1.5452367990056399</c:v>
                </c:pt>
                <c:pt idx="259">
                  <c:v>1.4135768359906165</c:v>
                </c:pt>
                <c:pt idx="260">
                  <c:v>1.7638899870489388</c:v>
                </c:pt>
                <c:pt idx="261">
                  <c:v>1.2935193238358884</c:v>
                </c:pt>
                <c:pt idx="262">
                  <c:v>1.8175717475343196</c:v>
                </c:pt>
                <c:pt idx="263">
                  <c:v>1.6406494518428532</c:v>
                </c:pt>
                <c:pt idx="264">
                  <c:v>2.2227933120098866</c:v>
                </c:pt>
                <c:pt idx="265">
                  <c:v>1.1679532012258913</c:v>
                </c:pt>
                <c:pt idx="266">
                  <c:v>0.8674991552130713</c:v>
                </c:pt>
                <c:pt idx="267">
                  <c:v>0.86347338365293536</c:v>
                </c:pt>
                <c:pt idx="268">
                  <c:v>0.86216010728212789</c:v>
                </c:pt>
                <c:pt idx="269">
                  <c:v>1.3773770980749882</c:v>
                </c:pt>
                <c:pt idx="270">
                  <c:v>1.4347678104947794</c:v>
                </c:pt>
                <c:pt idx="271">
                  <c:v>1.3672996077231514</c:v>
                </c:pt>
              </c:numCache>
            </c:numRef>
          </c:xVal>
          <c:yVal>
            <c:numRef>
              <c:f>'Task 1 Converted AMI PDF Stats'!$U$5:$U$279</c:f>
              <c:numCache>
                <c:formatCode>_(* #,##0_);_(* \(#,##0\);_(* "-"??_);_(@_)</c:formatCode>
                <c:ptCount val="275"/>
                <c:pt idx="0">
                  <c:v>15998.390773769612</c:v>
                </c:pt>
                <c:pt idx="2">
                  <c:v>12337.401099637924</c:v>
                </c:pt>
                <c:pt idx="3">
                  <c:v>8582.539895400294</c:v>
                </c:pt>
                <c:pt idx="4">
                  <c:v>16184</c:v>
                </c:pt>
                <c:pt idx="6">
                  <c:v>12605.605471369183</c:v>
                </c:pt>
                <c:pt idx="7">
                  <c:v>14751.240445219257</c:v>
                </c:pt>
                <c:pt idx="8">
                  <c:v>16200</c:v>
                </c:pt>
                <c:pt idx="9">
                  <c:v>3046</c:v>
                </c:pt>
                <c:pt idx="10">
                  <c:v>4800</c:v>
                </c:pt>
                <c:pt idx="11">
                  <c:v>4800</c:v>
                </c:pt>
                <c:pt idx="12">
                  <c:v>5000</c:v>
                </c:pt>
                <c:pt idx="13">
                  <c:v>6000</c:v>
                </c:pt>
                <c:pt idx="14">
                  <c:v>5800</c:v>
                </c:pt>
                <c:pt idx="15">
                  <c:v>4220</c:v>
                </c:pt>
                <c:pt idx="16">
                  <c:v>2400</c:v>
                </c:pt>
                <c:pt idx="17">
                  <c:v>4400</c:v>
                </c:pt>
                <c:pt idx="18">
                  <c:v>4800</c:v>
                </c:pt>
                <c:pt idx="19">
                  <c:v>5292</c:v>
                </c:pt>
                <c:pt idx="20">
                  <c:v>4500</c:v>
                </c:pt>
                <c:pt idx="21">
                  <c:v>6000</c:v>
                </c:pt>
                <c:pt idx="22">
                  <c:v>4800</c:v>
                </c:pt>
                <c:pt idx="23">
                  <c:v>6820</c:v>
                </c:pt>
                <c:pt idx="24">
                  <c:v>5400</c:v>
                </c:pt>
                <c:pt idx="25">
                  <c:v>6000</c:v>
                </c:pt>
                <c:pt idx="26">
                  <c:v>8025</c:v>
                </c:pt>
                <c:pt idx="27">
                  <c:v>12280</c:v>
                </c:pt>
                <c:pt idx="28">
                  <c:v>5984</c:v>
                </c:pt>
                <c:pt idx="29">
                  <c:v>12000</c:v>
                </c:pt>
                <c:pt idx="30">
                  <c:v>12000</c:v>
                </c:pt>
                <c:pt idx="31">
                  <c:v>12000</c:v>
                </c:pt>
                <c:pt idx="32">
                  <c:v>12000</c:v>
                </c:pt>
                <c:pt idx="33">
                  <c:v>12000</c:v>
                </c:pt>
                <c:pt idx="34">
                  <c:v>12000</c:v>
                </c:pt>
                <c:pt idx="35">
                  <c:v>8025</c:v>
                </c:pt>
                <c:pt idx="36">
                  <c:v>7680</c:v>
                </c:pt>
                <c:pt idx="37">
                  <c:v>12000</c:v>
                </c:pt>
                <c:pt idx="38">
                  <c:v>8025</c:v>
                </c:pt>
                <c:pt idx="39">
                  <c:v>4800</c:v>
                </c:pt>
                <c:pt idx="40">
                  <c:v>8025</c:v>
                </c:pt>
                <c:pt idx="41">
                  <c:v>1450</c:v>
                </c:pt>
                <c:pt idx="42">
                  <c:v>9180</c:v>
                </c:pt>
                <c:pt idx="43">
                  <c:v>9000</c:v>
                </c:pt>
                <c:pt idx="44">
                  <c:v>13300</c:v>
                </c:pt>
                <c:pt idx="45">
                  <c:v>14100</c:v>
                </c:pt>
                <c:pt idx="46">
                  <c:v>13640</c:v>
                </c:pt>
                <c:pt idx="47">
                  <c:v>12000</c:v>
                </c:pt>
                <c:pt idx="48">
                  <c:v>13600</c:v>
                </c:pt>
                <c:pt idx="49">
                  <c:v>13640</c:v>
                </c:pt>
                <c:pt idx="50">
                  <c:v>13640</c:v>
                </c:pt>
                <c:pt idx="51">
                  <c:v>13640</c:v>
                </c:pt>
                <c:pt idx="52">
                  <c:v>14400</c:v>
                </c:pt>
                <c:pt idx="53">
                  <c:v>9370</c:v>
                </c:pt>
                <c:pt idx="54">
                  <c:v>9370</c:v>
                </c:pt>
                <c:pt idx="55">
                  <c:v>14000</c:v>
                </c:pt>
                <c:pt idx="56">
                  <c:v>13029</c:v>
                </c:pt>
                <c:pt idx="57">
                  <c:v>13029</c:v>
                </c:pt>
                <c:pt idx="58">
                  <c:v>12000</c:v>
                </c:pt>
                <c:pt idx="59">
                  <c:v>12000</c:v>
                </c:pt>
                <c:pt idx="60">
                  <c:v>12000</c:v>
                </c:pt>
                <c:pt idx="61">
                  <c:v>16800</c:v>
                </c:pt>
                <c:pt idx="62">
                  <c:v>13640</c:v>
                </c:pt>
                <c:pt idx="63">
                  <c:v>6140</c:v>
                </c:pt>
                <c:pt idx="64">
                  <c:v>23000</c:v>
                </c:pt>
                <c:pt idx="65">
                  <c:v>12000</c:v>
                </c:pt>
                <c:pt idx="66">
                  <c:v>11520</c:v>
                </c:pt>
                <c:pt idx="67">
                  <c:v>12280</c:v>
                </c:pt>
                <c:pt idx="68">
                  <c:v>15360</c:v>
                </c:pt>
                <c:pt idx="69">
                  <c:v>11250</c:v>
                </c:pt>
                <c:pt idx="70">
                  <c:v>14400</c:v>
                </c:pt>
                <c:pt idx="71">
                  <c:v>9210</c:v>
                </c:pt>
                <c:pt idx="72">
                  <c:v>13200</c:v>
                </c:pt>
                <c:pt idx="73">
                  <c:v>4000</c:v>
                </c:pt>
                <c:pt idx="74">
                  <c:v>7500</c:v>
                </c:pt>
                <c:pt idx="75">
                  <c:v>15000</c:v>
                </c:pt>
                <c:pt idx="76">
                  <c:v>18740</c:v>
                </c:pt>
                <c:pt idx="77">
                  <c:v>18740</c:v>
                </c:pt>
                <c:pt idx="78">
                  <c:v>17060</c:v>
                </c:pt>
                <c:pt idx="79">
                  <c:v>7500</c:v>
                </c:pt>
                <c:pt idx="80">
                  <c:v>17700</c:v>
                </c:pt>
                <c:pt idx="81">
                  <c:v>15000</c:v>
                </c:pt>
                <c:pt idx="82">
                  <c:v>15000</c:v>
                </c:pt>
                <c:pt idx="83">
                  <c:v>15120</c:v>
                </c:pt>
                <c:pt idx="84">
                  <c:v>17700</c:v>
                </c:pt>
                <c:pt idx="85">
                  <c:v>13029</c:v>
                </c:pt>
                <c:pt idx="86">
                  <c:v>12795</c:v>
                </c:pt>
                <c:pt idx="87">
                  <c:v>4000</c:v>
                </c:pt>
                <c:pt idx="88">
                  <c:v>4000</c:v>
                </c:pt>
                <c:pt idx="89">
                  <c:v>4000</c:v>
                </c:pt>
                <c:pt idx="90">
                  <c:v>16600</c:v>
                </c:pt>
                <c:pt idx="91">
                  <c:v>15000</c:v>
                </c:pt>
                <c:pt idx="92">
                  <c:v>15120</c:v>
                </c:pt>
                <c:pt idx="94">
                  <c:v>5800</c:v>
                </c:pt>
                <c:pt idx="95">
                  <c:v>6810</c:v>
                </c:pt>
                <c:pt idx="96">
                  <c:v>8025</c:v>
                </c:pt>
                <c:pt idx="97">
                  <c:v>12750</c:v>
                </c:pt>
                <c:pt idx="98">
                  <c:v>10800</c:v>
                </c:pt>
                <c:pt idx="99">
                  <c:v>7510</c:v>
                </c:pt>
                <c:pt idx="100">
                  <c:v>7510</c:v>
                </c:pt>
                <c:pt idx="101">
                  <c:v>10230</c:v>
                </c:pt>
                <c:pt idx="102">
                  <c:v>15360</c:v>
                </c:pt>
                <c:pt idx="103">
                  <c:v>4000</c:v>
                </c:pt>
                <c:pt idx="104">
                  <c:v>17700</c:v>
                </c:pt>
                <c:pt idx="105">
                  <c:v>15000</c:v>
                </c:pt>
                <c:pt idx="106">
                  <c:v>15840</c:v>
                </c:pt>
                <c:pt idx="107">
                  <c:v>22200</c:v>
                </c:pt>
                <c:pt idx="108">
                  <c:v>7295.1589110902505</c:v>
                </c:pt>
                <c:pt idx="109">
                  <c:v>3500.0670510929326</c:v>
                </c:pt>
                <c:pt idx="110">
                  <c:v>5600.107281748692</c:v>
                </c:pt>
                <c:pt idx="111">
                  <c:v>2200</c:v>
                </c:pt>
                <c:pt idx="112">
                  <c:v>2200</c:v>
                </c:pt>
                <c:pt idx="113">
                  <c:v>2800</c:v>
                </c:pt>
                <c:pt idx="114">
                  <c:v>2680</c:v>
                </c:pt>
                <c:pt idx="115">
                  <c:v>1300</c:v>
                </c:pt>
                <c:pt idx="116">
                  <c:v>1000</c:v>
                </c:pt>
                <c:pt idx="117">
                  <c:v>4800</c:v>
                </c:pt>
                <c:pt idx="118">
                  <c:v>4570</c:v>
                </c:pt>
                <c:pt idx="119">
                  <c:v>811</c:v>
                </c:pt>
                <c:pt idx="120">
                  <c:v>4570</c:v>
                </c:pt>
                <c:pt idx="121">
                  <c:v>1600</c:v>
                </c:pt>
                <c:pt idx="122">
                  <c:v>1600</c:v>
                </c:pt>
                <c:pt idx="123">
                  <c:v>1600</c:v>
                </c:pt>
                <c:pt idx="124">
                  <c:v>4693.5765052970364</c:v>
                </c:pt>
                <c:pt idx="125">
                  <c:v>2700</c:v>
                </c:pt>
                <c:pt idx="126">
                  <c:v>2660</c:v>
                </c:pt>
                <c:pt idx="127">
                  <c:v>4400</c:v>
                </c:pt>
                <c:pt idx="128">
                  <c:v>2805</c:v>
                </c:pt>
                <c:pt idx="129">
                  <c:v>2660</c:v>
                </c:pt>
                <c:pt idx="130">
                  <c:v>2322</c:v>
                </c:pt>
                <c:pt idx="131">
                  <c:v>1300</c:v>
                </c:pt>
                <c:pt idx="132">
                  <c:v>2680</c:v>
                </c:pt>
                <c:pt idx="133">
                  <c:v>2500</c:v>
                </c:pt>
                <c:pt idx="134">
                  <c:v>2700</c:v>
                </c:pt>
                <c:pt idx="135">
                  <c:v>4290</c:v>
                </c:pt>
                <c:pt idx="136">
                  <c:v>3270</c:v>
                </c:pt>
                <c:pt idx="137">
                  <c:v>5364.087434625184</c:v>
                </c:pt>
                <c:pt idx="138">
                  <c:v>1020</c:v>
                </c:pt>
                <c:pt idx="139">
                  <c:v>3700</c:v>
                </c:pt>
                <c:pt idx="140">
                  <c:v>2070</c:v>
                </c:pt>
                <c:pt idx="141">
                  <c:v>2951</c:v>
                </c:pt>
                <c:pt idx="142">
                  <c:v>7398</c:v>
                </c:pt>
                <c:pt idx="143">
                  <c:v>2700</c:v>
                </c:pt>
                <c:pt idx="144">
                  <c:v>3500</c:v>
                </c:pt>
                <c:pt idx="145">
                  <c:v>1290</c:v>
                </c:pt>
                <c:pt idx="146">
                  <c:v>5000</c:v>
                </c:pt>
                <c:pt idx="147">
                  <c:v>2070</c:v>
                </c:pt>
                <c:pt idx="148">
                  <c:v>2322</c:v>
                </c:pt>
                <c:pt idx="149">
                  <c:v>4680</c:v>
                </c:pt>
                <c:pt idx="150">
                  <c:v>2400</c:v>
                </c:pt>
                <c:pt idx="151">
                  <c:v>1260</c:v>
                </c:pt>
                <c:pt idx="152">
                  <c:v>2700</c:v>
                </c:pt>
                <c:pt idx="153">
                  <c:v>2660</c:v>
                </c:pt>
                <c:pt idx="154">
                  <c:v>4352</c:v>
                </c:pt>
                <c:pt idx="155">
                  <c:v>1100</c:v>
                </c:pt>
                <c:pt idx="156">
                  <c:v>1770</c:v>
                </c:pt>
                <c:pt idx="157">
                  <c:v>5000</c:v>
                </c:pt>
                <c:pt idx="158">
                  <c:v>3000</c:v>
                </c:pt>
                <c:pt idx="159">
                  <c:v>3483</c:v>
                </c:pt>
                <c:pt idx="160">
                  <c:v>5344</c:v>
                </c:pt>
                <c:pt idx="161">
                  <c:v>2610</c:v>
                </c:pt>
                <c:pt idx="162">
                  <c:v>4500</c:v>
                </c:pt>
                <c:pt idx="163">
                  <c:v>5320</c:v>
                </c:pt>
                <c:pt idx="164">
                  <c:v>5200</c:v>
                </c:pt>
                <c:pt idx="165">
                  <c:v>3400</c:v>
                </c:pt>
                <c:pt idx="166">
                  <c:v>4600</c:v>
                </c:pt>
                <c:pt idx="167">
                  <c:v>4087</c:v>
                </c:pt>
                <c:pt idx="168">
                  <c:v>9000</c:v>
                </c:pt>
                <c:pt idx="169">
                  <c:v>4400</c:v>
                </c:pt>
                <c:pt idx="170">
                  <c:v>5200</c:v>
                </c:pt>
                <c:pt idx="171">
                  <c:v>6000</c:v>
                </c:pt>
                <c:pt idx="172">
                  <c:v>1450</c:v>
                </c:pt>
                <c:pt idx="173">
                  <c:v>3520</c:v>
                </c:pt>
                <c:pt idx="174">
                  <c:v>4050</c:v>
                </c:pt>
                <c:pt idx="175">
                  <c:v>7200</c:v>
                </c:pt>
                <c:pt idx="176">
                  <c:v>6000</c:v>
                </c:pt>
                <c:pt idx="177">
                  <c:v>8240</c:v>
                </c:pt>
                <c:pt idx="178">
                  <c:v>4890</c:v>
                </c:pt>
                <c:pt idx="179">
                  <c:v>6000</c:v>
                </c:pt>
                <c:pt idx="180">
                  <c:v>4000</c:v>
                </c:pt>
                <c:pt idx="181">
                  <c:v>4340</c:v>
                </c:pt>
                <c:pt idx="182">
                  <c:v>3000</c:v>
                </c:pt>
                <c:pt idx="183">
                  <c:v>5800</c:v>
                </c:pt>
                <c:pt idx="184">
                  <c:v>385</c:v>
                </c:pt>
                <c:pt idx="185">
                  <c:v>5000</c:v>
                </c:pt>
                <c:pt idx="186">
                  <c:v>2820</c:v>
                </c:pt>
                <c:pt idx="187">
                  <c:v>4400</c:v>
                </c:pt>
                <c:pt idx="188">
                  <c:v>4400</c:v>
                </c:pt>
                <c:pt idx="189">
                  <c:v>6246</c:v>
                </c:pt>
                <c:pt idx="190">
                  <c:v>6260</c:v>
                </c:pt>
                <c:pt idx="191">
                  <c:v>6600</c:v>
                </c:pt>
                <c:pt idx="192">
                  <c:v>9600</c:v>
                </c:pt>
                <c:pt idx="193">
                  <c:v>5760</c:v>
                </c:pt>
                <c:pt idx="194">
                  <c:v>4800</c:v>
                </c:pt>
                <c:pt idx="195">
                  <c:v>5984</c:v>
                </c:pt>
                <c:pt idx="196">
                  <c:v>5911</c:v>
                </c:pt>
                <c:pt idx="197">
                  <c:v>7200</c:v>
                </c:pt>
                <c:pt idx="198">
                  <c:v>4025</c:v>
                </c:pt>
                <c:pt idx="199">
                  <c:v>3012</c:v>
                </c:pt>
                <c:pt idx="200">
                  <c:v>4610</c:v>
                </c:pt>
                <c:pt idx="201">
                  <c:v>4600</c:v>
                </c:pt>
                <c:pt idx="202">
                  <c:v>3300</c:v>
                </c:pt>
                <c:pt idx="203">
                  <c:v>5700</c:v>
                </c:pt>
                <c:pt idx="204">
                  <c:v>7170</c:v>
                </c:pt>
                <c:pt idx="205">
                  <c:v>4025</c:v>
                </c:pt>
                <c:pt idx="206">
                  <c:v>7700</c:v>
                </c:pt>
                <c:pt idx="207">
                  <c:v>5110</c:v>
                </c:pt>
                <c:pt idx="208">
                  <c:v>4025</c:v>
                </c:pt>
                <c:pt idx="209">
                  <c:v>11265</c:v>
                </c:pt>
                <c:pt idx="210">
                  <c:v>6700</c:v>
                </c:pt>
                <c:pt idx="211">
                  <c:v>7200</c:v>
                </c:pt>
                <c:pt idx="212">
                  <c:v>6820</c:v>
                </c:pt>
                <c:pt idx="213">
                  <c:v>13892.986455679227</c:v>
                </c:pt>
                <c:pt idx="214">
                  <c:v>6000</c:v>
                </c:pt>
                <c:pt idx="215">
                  <c:v>13410.21858656296</c:v>
                </c:pt>
                <c:pt idx="216">
                  <c:v>3480</c:v>
                </c:pt>
                <c:pt idx="217">
                  <c:v>9051.8975459299982</c:v>
                </c:pt>
                <c:pt idx="218">
                  <c:v>6140</c:v>
                </c:pt>
                <c:pt idx="220">
                  <c:v>6000</c:v>
                </c:pt>
                <c:pt idx="221">
                  <c:v>4600</c:v>
                </c:pt>
                <c:pt idx="222">
                  <c:v>13640</c:v>
                </c:pt>
                <c:pt idx="223">
                  <c:v>10942</c:v>
                </c:pt>
                <c:pt idx="224">
                  <c:v>6820</c:v>
                </c:pt>
                <c:pt idx="226">
                  <c:v>5800</c:v>
                </c:pt>
                <c:pt idx="227">
                  <c:v>6222.3414241652135</c:v>
                </c:pt>
                <c:pt idx="228">
                  <c:v>6820</c:v>
                </c:pt>
                <c:pt idx="229">
                  <c:v>4050</c:v>
                </c:pt>
                <c:pt idx="230">
                  <c:v>3750</c:v>
                </c:pt>
                <c:pt idx="231">
                  <c:v>4025</c:v>
                </c:pt>
                <c:pt idx="232">
                  <c:v>4000</c:v>
                </c:pt>
                <c:pt idx="233">
                  <c:v>2180</c:v>
                </c:pt>
                <c:pt idx="234">
                  <c:v>13400</c:v>
                </c:pt>
                <c:pt idx="235">
                  <c:v>5712</c:v>
                </c:pt>
                <c:pt idx="236">
                  <c:v>6600</c:v>
                </c:pt>
                <c:pt idx="237">
                  <c:v>4000</c:v>
                </c:pt>
                <c:pt idx="238">
                  <c:v>4000</c:v>
                </c:pt>
                <c:pt idx="239">
                  <c:v>11040</c:v>
                </c:pt>
                <c:pt idx="240">
                  <c:v>18506.101649456887</c:v>
                </c:pt>
                <c:pt idx="241">
                  <c:v>18740</c:v>
                </c:pt>
                <c:pt idx="242">
                  <c:v>4340</c:v>
                </c:pt>
                <c:pt idx="243">
                  <c:v>4640</c:v>
                </c:pt>
                <c:pt idx="244">
                  <c:v>8800</c:v>
                </c:pt>
                <c:pt idx="245">
                  <c:v>7230</c:v>
                </c:pt>
                <c:pt idx="246">
                  <c:v>15019.444816950516</c:v>
                </c:pt>
                <c:pt idx="247">
                  <c:v>6120</c:v>
                </c:pt>
                <c:pt idx="248">
                  <c:v>8000</c:v>
                </c:pt>
                <c:pt idx="249">
                  <c:v>4410</c:v>
                </c:pt>
                <c:pt idx="250">
                  <c:v>8850</c:v>
                </c:pt>
                <c:pt idx="251">
                  <c:v>8340</c:v>
                </c:pt>
                <c:pt idx="252">
                  <c:v>4400</c:v>
                </c:pt>
                <c:pt idx="253">
                  <c:v>17433.284162531847</c:v>
                </c:pt>
                <c:pt idx="254">
                  <c:v>8000</c:v>
                </c:pt>
                <c:pt idx="255">
                  <c:v>8850</c:v>
                </c:pt>
                <c:pt idx="256">
                  <c:v>8850</c:v>
                </c:pt>
                <c:pt idx="257">
                  <c:v>6119</c:v>
                </c:pt>
                <c:pt idx="258">
                  <c:v>5685</c:v>
                </c:pt>
                <c:pt idx="259">
                  <c:v>8000</c:v>
                </c:pt>
                <c:pt idx="260">
                  <c:v>11250</c:v>
                </c:pt>
                <c:pt idx="263">
                  <c:v>8800</c:v>
                </c:pt>
                <c:pt idx="264">
                  <c:v>23065.575968888294</c:v>
                </c:pt>
                <c:pt idx="265">
                  <c:v>8554</c:v>
                </c:pt>
                <c:pt idx="266">
                  <c:v>1800</c:v>
                </c:pt>
                <c:pt idx="267">
                  <c:v>2000</c:v>
                </c:pt>
                <c:pt idx="268">
                  <c:v>2000</c:v>
                </c:pt>
                <c:pt idx="269">
                  <c:v>9200</c:v>
                </c:pt>
                <c:pt idx="270">
                  <c:v>10000</c:v>
                </c:pt>
                <c:pt idx="271">
                  <c:v>10000</c:v>
                </c:pt>
              </c:numCache>
            </c:numRef>
          </c:yVal>
          <c:smooth val="1"/>
          <c:extLst>
            <c:ext xmlns:c16="http://schemas.microsoft.com/office/drawing/2014/chart" uri="{C3380CC4-5D6E-409C-BE32-E72D297353CC}">
              <c16:uniqueId val="{00000000-D016-4A3A-B68A-298DB220FEC4}"/>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52473538643367079"/>
                  <c:y val="-0.24527723166040474"/>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Stats'!$AA$5:$AA$12</c:f>
              <c:numCache>
                <c:formatCode>0.000</c:formatCode>
                <c:ptCount val="8"/>
                <c:pt idx="0">
                  <c:v>2.3833568919573183</c:v>
                </c:pt>
                <c:pt idx="1">
                  <c:v>1.9980835351979833</c:v>
                </c:pt>
                <c:pt idx="2">
                  <c:v>2.1960885965684751</c:v>
                </c:pt>
                <c:pt idx="3">
                  <c:v>1.8193750434031237</c:v>
                </c:pt>
                <c:pt idx="4">
                  <c:v>1.9089665213591041</c:v>
                </c:pt>
                <c:pt idx="5">
                  <c:v>2.1358577280723048</c:v>
                </c:pt>
                <c:pt idx="6">
                  <c:v>1.7870763963934833</c:v>
                </c:pt>
                <c:pt idx="7">
                  <c:v>1.9907896109556069</c:v>
                </c:pt>
              </c:numCache>
            </c:numRef>
          </c:xVal>
          <c:yVal>
            <c:numRef>
              <c:f>'Task 1 Converted AMI PDF Stats'!$U$5:$U$12</c:f>
              <c:numCache>
                <c:formatCode>_(* #,##0_);_(* \(#,##0\);_(* "-"??_);_(@_)</c:formatCode>
                <c:ptCount val="8"/>
                <c:pt idx="0">
                  <c:v>15998.390773769612</c:v>
                </c:pt>
                <c:pt idx="2">
                  <c:v>12337.401099637924</c:v>
                </c:pt>
                <c:pt idx="3">
                  <c:v>8582.539895400294</c:v>
                </c:pt>
                <c:pt idx="4">
                  <c:v>16184</c:v>
                </c:pt>
                <c:pt idx="6">
                  <c:v>12605.605471369183</c:v>
                </c:pt>
                <c:pt idx="7">
                  <c:v>14751.240445219257</c:v>
                </c:pt>
              </c:numCache>
            </c:numRef>
          </c:yVal>
          <c:smooth val="1"/>
          <c:extLst>
            <c:ext xmlns:c16="http://schemas.microsoft.com/office/drawing/2014/chart" uri="{C3380CC4-5D6E-409C-BE32-E72D297353CC}">
              <c16:uniqueId val="{00000001-D016-4A3A-B68A-298DB220FEC4}"/>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1500720492217396"/>
                  <c:y val="-0.1457788964152529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Stats'!$AA$13:$AA$98</c:f>
              <c:numCache>
                <c:formatCode>0.000</c:formatCode>
                <c:ptCount val="86"/>
                <c:pt idx="0">
                  <c:v>4.2578781301312683</c:v>
                </c:pt>
                <c:pt idx="1">
                  <c:v>3.3448689380599737</c:v>
                </c:pt>
                <c:pt idx="2">
                  <c:v>2.9771509183214606</c:v>
                </c:pt>
                <c:pt idx="3">
                  <c:v>2.9771509183214606</c:v>
                </c:pt>
                <c:pt idx="4">
                  <c:v>2.999427721161795</c:v>
                </c:pt>
                <c:pt idx="5">
                  <c:v>2.2514270068628797</c:v>
                </c:pt>
                <c:pt idx="6">
                  <c:v>2.3576001141871554</c:v>
                </c:pt>
                <c:pt idx="7">
                  <c:v>2.190112809023498</c:v>
                </c:pt>
                <c:pt idx="8">
                  <c:v>2.1818634545719475</c:v>
                </c:pt>
                <c:pt idx="9">
                  <c:v>2.1818634545719475</c:v>
                </c:pt>
                <c:pt idx="10">
                  <c:v>2.0240101110609023</c:v>
                </c:pt>
                <c:pt idx="11">
                  <c:v>1.800731925644989</c:v>
                </c:pt>
                <c:pt idx="12">
                  <c:v>2.6619680028744539</c:v>
                </c:pt>
                <c:pt idx="13">
                  <c:v>2.6467639937173235</c:v>
                </c:pt>
                <c:pt idx="14">
                  <c:v>2.069854896780333</c:v>
                </c:pt>
                <c:pt idx="15">
                  <c:v>2.2595420483327904</c:v>
                </c:pt>
                <c:pt idx="16">
                  <c:v>2.2595420483327904</c:v>
                </c:pt>
                <c:pt idx="17">
                  <c:v>2.1669255318160054</c:v>
                </c:pt>
                <c:pt idx="18">
                  <c:v>3.1455370623135566</c:v>
                </c:pt>
                <c:pt idx="19">
                  <c:v>2.6086473483748582</c:v>
                </c:pt>
                <c:pt idx="20">
                  <c:v>1.5852204308625291</c:v>
                </c:pt>
                <c:pt idx="21">
                  <c:v>2.8819125836046848</c:v>
                </c:pt>
                <c:pt idx="22">
                  <c:v>2.8819125836046848</c:v>
                </c:pt>
                <c:pt idx="23">
                  <c:v>2.8819125836046848</c:v>
                </c:pt>
                <c:pt idx="24">
                  <c:v>2.371371051549791</c:v>
                </c:pt>
                <c:pt idx="25">
                  <c:v>2.371371051549791</c:v>
                </c:pt>
                <c:pt idx="26">
                  <c:v>2.371371051549791</c:v>
                </c:pt>
                <c:pt idx="27">
                  <c:v>2.371371051549791</c:v>
                </c:pt>
                <c:pt idx="28">
                  <c:v>2.1663529822826906</c:v>
                </c:pt>
                <c:pt idx="29">
                  <c:v>2.3618661121023545</c:v>
                </c:pt>
                <c:pt idx="30">
                  <c:v>2.3618661121023545</c:v>
                </c:pt>
                <c:pt idx="31">
                  <c:v>1.8865102430633052</c:v>
                </c:pt>
                <c:pt idx="32">
                  <c:v>2.4198393639787561</c:v>
                </c:pt>
                <c:pt idx="33">
                  <c:v>1.0673659461753169</c:v>
                </c:pt>
                <c:pt idx="34">
                  <c:v>2.2768845030336466</c:v>
                </c:pt>
                <c:pt idx="35">
                  <c:v>2.1060828598451677</c:v>
                </c:pt>
                <c:pt idx="36">
                  <c:v>2.6308096346759702</c:v>
                </c:pt>
                <c:pt idx="37">
                  <c:v>2.4205018391001354</c:v>
                </c:pt>
                <c:pt idx="38">
                  <c:v>2.2881590271964689</c:v>
                </c:pt>
                <c:pt idx="39">
                  <c:v>2.3846608081108682</c:v>
                </c:pt>
                <c:pt idx="40">
                  <c:v>2.6133269129982115</c:v>
                </c:pt>
                <c:pt idx="41">
                  <c:v>2.6786600858231666</c:v>
                </c:pt>
                <c:pt idx="42">
                  <c:v>2.6065565033135569</c:v>
                </c:pt>
                <c:pt idx="43">
                  <c:v>2.6048829497737058</c:v>
                </c:pt>
                <c:pt idx="44">
                  <c:v>2.4746388022850203</c:v>
                </c:pt>
                <c:pt idx="45">
                  <c:v>2.6048829497737058</c:v>
                </c:pt>
                <c:pt idx="46">
                  <c:v>2.6048829497737058</c:v>
                </c:pt>
                <c:pt idx="47">
                  <c:v>2.3694215380899792</c:v>
                </c:pt>
                <c:pt idx="48">
                  <c:v>2.0123854159120369</c:v>
                </c:pt>
                <c:pt idx="49">
                  <c:v>2.0123854159120369</c:v>
                </c:pt>
                <c:pt idx="50">
                  <c:v>2.3369637088010751</c:v>
                </c:pt>
                <c:pt idx="51">
                  <c:v>2.3369637088010751</c:v>
                </c:pt>
                <c:pt idx="52">
                  <c:v>2.4621711827915069</c:v>
                </c:pt>
                <c:pt idx="53">
                  <c:v>2.5917591397805335</c:v>
                </c:pt>
                <c:pt idx="54">
                  <c:v>2.5917591397805335</c:v>
                </c:pt>
                <c:pt idx="55">
                  <c:v>1.7483518224639953</c:v>
                </c:pt>
                <c:pt idx="56">
                  <c:v>2.6532632544873387</c:v>
                </c:pt>
                <c:pt idx="57">
                  <c:v>2.4591220407443628</c:v>
                </c:pt>
                <c:pt idx="58">
                  <c:v>2.3944083028300378</c:v>
                </c:pt>
                <c:pt idx="59">
                  <c:v>2.4193549999763144</c:v>
                </c:pt>
                <c:pt idx="60">
                  <c:v>2.4650646962888745</c:v>
                </c:pt>
                <c:pt idx="61">
                  <c:v>1.9757254171590406</c:v>
                </c:pt>
                <c:pt idx="62">
                  <c:v>1.8992418100053081</c:v>
                </c:pt>
                <c:pt idx="63">
                  <c:v>1.8267821846579544</c:v>
                </c:pt>
                <c:pt idx="64">
                  <c:v>2.4336286613320408</c:v>
                </c:pt>
                <c:pt idx="65">
                  <c:v>1.8548520509735185</c:v>
                </c:pt>
                <c:pt idx="66">
                  <c:v>1.5805140808096707</c:v>
                </c:pt>
                <c:pt idx="67">
                  <c:v>2.3090039333397643</c:v>
                </c:pt>
                <c:pt idx="68">
                  <c:v>2.3383974386850541</c:v>
                </c:pt>
                <c:pt idx="69">
                  <c:v>2.3100409973553808</c:v>
                </c:pt>
                <c:pt idx="70">
                  <c:v>2.160038335189447</c:v>
                </c:pt>
                <c:pt idx="71">
                  <c:v>1.800031945991206</c:v>
                </c:pt>
                <c:pt idx="72">
                  <c:v>2.2756002201116634</c:v>
                </c:pt>
                <c:pt idx="73">
                  <c:v>2.3953686527491196</c:v>
                </c:pt>
                <c:pt idx="74">
                  <c:v>1.9162949221992955</c:v>
                </c:pt>
                <c:pt idx="75">
                  <c:v>2.2729648881756734</c:v>
                </c:pt>
                <c:pt idx="76">
                  <c:v>2.2703507724055916</c:v>
                </c:pt>
                <c:pt idx="77">
                  <c:v>1.9018299064684803</c:v>
                </c:pt>
                <c:pt idx="78">
                  <c:v>1.7829655373142002</c:v>
                </c:pt>
                <c:pt idx="79">
                  <c:v>1.6474433704258884</c:v>
                </c:pt>
                <c:pt idx="80">
                  <c:v>1.6474433704258884</c:v>
                </c:pt>
                <c:pt idx="81">
                  <c:v>1.6474433704258884</c:v>
                </c:pt>
                <c:pt idx="82">
                  <c:v>1.8176719413792313</c:v>
                </c:pt>
                <c:pt idx="83">
                  <c:v>1.8115371711008192</c:v>
                </c:pt>
                <c:pt idx="84">
                  <c:v>2.184138938448057</c:v>
                </c:pt>
                <c:pt idx="85">
                  <c:v>1.9370077776077976</c:v>
                </c:pt>
              </c:numCache>
            </c:numRef>
          </c:xVal>
          <c:yVal>
            <c:numRef>
              <c:f>'Task 1 Converted AMI PDF Stats'!$U$13:$U$98</c:f>
              <c:numCache>
                <c:formatCode>_(* #,##0_);_(* \(#,##0\);_(* "-"??_);_(@_)</c:formatCode>
                <c:ptCount val="86"/>
                <c:pt idx="0">
                  <c:v>16200</c:v>
                </c:pt>
                <c:pt idx="1">
                  <c:v>3046</c:v>
                </c:pt>
                <c:pt idx="2">
                  <c:v>4800</c:v>
                </c:pt>
                <c:pt idx="3">
                  <c:v>4800</c:v>
                </c:pt>
                <c:pt idx="4">
                  <c:v>5000</c:v>
                </c:pt>
                <c:pt idx="5">
                  <c:v>6000</c:v>
                </c:pt>
                <c:pt idx="6">
                  <c:v>5800</c:v>
                </c:pt>
                <c:pt idx="7">
                  <c:v>4220</c:v>
                </c:pt>
                <c:pt idx="8">
                  <c:v>2400</c:v>
                </c:pt>
                <c:pt idx="9">
                  <c:v>4400</c:v>
                </c:pt>
                <c:pt idx="10">
                  <c:v>4800</c:v>
                </c:pt>
                <c:pt idx="11">
                  <c:v>5292</c:v>
                </c:pt>
                <c:pt idx="12">
                  <c:v>4500</c:v>
                </c:pt>
                <c:pt idx="13">
                  <c:v>6000</c:v>
                </c:pt>
                <c:pt idx="14">
                  <c:v>4800</c:v>
                </c:pt>
                <c:pt idx="15">
                  <c:v>6820</c:v>
                </c:pt>
                <c:pt idx="16">
                  <c:v>5400</c:v>
                </c:pt>
                <c:pt idx="17">
                  <c:v>6000</c:v>
                </c:pt>
                <c:pt idx="18">
                  <c:v>8025</c:v>
                </c:pt>
                <c:pt idx="19">
                  <c:v>12280</c:v>
                </c:pt>
                <c:pt idx="20">
                  <c:v>5984</c:v>
                </c:pt>
                <c:pt idx="21">
                  <c:v>12000</c:v>
                </c:pt>
                <c:pt idx="22">
                  <c:v>12000</c:v>
                </c:pt>
                <c:pt idx="23">
                  <c:v>12000</c:v>
                </c:pt>
                <c:pt idx="24">
                  <c:v>12000</c:v>
                </c:pt>
                <c:pt idx="25">
                  <c:v>12000</c:v>
                </c:pt>
                <c:pt idx="26">
                  <c:v>12000</c:v>
                </c:pt>
                <c:pt idx="27">
                  <c:v>8025</c:v>
                </c:pt>
                <c:pt idx="28">
                  <c:v>7680</c:v>
                </c:pt>
                <c:pt idx="29">
                  <c:v>12000</c:v>
                </c:pt>
                <c:pt idx="30">
                  <c:v>8025</c:v>
                </c:pt>
                <c:pt idx="31">
                  <c:v>4800</c:v>
                </c:pt>
                <c:pt idx="32">
                  <c:v>8025</c:v>
                </c:pt>
                <c:pt idx="33">
                  <c:v>1450</c:v>
                </c:pt>
                <c:pt idx="34">
                  <c:v>9180</c:v>
                </c:pt>
                <c:pt idx="35">
                  <c:v>9000</c:v>
                </c:pt>
                <c:pt idx="36">
                  <c:v>13300</c:v>
                </c:pt>
                <c:pt idx="37">
                  <c:v>14100</c:v>
                </c:pt>
                <c:pt idx="38">
                  <c:v>13640</c:v>
                </c:pt>
                <c:pt idx="39">
                  <c:v>12000</c:v>
                </c:pt>
                <c:pt idx="40">
                  <c:v>13600</c:v>
                </c:pt>
                <c:pt idx="41">
                  <c:v>13640</c:v>
                </c:pt>
                <c:pt idx="42">
                  <c:v>13640</c:v>
                </c:pt>
                <c:pt idx="43">
                  <c:v>13640</c:v>
                </c:pt>
                <c:pt idx="44">
                  <c:v>14400</c:v>
                </c:pt>
                <c:pt idx="45">
                  <c:v>9370</c:v>
                </c:pt>
                <c:pt idx="46">
                  <c:v>9370</c:v>
                </c:pt>
                <c:pt idx="47">
                  <c:v>14000</c:v>
                </c:pt>
                <c:pt idx="48">
                  <c:v>13029</c:v>
                </c:pt>
                <c:pt idx="49">
                  <c:v>13029</c:v>
                </c:pt>
                <c:pt idx="50">
                  <c:v>12000</c:v>
                </c:pt>
                <c:pt idx="51">
                  <c:v>12000</c:v>
                </c:pt>
                <c:pt idx="52">
                  <c:v>12000</c:v>
                </c:pt>
                <c:pt idx="53">
                  <c:v>16800</c:v>
                </c:pt>
                <c:pt idx="54">
                  <c:v>13640</c:v>
                </c:pt>
                <c:pt idx="55">
                  <c:v>6140</c:v>
                </c:pt>
                <c:pt idx="56">
                  <c:v>23000</c:v>
                </c:pt>
                <c:pt idx="57">
                  <c:v>12000</c:v>
                </c:pt>
                <c:pt idx="58">
                  <c:v>11520</c:v>
                </c:pt>
                <c:pt idx="59">
                  <c:v>12280</c:v>
                </c:pt>
                <c:pt idx="60">
                  <c:v>15360</c:v>
                </c:pt>
                <c:pt idx="61">
                  <c:v>11250</c:v>
                </c:pt>
                <c:pt idx="62">
                  <c:v>14400</c:v>
                </c:pt>
                <c:pt idx="63">
                  <c:v>9210</c:v>
                </c:pt>
                <c:pt idx="64">
                  <c:v>13200</c:v>
                </c:pt>
                <c:pt idx="65">
                  <c:v>4000</c:v>
                </c:pt>
                <c:pt idx="66">
                  <c:v>7500</c:v>
                </c:pt>
                <c:pt idx="67">
                  <c:v>15000</c:v>
                </c:pt>
                <c:pt idx="68">
                  <c:v>18740</c:v>
                </c:pt>
                <c:pt idx="69">
                  <c:v>18740</c:v>
                </c:pt>
                <c:pt idx="70">
                  <c:v>17060</c:v>
                </c:pt>
                <c:pt idx="71">
                  <c:v>7500</c:v>
                </c:pt>
                <c:pt idx="72">
                  <c:v>17700</c:v>
                </c:pt>
                <c:pt idx="73">
                  <c:v>15000</c:v>
                </c:pt>
                <c:pt idx="74">
                  <c:v>15000</c:v>
                </c:pt>
                <c:pt idx="75">
                  <c:v>15120</c:v>
                </c:pt>
                <c:pt idx="76">
                  <c:v>17700</c:v>
                </c:pt>
                <c:pt idx="77">
                  <c:v>13029</c:v>
                </c:pt>
                <c:pt idx="78">
                  <c:v>12795</c:v>
                </c:pt>
                <c:pt idx="79">
                  <c:v>4000</c:v>
                </c:pt>
                <c:pt idx="80">
                  <c:v>4000</c:v>
                </c:pt>
                <c:pt idx="81">
                  <c:v>4000</c:v>
                </c:pt>
                <c:pt idx="82">
                  <c:v>16600</c:v>
                </c:pt>
                <c:pt idx="83">
                  <c:v>15000</c:v>
                </c:pt>
                <c:pt idx="84">
                  <c:v>15120</c:v>
                </c:pt>
              </c:numCache>
            </c:numRef>
          </c:yVal>
          <c:smooth val="1"/>
          <c:extLst>
            <c:ext xmlns:c16="http://schemas.microsoft.com/office/drawing/2014/chart" uri="{C3380CC4-5D6E-409C-BE32-E72D297353CC}">
              <c16:uniqueId val="{00000002-D016-4A3A-B68A-298DB220FEC4}"/>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47349551347301883"/>
                  <c:y val="-0.23706567404514139"/>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Stats'!$AA$99:$AA$112</c:f>
              <c:numCache>
                <c:formatCode>0.000</c:formatCode>
                <c:ptCount val="14"/>
                <c:pt idx="0">
                  <c:v>2.5164296498508452</c:v>
                </c:pt>
                <c:pt idx="1">
                  <c:v>2.1681106757026658</c:v>
                </c:pt>
                <c:pt idx="2">
                  <c:v>2.3618661121023545</c:v>
                </c:pt>
                <c:pt idx="3">
                  <c:v>2.6918911642423904</c:v>
                </c:pt>
                <c:pt idx="4">
                  <c:v>2.4334989120752724</c:v>
                </c:pt>
                <c:pt idx="5">
                  <c:v>1.9691089871408007</c:v>
                </c:pt>
                <c:pt idx="6">
                  <c:v>2.0712619805709669</c:v>
                </c:pt>
                <c:pt idx="7">
                  <c:v>1.9076183527014858</c:v>
                </c:pt>
                <c:pt idx="8">
                  <c:v>2.5337321871449698</c:v>
                </c:pt>
                <c:pt idx="9">
                  <c:v>1.8548520509735185</c:v>
                </c:pt>
                <c:pt idx="10">
                  <c:v>2.4264420616455706</c:v>
                </c:pt>
                <c:pt idx="11">
                  <c:v>1.9018299064684803</c:v>
                </c:pt>
                <c:pt idx="12">
                  <c:v>1.8565495046872162</c:v>
                </c:pt>
                <c:pt idx="13">
                  <c:v>2.1202846340841672</c:v>
                </c:pt>
              </c:numCache>
            </c:numRef>
          </c:xVal>
          <c:yVal>
            <c:numRef>
              <c:f>'Task 1 Converted AMI PDF Stats'!$U$99:$U$112</c:f>
              <c:numCache>
                <c:formatCode>_(* #,##0_);_(* \(#,##0\);_(* "-"??_);_(@_)</c:formatCode>
                <c:ptCount val="14"/>
                <c:pt idx="0">
                  <c:v>5800</c:v>
                </c:pt>
                <c:pt idx="1">
                  <c:v>6810</c:v>
                </c:pt>
                <c:pt idx="2">
                  <c:v>8025</c:v>
                </c:pt>
                <c:pt idx="3">
                  <c:v>12750</c:v>
                </c:pt>
                <c:pt idx="4">
                  <c:v>10800</c:v>
                </c:pt>
                <c:pt idx="5">
                  <c:v>7510</c:v>
                </c:pt>
                <c:pt idx="6">
                  <c:v>7510</c:v>
                </c:pt>
                <c:pt idx="7">
                  <c:v>10230</c:v>
                </c:pt>
                <c:pt idx="8">
                  <c:v>15360</c:v>
                </c:pt>
                <c:pt idx="9">
                  <c:v>4000</c:v>
                </c:pt>
                <c:pt idx="10">
                  <c:v>17700</c:v>
                </c:pt>
                <c:pt idx="11">
                  <c:v>15000</c:v>
                </c:pt>
                <c:pt idx="12">
                  <c:v>15840</c:v>
                </c:pt>
                <c:pt idx="13">
                  <c:v>22200</c:v>
                </c:pt>
              </c:numCache>
            </c:numRef>
          </c:yVal>
          <c:smooth val="1"/>
          <c:extLst>
            <c:ext xmlns:c16="http://schemas.microsoft.com/office/drawing/2014/chart" uri="{C3380CC4-5D6E-409C-BE32-E72D297353CC}">
              <c16:uniqueId val="{00000003-D016-4A3A-B68A-298DB220FEC4}"/>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31713575186549"/>
                  <c:y val="-0.2804962197337437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Stats'!$AA$113:$AA$276</c:f>
              <c:numCache>
                <c:formatCode>0.000</c:formatCode>
                <c:ptCount val="164"/>
                <c:pt idx="3">
                  <c:v>2.6802024507205884</c:v>
                </c:pt>
                <c:pt idx="4">
                  <c:v>2.6802024507205884</c:v>
                </c:pt>
                <c:pt idx="5">
                  <c:v>2.2598042570673593</c:v>
                </c:pt>
                <c:pt idx="6">
                  <c:v>1.9586239398603837</c:v>
                </c:pt>
                <c:pt idx="7">
                  <c:v>1.8617191553991561</c:v>
                </c:pt>
                <c:pt idx="9">
                  <c:v>3.1776254911569746</c:v>
                </c:pt>
                <c:pt idx="10">
                  <c:v>3.76297755531747</c:v>
                </c:pt>
                <c:pt idx="11">
                  <c:v>1.5549156853163308</c:v>
                </c:pt>
                <c:pt idx="12">
                  <c:v>4.1575285703645211</c:v>
                </c:pt>
                <c:pt idx="13">
                  <c:v>1.8823236253715079</c:v>
                </c:pt>
                <c:pt idx="14">
                  <c:v>1.7959765430568075</c:v>
                </c:pt>
                <c:pt idx="15">
                  <c:v>1.8729813961089876</c:v>
                </c:pt>
                <c:pt idx="17">
                  <c:v>1.6208298841151914</c:v>
                </c:pt>
                <c:pt idx="18">
                  <c:v>2.0073595498509755</c:v>
                </c:pt>
                <c:pt idx="19">
                  <c:v>2.3538306493316821</c:v>
                </c:pt>
                <c:pt idx="20">
                  <c:v>1.8010891385630652</c:v>
                </c:pt>
                <c:pt idx="21">
                  <c:v>2.1143220322262066</c:v>
                </c:pt>
                <c:pt idx="22">
                  <c:v>1.9429279842221934</c:v>
                </c:pt>
                <c:pt idx="23">
                  <c:v>1.7081986096172024</c:v>
                </c:pt>
                <c:pt idx="24">
                  <c:v>1.9393531043942926</c:v>
                </c:pt>
                <c:pt idx="25">
                  <c:v>1.3963342351638905</c:v>
                </c:pt>
                <c:pt idx="26">
                  <c:v>2.0906896664797538</c:v>
                </c:pt>
                <c:pt idx="27">
                  <c:v>2.4778544195315599</c:v>
                </c:pt>
                <c:pt idx="28">
                  <c:v>2.4733937933183427</c:v>
                </c:pt>
                <c:pt idx="30">
                  <c:v>1.7761637979443932</c:v>
                </c:pt>
                <c:pt idx="31">
                  <c:v>2.0060533812652697</c:v>
                </c:pt>
                <c:pt idx="32">
                  <c:v>2.3146769783830035</c:v>
                </c:pt>
                <c:pt idx="33">
                  <c:v>2.0025184533971014</c:v>
                </c:pt>
                <c:pt idx="34">
                  <c:v>3.4658973231872907</c:v>
                </c:pt>
                <c:pt idx="35">
                  <c:v>1.6174187508207356</c:v>
                </c:pt>
                <c:pt idx="36">
                  <c:v>2.0759123139622355</c:v>
                </c:pt>
                <c:pt idx="37">
                  <c:v>1.0763989776100482</c:v>
                </c:pt>
                <c:pt idx="38">
                  <c:v>1.3839415426414903</c:v>
                </c:pt>
                <c:pt idx="39">
                  <c:v>1.5324374711227635</c:v>
                </c:pt>
                <c:pt idx="40">
                  <c:v>1.5324374711227635</c:v>
                </c:pt>
                <c:pt idx="41">
                  <c:v>2.2986562066841452</c:v>
                </c:pt>
                <c:pt idx="42">
                  <c:v>1.9123083556889577</c:v>
                </c:pt>
                <c:pt idx="43">
                  <c:v>1.9091078134426536</c:v>
                </c:pt>
                <c:pt idx="44">
                  <c:v>1.680014875829535</c:v>
                </c:pt>
                <c:pt idx="45">
                  <c:v>2.0550426927633425</c:v>
                </c:pt>
                <c:pt idx="46">
                  <c:v>2.2760029008790399</c:v>
                </c:pt>
                <c:pt idx="47">
                  <c:v>1.2876796073825534</c:v>
                </c:pt>
                <c:pt idx="48">
                  <c:v>1.8906572782012951</c:v>
                </c:pt>
                <c:pt idx="49">
                  <c:v>2.2548254098171179</c:v>
                </c:pt>
                <c:pt idx="50">
                  <c:v>1.8038603278536942</c:v>
                </c:pt>
                <c:pt idx="51">
                  <c:v>2.2548254098171179</c:v>
                </c:pt>
                <c:pt idx="52">
                  <c:v>2.0889698459545594</c:v>
                </c:pt>
                <c:pt idx="53">
                  <c:v>2.2381819778084564</c:v>
                </c:pt>
                <c:pt idx="54">
                  <c:v>1.7905455822467651</c:v>
                </c:pt>
                <c:pt idx="55">
                  <c:v>1.8651516481737136</c:v>
                </c:pt>
                <c:pt idx="56">
                  <c:v>2.611212307443199</c:v>
                </c:pt>
                <c:pt idx="57">
                  <c:v>1.7905455822467651</c:v>
                </c:pt>
                <c:pt idx="58">
                  <c:v>2.3839515594120546</c:v>
                </c:pt>
                <c:pt idx="59">
                  <c:v>1.7110156116268747</c:v>
                </c:pt>
                <c:pt idx="60">
                  <c:v>3.1156493672098629</c:v>
                </c:pt>
                <c:pt idx="61">
                  <c:v>2.0742046494229696</c:v>
                </c:pt>
                <c:pt idx="62">
                  <c:v>1.6297322245466188</c:v>
                </c:pt>
                <c:pt idx="63">
                  <c:v>2.339105801127324</c:v>
                </c:pt>
                <c:pt idx="64">
                  <c:v>1.5350381819898062</c:v>
                </c:pt>
                <c:pt idx="65">
                  <c:v>1.5350381819898062</c:v>
                </c:pt>
                <c:pt idx="66">
                  <c:v>1.6727619818384931</c:v>
                </c:pt>
                <c:pt idx="67">
                  <c:v>2.324438874018226</c:v>
                </c:pt>
                <c:pt idx="68">
                  <c:v>2.3159396795747824</c:v>
                </c:pt>
                <c:pt idx="69">
                  <c:v>1.800731925644989</c:v>
                </c:pt>
                <c:pt idx="70">
                  <c:v>2.8778032463507612</c:v>
                </c:pt>
                <c:pt idx="71">
                  <c:v>1.5791320941764508</c:v>
                </c:pt>
                <c:pt idx="72">
                  <c:v>1.5056277082119847</c:v>
                </c:pt>
                <c:pt idx="73">
                  <c:v>1.882409870952791</c:v>
                </c:pt>
                <c:pt idx="74">
                  <c:v>1.7168198878166423</c:v>
                </c:pt>
                <c:pt idx="75">
                  <c:v>1.9984805899948046</c:v>
                </c:pt>
                <c:pt idx="76">
                  <c:v>0.78083843416373422</c:v>
                </c:pt>
                <c:pt idx="77">
                  <c:v>2.0574693712342165</c:v>
                </c:pt>
                <c:pt idx="78">
                  <c:v>1.409292929290979</c:v>
                </c:pt>
                <c:pt idx="79">
                  <c:v>1.409292929290979</c:v>
                </c:pt>
                <c:pt idx="80">
                  <c:v>1.2644906648138352</c:v>
                </c:pt>
                <c:pt idx="81">
                  <c:v>2.0311261489831538</c:v>
                </c:pt>
                <c:pt idx="82">
                  <c:v>1.6776197665672301</c:v>
                </c:pt>
                <c:pt idx="83">
                  <c:v>1.957223060995102</c:v>
                </c:pt>
                <c:pt idx="84">
                  <c:v>1.5378181193532943</c:v>
                </c:pt>
                <c:pt idx="85">
                  <c:v>1.9386662966524508</c:v>
                </c:pt>
                <c:pt idx="86">
                  <c:v>1.52323780451264</c:v>
                </c:pt>
                <c:pt idx="87">
                  <c:v>1.5924758865359419</c:v>
                </c:pt>
                <c:pt idx="88">
                  <c:v>2.2848567067689602</c:v>
                </c:pt>
                <c:pt idx="89">
                  <c:v>2.2848567067689602</c:v>
                </c:pt>
                <c:pt idx="90">
                  <c:v>1.7293544904966767</c:v>
                </c:pt>
                <c:pt idx="91">
                  <c:v>1.8526580894601548</c:v>
                </c:pt>
                <c:pt idx="92">
                  <c:v>1.7154241569075506</c:v>
                </c:pt>
                <c:pt idx="93">
                  <c:v>1.9212750557364568</c:v>
                </c:pt>
                <c:pt idx="94">
                  <c:v>1.6396931646346868</c:v>
                </c:pt>
                <c:pt idx="95">
                  <c:v>1.8446548102140228</c:v>
                </c:pt>
                <c:pt idx="96">
                  <c:v>2.3912191984255853</c:v>
                </c:pt>
                <c:pt idx="97">
                  <c:v>1.7763342616875775</c:v>
                </c:pt>
                <c:pt idx="98">
                  <c:v>2.1770517808483403</c:v>
                </c:pt>
                <c:pt idx="99">
                  <c:v>1.8368874400907873</c:v>
                </c:pt>
                <c:pt idx="100">
                  <c:v>1.9680634897383829</c:v>
                </c:pt>
                <c:pt idx="101">
                  <c:v>2.5643117788539844</c:v>
                </c:pt>
                <c:pt idx="102">
                  <c:v>2.0244566675163038</c:v>
                </c:pt>
                <c:pt idx="103">
                  <c:v>2.2269023342679342</c:v>
                </c:pt>
                <c:pt idx="104">
                  <c:v>2.0244566675163038</c:v>
                </c:pt>
                <c:pt idx="105">
                  <c:v>2.4950246721546208</c:v>
                </c:pt>
                <c:pt idx="106">
                  <c:v>2.0118809829277482</c:v>
                </c:pt>
                <c:pt idx="107">
                  <c:v>2.6705860337166438</c:v>
                </c:pt>
                <c:pt idx="108">
                  <c:v>1.8530898499058128</c:v>
                </c:pt>
                <c:pt idx="109">
                  <c:v>2.2766570071014969</c:v>
                </c:pt>
                <c:pt idx="110">
                  <c:v>1.9731072260069775</c:v>
                </c:pt>
                <c:pt idx="111">
                  <c:v>1.9730201130755749</c:v>
                </c:pt>
                <c:pt idx="112">
                  <c:v>1.5076306139641289</c:v>
                </c:pt>
                <c:pt idx="113">
                  <c:v>1.3109831425775034</c:v>
                </c:pt>
                <c:pt idx="114">
                  <c:v>2.6786600858231666</c:v>
                </c:pt>
                <c:pt idx="115">
                  <c:v>2.2792725810519925</c:v>
                </c:pt>
                <c:pt idx="116">
                  <c:v>1.9536622123302794</c:v>
                </c:pt>
                <c:pt idx="117">
                  <c:v>1.4301479005109514</c:v>
                </c:pt>
                <c:pt idx="118">
                  <c:v>1.6899395487665885</c:v>
                </c:pt>
                <c:pt idx="119">
                  <c:v>1.6221444697088605</c:v>
                </c:pt>
                <c:pt idx="120">
                  <c:v>1.4237022341151575</c:v>
                </c:pt>
                <c:pt idx="121">
                  <c:v>1.7699287060588778</c:v>
                </c:pt>
                <c:pt idx="122">
                  <c:v>1.2771232080101127</c:v>
                </c:pt>
                <c:pt idx="123">
                  <c:v>1.4576884456091312</c:v>
                </c:pt>
                <c:pt idx="124">
                  <c:v>1.0070367397715221</c:v>
                </c:pt>
                <c:pt idx="125">
                  <c:v>0.93877759365255919</c:v>
                </c:pt>
                <c:pt idx="126">
                  <c:v>2.1860868556917641</c:v>
                </c:pt>
                <c:pt idx="127">
                  <c:v>1.4097421406623807</c:v>
                </c:pt>
                <c:pt idx="128">
                  <c:v>1.4703807561331417</c:v>
                </c:pt>
                <c:pt idx="129">
                  <c:v>1.8686088775858676</c:v>
                </c:pt>
                <c:pt idx="130">
                  <c:v>1.8686088775858676</c:v>
                </c:pt>
                <c:pt idx="131">
                  <c:v>1.7154442154886655</c:v>
                </c:pt>
                <c:pt idx="132">
                  <c:v>2.1433888450344658</c:v>
                </c:pt>
                <c:pt idx="133">
                  <c:v>2.1433537244301895</c:v>
                </c:pt>
                <c:pt idx="134">
                  <c:v>1.2592938063436692</c:v>
                </c:pt>
                <c:pt idx="135">
                  <c:v>1.2199545575994333</c:v>
                </c:pt>
                <c:pt idx="136">
                  <c:v>1.5249431969992915</c:v>
                </c:pt>
                <c:pt idx="137">
                  <c:v>1.399933849411664</c:v>
                </c:pt>
                <c:pt idx="138">
                  <c:v>2.4308610880995074</c:v>
                </c:pt>
                <c:pt idx="139">
                  <c:v>1.2122079005518309</c:v>
                </c:pt>
                <c:pt idx="140">
                  <c:v>1.4812744270880982</c:v>
                </c:pt>
                <c:pt idx="141">
                  <c:v>1.3883137968971084</c:v>
                </c:pt>
                <c:pt idx="142">
                  <c:v>1.6813511161766443</c:v>
                </c:pt>
                <c:pt idx="143">
                  <c:v>1.3200234270602176</c:v>
                </c:pt>
                <c:pt idx="144">
                  <c:v>1.3773369753307438</c:v>
                </c:pt>
                <c:pt idx="145">
                  <c:v>2.5018619898609304</c:v>
                </c:pt>
                <c:pt idx="146">
                  <c:v>1.4284966020768219</c:v>
                </c:pt>
                <c:pt idx="147">
                  <c:v>1.6064589164368892</c:v>
                </c:pt>
                <c:pt idx="148">
                  <c:v>1.6064589164368892</c:v>
                </c:pt>
                <c:pt idx="149">
                  <c:v>1.7829655373142002</c:v>
                </c:pt>
                <c:pt idx="150">
                  <c:v>1.5452367990056399</c:v>
                </c:pt>
                <c:pt idx="151">
                  <c:v>1.4135768359906165</c:v>
                </c:pt>
                <c:pt idx="152">
                  <c:v>1.7638899870489388</c:v>
                </c:pt>
                <c:pt idx="153">
                  <c:v>1.2935193238358884</c:v>
                </c:pt>
                <c:pt idx="154">
                  <c:v>1.8175717475343196</c:v>
                </c:pt>
                <c:pt idx="155">
                  <c:v>1.6406494518428532</c:v>
                </c:pt>
                <c:pt idx="156">
                  <c:v>2.2227933120098866</c:v>
                </c:pt>
                <c:pt idx="157">
                  <c:v>1.1679532012258913</c:v>
                </c:pt>
                <c:pt idx="158">
                  <c:v>0.8674991552130713</c:v>
                </c:pt>
                <c:pt idx="159">
                  <c:v>0.86347338365293536</c:v>
                </c:pt>
                <c:pt idx="160">
                  <c:v>0.86216010728212789</c:v>
                </c:pt>
                <c:pt idx="161">
                  <c:v>1.3773770980749882</c:v>
                </c:pt>
                <c:pt idx="162">
                  <c:v>1.4347678104947794</c:v>
                </c:pt>
                <c:pt idx="163">
                  <c:v>1.3672996077231514</c:v>
                </c:pt>
              </c:numCache>
            </c:numRef>
          </c:xVal>
          <c:yVal>
            <c:numRef>
              <c:f>'Task 1 Converted AMI PDF Stats'!$U$113:$U$276</c:f>
              <c:numCache>
                <c:formatCode>_(* #,##0_);_(* \(#,##0\);_(* "-"??_);_(@_)</c:formatCode>
                <c:ptCount val="164"/>
                <c:pt idx="0">
                  <c:v>7295.1589110902505</c:v>
                </c:pt>
                <c:pt idx="1">
                  <c:v>3500.0670510929326</c:v>
                </c:pt>
                <c:pt idx="2">
                  <c:v>5600.107281748692</c:v>
                </c:pt>
                <c:pt idx="3">
                  <c:v>2200</c:v>
                </c:pt>
                <c:pt idx="4">
                  <c:v>2200</c:v>
                </c:pt>
                <c:pt idx="5">
                  <c:v>2800</c:v>
                </c:pt>
                <c:pt idx="6">
                  <c:v>2680</c:v>
                </c:pt>
                <c:pt idx="7">
                  <c:v>1300</c:v>
                </c:pt>
                <c:pt idx="8">
                  <c:v>1000</c:v>
                </c:pt>
                <c:pt idx="9">
                  <c:v>4800</c:v>
                </c:pt>
                <c:pt idx="10">
                  <c:v>4570</c:v>
                </c:pt>
                <c:pt idx="11">
                  <c:v>811</c:v>
                </c:pt>
                <c:pt idx="12">
                  <c:v>4570</c:v>
                </c:pt>
                <c:pt idx="13">
                  <c:v>1600</c:v>
                </c:pt>
                <c:pt idx="14">
                  <c:v>1600</c:v>
                </c:pt>
                <c:pt idx="15">
                  <c:v>1600</c:v>
                </c:pt>
                <c:pt idx="16">
                  <c:v>4693.5765052970364</c:v>
                </c:pt>
                <c:pt idx="17">
                  <c:v>2700</c:v>
                </c:pt>
                <c:pt idx="18">
                  <c:v>2660</c:v>
                </c:pt>
                <c:pt idx="19">
                  <c:v>4400</c:v>
                </c:pt>
                <c:pt idx="20">
                  <c:v>2805</c:v>
                </c:pt>
                <c:pt idx="21">
                  <c:v>2660</c:v>
                </c:pt>
                <c:pt idx="22">
                  <c:v>2322</c:v>
                </c:pt>
                <c:pt idx="23">
                  <c:v>1300</c:v>
                </c:pt>
                <c:pt idx="24">
                  <c:v>2680</c:v>
                </c:pt>
                <c:pt idx="25">
                  <c:v>2500</c:v>
                </c:pt>
                <c:pt idx="26">
                  <c:v>2700</c:v>
                </c:pt>
                <c:pt idx="27">
                  <c:v>4290</c:v>
                </c:pt>
                <c:pt idx="28">
                  <c:v>3270</c:v>
                </c:pt>
                <c:pt idx="29">
                  <c:v>5364.087434625184</c:v>
                </c:pt>
                <c:pt idx="30">
                  <c:v>1020</c:v>
                </c:pt>
                <c:pt idx="31">
                  <c:v>3700</c:v>
                </c:pt>
                <c:pt idx="32">
                  <c:v>2070</c:v>
                </c:pt>
                <c:pt idx="33">
                  <c:v>2951</c:v>
                </c:pt>
                <c:pt idx="34">
                  <c:v>7398</c:v>
                </c:pt>
                <c:pt idx="35">
                  <c:v>2700</c:v>
                </c:pt>
                <c:pt idx="36">
                  <c:v>3500</c:v>
                </c:pt>
                <c:pt idx="37">
                  <c:v>1290</c:v>
                </c:pt>
                <c:pt idx="38">
                  <c:v>5000</c:v>
                </c:pt>
                <c:pt idx="39">
                  <c:v>2070</c:v>
                </c:pt>
                <c:pt idx="40">
                  <c:v>2322</c:v>
                </c:pt>
                <c:pt idx="41">
                  <c:v>4680</c:v>
                </c:pt>
                <c:pt idx="42">
                  <c:v>2400</c:v>
                </c:pt>
                <c:pt idx="43">
                  <c:v>1260</c:v>
                </c:pt>
                <c:pt idx="44">
                  <c:v>2700</c:v>
                </c:pt>
                <c:pt idx="45">
                  <c:v>2660</c:v>
                </c:pt>
                <c:pt idx="46">
                  <c:v>4352</c:v>
                </c:pt>
                <c:pt idx="47">
                  <c:v>1100</c:v>
                </c:pt>
                <c:pt idx="48">
                  <c:v>1770</c:v>
                </c:pt>
                <c:pt idx="49">
                  <c:v>5000</c:v>
                </c:pt>
                <c:pt idx="50">
                  <c:v>3000</c:v>
                </c:pt>
                <c:pt idx="51">
                  <c:v>3483</c:v>
                </c:pt>
                <c:pt idx="52">
                  <c:v>5344</c:v>
                </c:pt>
                <c:pt idx="53">
                  <c:v>2610</c:v>
                </c:pt>
                <c:pt idx="54">
                  <c:v>4500</c:v>
                </c:pt>
                <c:pt idx="55">
                  <c:v>5320</c:v>
                </c:pt>
                <c:pt idx="56">
                  <c:v>5200</c:v>
                </c:pt>
                <c:pt idx="57">
                  <c:v>3400</c:v>
                </c:pt>
                <c:pt idx="58">
                  <c:v>4600</c:v>
                </c:pt>
                <c:pt idx="59">
                  <c:v>4087</c:v>
                </c:pt>
                <c:pt idx="60">
                  <c:v>9000</c:v>
                </c:pt>
                <c:pt idx="61">
                  <c:v>4400</c:v>
                </c:pt>
                <c:pt idx="62">
                  <c:v>5200</c:v>
                </c:pt>
                <c:pt idx="63">
                  <c:v>6000</c:v>
                </c:pt>
                <c:pt idx="64">
                  <c:v>1450</c:v>
                </c:pt>
                <c:pt idx="65">
                  <c:v>3520</c:v>
                </c:pt>
                <c:pt idx="66">
                  <c:v>4050</c:v>
                </c:pt>
                <c:pt idx="67">
                  <c:v>7200</c:v>
                </c:pt>
                <c:pt idx="68">
                  <c:v>6000</c:v>
                </c:pt>
                <c:pt idx="69">
                  <c:v>8240</c:v>
                </c:pt>
                <c:pt idx="70">
                  <c:v>4890</c:v>
                </c:pt>
                <c:pt idx="71">
                  <c:v>6000</c:v>
                </c:pt>
                <c:pt idx="72">
                  <c:v>4000</c:v>
                </c:pt>
                <c:pt idx="73">
                  <c:v>4340</c:v>
                </c:pt>
                <c:pt idx="74">
                  <c:v>3000</c:v>
                </c:pt>
                <c:pt idx="75">
                  <c:v>5800</c:v>
                </c:pt>
                <c:pt idx="76">
                  <c:v>385</c:v>
                </c:pt>
                <c:pt idx="77">
                  <c:v>5000</c:v>
                </c:pt>
                <c:pt idx="78">
                  <c:v>2820</c:v>
                </c:pt>
                <c:pt idx="79">
                  <c:v>4400</c:v>
                </c:pt>
                <c:pt idx="80">
                  <c:v>4400</c:v>
                </c:pt>
                <c:pt idx="81">
                  <c:v>6246</c:v>
                </c:pt>
                <c:pt idx="82">
                  <c:v>6260</c:v>
                </c:pt>
                <c:pt idx="83">
                  <c:v>6600</c:v>
                </c:pt>
                <c:pt idx="84">
                  <c:v>9600</c:v>
                </c:pt>
                <c:pt idx="85">
                  <c:v>5760</c:v>
                </c:pt>
                <c:pt idx="86">
                  <c:v>4800</c:v>
                </c:pt>
                <c:pt idx="87">
                  <c:v>5984</c:v>
                </c:pt>
                <c:pt idx="88">
                  <c:v>5911</c:v>
                </c:pt>
                <c:pt idx="89">
                  <c:v>7200</c:v>
                </c:pt>
                <c:pt idx="90">
                  <c:v>4025</c:v>
                </c:pt>
                <c:pt idx="91">
                  <c:v>3012</c:v>
                </c:pt>
                <c:pt idx="92">
                  <c:v>4610</c:v>
                </c:pt>
                <c:pt idx="93">
                  <c:v>4600</c:v>
                </c:pt>
                <c:pt idx="94">
                  <c:v>3300</c:v>
                </c:pt>
                <c:pt idx="95">
                  <c:v>5700</c:v>
                </c:pt>
                <c:pt idx="96">
                  <c:v>7170</c:v>
                </c:pt>
                <c:pt idx="97">
                  <c:v>4025</c:v>
                </c:pt>
                <c:pt idx="98">
                  <c:v>7700</c:v>
                </c:pt>
                <c:pt idx="99">
                  <c:v>5110</c:v>
                </c:pt>
                <c:pt idx="100">
                  <c:v>4025</c:v>
                </c:pt>
                <c:pt idx="101">
                  <c:v>11265</c:v>
                </c:pt>
                <c:pt idx="102">
                  <c:v>6700</c:v>
                </c:pt>
                <c:pt idx="103">
                  <c:v>7200</c:v>
                </c:pt>
                <c:pt idx="104">
                  <c:v>6820</c:v>
                </c:pt>
                <c:pt idx="105">
                  <c:v>13892.986455679227</c:v>
                </c:pt>
                <c:pt idx="106">
                  <c:v>6000</c:v>
                </c:pt>
                <c:pt idx="107">
                  <c:v>13410.21858656296</c:v>
                </c:pt>
                <c:pt idx="108">
                  <c:v>3480</c:v>
                </c:pt>
                <c:pt idx="109">
                  <c:v>9051.8975459299982</c:v>
                </c:pt>
                <c:pt idx="110">
                  <c:v>6140</c:v>
                </c:pt>
                <c:pt idx="112">
                  <c:v>6000</c:v>
                </c:pt>
                <c:pt idx="113">
                  <c:v>4600</c:v>
                </c:pt>
                <c:pt idx="114">
                  <c:v>13640</c:v>
                </c:pt>
                <c:pt idx="115">
                  <c:v>10942</c:v>
                </c:pt>
                <c:pt idx="116">
                  <c:v>6820</c:v>
                </c:pt>
                <c:pt idx="118">
                  <c:v>5800</c:v>
                </c:pt>
                <c:pt idx="119">
                  <c:v>6222.3414241652135</c:v>
                </c:pt>
                <c:pt idx="120">
                  <c:v>6820</c:v>
                </c:pt>
                <c:pt idx="121">
                  <c:v>4050</c:v>
                </c:pt>
                <c:pt idx="122">
                  <c:v>3750</c:v>
                </c:pt>
                <c:pt idx="123">
                  <c:v>4025</c:v>
                </c:pt>
                <c:pt idx="124">
                  <c:v>4000</c:v>
                </c:pt>
                <c:pt idx="125">
                  <c:v>2180</c:v>
                </c:pt>
                <c:pt idx="126">
                  <c:v>13400</c:v>
                </c:pt>
                <c:pt idx="127">
                  <c:v>5712</c:v>
                </c:pt>
                <c:pt idx="128">
                  <c:v>6600</c:v>
                </c:pt>
                <c:pt idx="129">
                  <c:v>4000</c:v>
                </c:pt>
                <c:pt idx="130">
                  <c:v>4000</c:v>
                </c:pt>
                <c:pt idx="131">
                  <c:v>11040</c:v>
                </c:pt>
                <c:pt idx="132">
                  <c:v>18506.101649456887</c:v>
                </c:pt>
                <c:pt idx="133">
                  <c:v>18740</c:v>
                </c:pt>
                <c:pt idx="134">
                  <c:v>4340</c:v>
                </c:pt>
                <c:pt idx="135">
                  <c:v>4640</c:v>
                </c:pt>
                <c:pt idx="136">
                  <c:v>8800</c:v>
                </c:pt>
                <c:pt idx="137">
                  <c:v>7230</c:v>
                </c:pt>
                <c:pt idx="138">
                  <c:v>15019.444816950516</c:v>
                </c:pt>
                <c:pt idx="139">
                  <c:v>6120</c:v>
                </c:pt>
                <c:pt idx="140">
                  <c:v>8000</c:v>
                </c:pt>
                <c:pt idx="141">
                  <c:v>4410</c:v>
                </c:pt>
                <c:pt idx="142">
                  <c:v>8850</c:v>
                </c:pt>
                <c:pt idx="143">
                  <c:v>8340</c:v>
                </c:pt>
                <c:pt idx="144">
                  <c:v>4400</c:v>
                </c:pt>
                <c:pt idx="145">
                  <c:v>17433.284162531847</c:v>
                </c:pt>
                <c:pt idx="146">
                  <c:v>8000</c:v>
                </c:pt>
                <c:pt idx="147">
                  <c:v>8850</c:v>
                </c:pt>
                <c:pt idx="148">
                  <c:v>8850</c:v>
                </c:pt>
                <c:pt idx="149">
                  <c:v>6119</c:v>
                </c:pt>
                <c:pt idx="150">
                  <c:v>5685</c:v>
                </c:pt>
                <c:pt idx="151">
                  <c:v>8000</c:v>
                </c:pt>
                <c:pt idx="152">
                  <c:v>11250</c:v>
                </c:pt>
                <c:pt idx="155">
                  <c:v>8800</c:v>
                </c:pt>
                <c:pt idx="156">
                  <c:v>23065.575968888294</c:v>
                </c:pt>
                <c:pt idx="157">
                  <c:v>8554</c:v>
                </c:pt>
                <c:pt idx="158">
                  <c:v>1800</c:v>
                </c:pt>
                <c:pt idx="159">
                  <c:v>2000</c:v>
                </c:pt>
                <c:pt idx="160">
                  <c:v>2000</c:v>
                </c:pt>
                <c:pt idx="161">
                  <c:v>9200</c:v>
                </c:pt>
                <c:pt idx="162">
                  <c:v>10000</c:v>
                </c:pt>
                <c:pt idx="163">
                  <c:v>10000</c:v>
                </c:pt>
              </c:numCache>
            </c:numRef>
          </c:yVal>
          <c:smooth val="1"/>
          <c:extLst>
            <c:ext xmlns:c16="http://schemas.microsoft.com/office/drawing/2014/chart" uri="{C3380CC4-5D6E-409C-BE32-E72D297353CC}">
              <c16:uniqueId val="{00000004-D016-4A3A-B68A-298DB220FEC4}"/>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Stats'!$AA$283</c:f>
              <c:numCache>
                <c:formatCode>0.000</c:formatCode>
                <c:ptCount val="1"/>
                <c:pt idx="0">
                  <c:v>1.9450834864481774</c:v>
                </c:pt>
              </c:numCache>
            </c:numRef>
          </c:xVal>
          <c:yVal>
            <c:numRef>
              <c:f>'Task 1 Converted AMI PDF Stats'!$U$283</c:f>
              <c:numCache>
                <c:formatCode>_(* #,##0_);_(* \(#,##0\);_(* "-"??_);_(@_)</c:formatCode>
                <c:ptCount val="1"/>
                <c:pt idx="0">
                  <c:v>14600</c:v>
                </c:pt>
              </c:numCache>
            </c:numRef>
          </c:yVal>
          <c:smooth val="1"/>
          <c:extLst>
            <c:ext xmlns:c16="http://schemas.microsoft.com/office/drawing/2014/chart" uri="{C3380CC4-5D6E-409C-BE32-E72D297353CC}">
              <c16:uniqueId val="{00000005-D016-4A3A-B68A-298DB220FEC4}"/>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Stats'!$AA$284:$AA$294</c:f>
              <c:numCache>
                <c:formatCode>0.000</c:formatCode>
                <c:ptCount val="11"/>
                <c:pt idx="3">
                  <c:v>1.6221444697088605</c:v>
                </c:pt>
                <c:pt idx="6">
                  <c:v>1.9731072260069775</c:v>
                </c:pt>
                <c:pt idx="7">
                  <c:v>1.7699287060588778</c:v>
                </c:pt>
                <c:pt idx="8">
                  <c:v>2.1860868556917641</c:v>
                </c:pt>
                <c:pt idx="9">
                  <c:v>2.0311261489831538</c:v>
                </c:pt>
                <c:pt idx="10">
                  <c:v>1.9386662966524508</c:v>
                </c:pt>
              </c:numCache>
            </c:numRef>
          </c:xVal>
          <c:yVal>
            <c:numRef>
              <c:f>'Task 1 Converted AMI PDF Stats'!$U$284:$U$294</c:f>
              <c:numCache>
                <c:formatCode>_(* #,##0_);_(* \(#,##0\);_(* "-"??_);_(@_)</c:formatCode>
                <c:ptCount val="11"/>
                <c:pt idx="0">
                  <c:v>7295.1589110902505</c:v>
                </c:pt>
                <c:pt idx="1">
                  <c:v>3500.0670510929326</c:v>
                </c:pt>
                <c:pt idx="2">
                  <c:v>5600.107281748692</c:v>
                </c:pt>
                <c:pt idx="3">
                  <c:v>6222.3414241652135</c:v>
                </c:pt>
                <c:pt idx="4">
                  <c:v>4693.5765052970364</c:v>
                </c:pt>
                <c:pt idx="5">
                  <c:v>5364.087434625184</c:v>
                </c:pt>
                <c:pt idx="6">
                  <c:v>6140</c:v>
                </c:pt>
                <c:pt idx="7">
                  <c:v>4050</c:v>
                </c:pt>
                <c:pt idx="8">
                  <c:v>13400</c:v>
                </c:pt>
                <c:pt idx="9">
                  <c:v>6246</c:v>
                </c:pt>
                <c:pt idx="10">
                  <c:v>5760</c:v>
                </c:pt>
              </c:numCache>
            </c:numRef>
          </c:yVal>
          <c:smooth val="1"/>
          <c:extLst>
            <c:ext xmlns:c16="http://schemas.microsoft.com/office/drawing/2014/chart" uri="{C3380CC4-5D6E-409C-BE32-E72D297353CC}">
              <c16:uniqueId val="{00000006-D016-4A3A-B68A-298DB220FEC4}"/>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Stats'!$AA$295:$AA$298</c:f>
              <c:numCache>
                <c:formatCode>0.000</c:formatCode>
                <c:ptCount val="4"/>
                <c:pt idx="0">
                  <c:v>2.5337321871449698</c:v>
                </c:pt>
                <c:pt idx="1">
                  <c:v>1.9691089871408007</c:v>
                </c:pt>
                <c:pt idx="2">
                  <c:v>2.0712619805709669</c:v>
                </c:pt>
                <c:pt idx="3">
                  <c:v>1.9076183527014858</c:v>
                </c:pt>
              </c:numCache>
            </c:numRef>
          </c:xVal>
          <c:yVal>
            <c:numRef>
              <c:f>'Task 1 Converted AMI PDF Stats'!$U$295:$U$298</c:f>
              <c:numCache>
                <c:formatCode>_(* #,##0_);_(* \(#,##0\);_(* "-"??_);_(@_)</c:formatCode>
                <c:ptCount val="4"/>
                <c:pt idx="0">
                  <c:v>15360</c:v>
                </c:pt>
                <c:pt idx="1">
                  <c:v>7510</c:v>
                </c:pt>
                <c:pt idx="2">
                  <c:v>7510</c:v>
                </c:pt>
                <c:pt idx="3">
                  <c:v>10230</c:v>
                </c:pt>
              </c:numCache>
            </c:numRef>
          </c:yVal>
          <c:smooth val="1"/>
          <c:extLst>
            <c:ext xmlns:c16="http://schemas.microsoft.com/office/drawing/2014/chart" uri="{C3380CC4-5D6E-409C-BE32-E72D297353CC}">
              <c16:uniqueId val="{00000007-D016-4A3A-B68A-298DB220FEC4}"/>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Stats'!$AA$299:$AA$300</c:f>
              <c:numCache>
                <c:formatCode>0.000</c:formatCode>
                <c:ptCount val="2"/>
                <c:pt idx="0">
                  <c:v>2.6048829497737058</c:v>
                </c:pt>
              </c:numCache>
            </c:numRef>
          </c:xVal>
          <c:yVal>
            <c:numRef>
              <c:f>'Task 1 Converted AMI PDF Stats'!$U$299:$U$300</c:f>
              <c:numCache>
                <c:formatCode>_(* #,##0_);_(* \(#,##0\);_(* "-"??_);_(@_)</c:formatCode>
                <c:ptCount val="2"/>
                <c:pt idx="0">
                  <c:v>9370</c:v>
                </c:pt>
              </c:numCache>
            </c:numRef>
          </c:yVal>
          <c:smooth val="1"/>
          <c:extLst>
            <c:ext xmlns:c16="http://schemas.microsoft.com/office/drawing/2014/chart" uri="{C3380CC4-5D6E-409C-BE32-E72D297353CC}">
              <c16:uniqueId val="{00000008-D016-4A3A-B68A-298DB220FEC4}"/>
            </c:ext>
          </c:extLst>
        </c:ser>
        <c:dLbls>
          <c:showLegendKey val="0"/>
          <c:showVal val="0"/>
          <c:showCatName val="0"/>
          <c:showSerName val="0"/>
          <c:showPercent val="0"/>
          <c:showBubbleSize val="0"/>
        </c:dLbls>
        <c:axId val="727688968"/>
        <c:axId val="1"/>
      </c:scatterChart>
      <c:valAx>
        <c:axId val="727688968"/>
        <c:scaling>
          <c:orientation val="minMax"/>
          <c:min val="0.5"/>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Fnv</a:t>
                </a:r>
              </a:p>
            </c:rich>
          </c:tx>
          <c:layout>
            <c:manualLayout>
              <c:xMode val="edge"/>
              <c:yMode val="edge"/>
              <c:x val="0.41065482796892344"/>
              <c:y val="0.94453507340946163"/>
            </c:manualLayout>
          </c:layout>
          <c:overlay val="0"/>
          <c:spPr>
            <a:noFill/>
            <a:ln w="25400">
              <a:noFill/>
            </a:ln>
          </c:spPr>
        </c:title>
        <c:numFmt formatCode="0.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Power (hp)</a:t>
                </a:r>
              </a:p>
            </c:rich>
          </c:tx>
          <c:layout>
            <c:manualLayout>
              <c:xMode val="edge"/>
              <c:yMode val="edge"/>
              <c:x val="1.4428412874583796E-2"/>
              <c:y val="0.42251223491027734"/>
            </c:manualLayout>
          </c:layout>
          <c:overlay val="0"/>
          <c:spPr>
            <a:noFill/>
            <a:ln w="25400">
              <a:noFill/>
            </a:ln>
          </c:spPr>
        </c:title>
        <c:numFmt formatCode="General"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88968"/>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137624861265263"/>
          <c:y val="0.47471451876019577"/>
          <c:w val="0.21309655937846839"/>
          <c:h val="0.414355628058727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Length/Breadth vs Displacement</a:t>
            </a:r>
          </a:p>
        </c:rich>
      </c:tx>
      <c:layout>
        <c:manualLayout>
          <c:xMode val="edge"/>
          <c:yMode val="edge"/>
          <c:x val="0.35849056603773582"/>
          <c:y val="1.9575856443719411E-2"/>
        </c:manualLayout>
      </c:layout>
      <c:overlay val="0"/>
      <c:spPr>
        <a:noFill/>
        <a:ln w="25400">
          <a:noFill/>
        </a:ln>
      </c:spPr>
    </c:title>
    <c:autoTitleDeleted val="0"/>
    <c:plotArea>
      <c:layout>
        <c:manualLayout>
          <c:layoutTarget val="inner"/>
          <c:xMode val="edge"/>
          <c:yMode val="edge"/>
          <c:x val="6.1043285238623748E-2"/>
          <c:y val="7.5040783034257749E-2"/>
          <c:w val="0.69589345172031081"/>
          <c:h val="0.8189233278955954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362303546401194"/>
                  <c:y val="0.11697324668743159"/>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Stats'!$R$5:$R$276</c:f>
              <c:numCache>
                <c:formatCode>0.00</c:formatCode>
                <c:ptCount val="272"/>
                <c:pt idx="0">
                  <c:v>5.7241379310344822</c:v>
                </c:pt>
                <c:pt idx="1">
                  <c:v>6.666666666666667</c:v>
                </c:pt>
                <c:pt idx="2">
                  <c:v>6.3058823529411772</c:v>
                </c:pt>
                <c:pt idx="3">
                  <c:v>7.125</c:v>
                </c:pt>
                <c:pt idx="4">
                  <c:v>5.6470588235294121</c:v>
                </c:pt>
                <c:pt idx="5">
                  <c:v>4.8782608695652181</c:v>
                </c:pt>
                <c:pt idx="6">
                  <c:v>6.8705882352941181</c:v>
                </c:pt>
                <c:pt idx="7">
                  <c:v>7.3411764705882359</c:v>
                </c:pt>
                <c:pt idx="8">
                  <c:v>4.5454545454545459</c:v>
                </c:pt>
                <c:pt idx="9">
                  <c:v>4.3859649122807012</c:v>
                </c:pt>
                <c:pt idx="10">
                  <c:v>4.2857142857142865</c:v>
                </c:pt>
                <c:pt idx="11">
                  <c:v>4.2857142857142865</c:v>
                </c:pt>
                <c:pt idx="12">
                  <c:v>4.1803278688524594</c:v>
                </c:pt>
                <c:pt idx="13">
                  <c:v>5.07936507936508</c:v>
                </c:pt>
                <c:pt idx="14">
                  <c:v>4.4202898550724639</c:v>
                </c:pt>
                <c:pt idx="15">
                  <c:v>7.1851851851851842</c:v>
                </c:pt>
                <c:pt idx="16">
                  <c:v>7.1851851851851842</c:v>
                </c:pt>
                <c:pt idx="17">
                  <c:v>7.1851851851851842</c:v>
                </c:pt>
                <c:pt idx="18">
                  <c:v>7.1851851851851842</c:v>
                </c:pt>
                <c:pt idx="19">
                  <c:v>4.7761194029850742</c:v>
                </c:pt>
                <c:pt idx="20">
                  <c:v>4.7681159420289854</c:v>
                </c:pt>
                <c:pt idx="21">
                  <c:v>5.36231884057971</c:v>
                </c:pt>
                <c:pt idx="22">
                  <c:v>7.5925925925925908</c:v>
                </c:pt>
                <c:pt idx="23">
                  <c:v>5.887096774193548</c:v>
                </c:pt>
                <c:pt idx="24">
                  <c:v>5.4545454545454541</c:v>
                </c:pt>
                <c:pt idx="25">
                  <c:v>5.1971830985915499</c:v>
                </c:pt>
                <c:pt idx="26">
                  <c:v>5.1791044776119408</c:v>
                </c:pt>
                <c:pt idx="27">
                  <c:v>6.6180257510729605</c:v>
                </c:pt>
                <c:pt idx="28">
                  <c:v>5.8208955223880592</c:v>
                </c:pt>
                <c:pt idx="29">
                  <c:v>5.9027777777777768</c:v>
                </c:pt>
                <c:pt idx="30">
                  <c:v>5.906779661016949</c:v>
                </c:pt>
                <c:pt idx="31">
                  <c:v>6.0714285714285712</c:v>
                </c:pt>
                <c:pt idx="32">
                  <c:v>5.0789473684210531</c:v>
                </c:pt>
                <c:pt idx="33">
                  <c:v>5.0789473684210531</c:v>
                </c:pt>
                <c:pt idx="34">
                  <c:v>5.0789473684210531</c:v>
                </c:pt>
                <c:pt idx="35">
                  <c:v>5.6764705882352944</c:v>
                </c:pt>
                <c:pt idx="36">
                  <c:v>5.125</c:v>
                </c:pt>
                <c:pt idx="37">
                  <c:v>5.0789473684210531</c:v>
                </c:pt>
                <c:pt idx="38">
                  <c:v>5.0789473684210531</c:v>
                </c:pt>
                <c:pt idx="39">
                  <c:v>7.1093749999999991</c:v>
                </c:pt>
                <c:pt idx="40">
                  <c:v>4.8421052631578947</c:v>
                </c:pt>
                <c:pt idx="41">
                  <c:v>6.9117647058823524</c:v>
                </c:pt>
                <c:pt idx="42">
                  <c:v>6.1408450704225368</c:v>
                </c:pt>
                <c:pt idx="43">
                  <c:v>6.4142857142857137</c:v>
                </c:pt>
                <c:pt idx="44">
                  <c:v>6.8630136986301373</c:v>
                </c:pt>
                <c:pt idx="45">
                  <c:v>4.9873417721518987</c:v>
                </c:pt>
                <c:pt idx="46">
                  <c:v>6.4142857142857137</c:v>
                </c:pt>
                <c:pt idx="47">
                  <c:v>6.619718309859155</c:v>
                </c:pt>
                <c:pt idx="48">
                  <c:v>6.4285714285714279</c:v>
                </c:pt>
                <c:pt idx="49">
                  <c:v>6.4142857142857137</c:v>
                </c:pt>
                <c:pt idx="50">
                  <c:v>6.4142857142857137</c:v>
                </c:pt>
                <c:pt idx="51">
                  <c:v>6.4142857142857137</c:v>
                </c:pt>
                <c:pt idx="52">
                  <c:v>5.3571428571428568</c:v>
                </c:pt>
                <c:pt idx="53">
                  <c:v>6.4043478260869566</c:v>
                </c:pt>
                <c:pt idx="54">
                  <c:v>6.4142857142857137</c:v>
                </c:pt>
                <c:pt idx="55">
                  <c:v>6.7142857142857135</c:v>
                </c:pt>
                <c:pt idx="56">
                  <c:v>6.7142857142857135</c:v>
                </c:pt>
                <c:pt idx="57">
                  <c:v>6.7043478260869565</c:v>
                </c:pt>
                <c:pt idx="58">
                  <c:v>6.7142857142857135</c:v>
                </c:pt>
                <c:pt idx="59">
                  <c:v>6.7142857142857135</c:v>
                </c:pt>
                <c:pt idx="60">
                  <c:v>6.0675675675675667</c:v>
                </c:pt>
                <c:pt idx="61">
                  <c:v>7.3561643835616444</c:v>
                </c:pt>
                <c:pt idx="62">
                  <c:v>6.1351351351351342</c:v>
                </c:pt>
                <c:pt idx="63">
                  <c:v>6.4142857142857137</c:v>
                </c:pt>
                <c:pt idx="64">
                  <c:v>6.8767123287671232</c:v>
                </c:pt>
                <c:pt idx="65">
                  <c:v>6.8767123287671232</c:v>
                </c:pt>
                <c:pt idx="66">
                  <c:v>6.64</c:v>
                </c:pt>
                <c:pt idx="67">
                  <c:v>6.619718309859155</c:v>
                </c:pt>
                <c:pt idx="68">
                  <c:v>6.9014084507042268</c:v>
                </c:pt>
                <c:pt idx="69">
                  <c:v>7.5466666666666669</c:v>
                </c:pt>
                <c:pt idx="70">
                  <c:v>5.2717391304347831</c:v>
                </c:pt>
                <c:pt idx="71">
                  <c:v>7.6447368421052628</c:v>
                </c:pt>
                <c:pt idx="72">
                  <c:v>7.384615384615385</c:v>
                </c:pt>
                <c:pt idx="73">
                  <c:v>8.1666666666666661</c:v>
                </c:pt>
                <c:pt idx="74">
                  <c:v>7.6447368421052628</c:v>
                </c:pt>
                <c:pt idx="75">
                  <c:v>6.9146341463414647</c:v>
                </c:pt>
                <c:pt idx="76">
                  <c:v>6.8292682926829285</c:v>
                </c:pt>
                <c:pt idx="77">
                  <c:v>6.8292682926829285</c:v>
                </c:pt>
                <c:pt idx="78">
                  <c:v>7.0250000000000004</c:v>
                </c:pt>
                <c:pt idx="79">
                  <c:v>7.6447368421052628</c:v>
                </c:pt>
                <c:pt idx="80">
                  <c:v>7.3947368421052637</c:v>
                </c:pt>
                <c:pt idx="81">
                  <c:v>6.9146341463414647</c:v>
                </c:pt>
                <c:pt idx="82">
                  <c:v>7.9743589743589745</c:v>
                </c:pt>
                <c:pt idx="83">
                  <c:v>7.6052631578947354</c:v>
                </c:pt>
                <c:pt idx="84">
                  <c:v>7.6447368421052628</c:v>
                </c:pt>
                <c:pt idx="85">
                  <c:v>7.4358974358974361</c:v>
                </c:pt>
                <c:pt idx="86">
                  <c:v>6.8636363636363633</c:v>
                </c:pt>
                <c:pt idx="87">
                  <c:v>8.7222222222222214</c:v>
                </c:pt>
                <c:pt idx="88">
                  <c:v>8.7222222222222214</c:v>
                </c:pt>
                <c:pt idx="89">
                  <c:v>8.7222222222222214</c:v>
                </c:pt>
                <c:pt idx="90">
                  <c:v>8.1184210526315788</c:v>
                </c:pt>
                <c:pt idx="91">
                  <c:v>8.1184210526315788</c:v>
                </c:pt>
                <c:pt idx="92">
                  <c:v>7.5180722891566258</c:v>
                </c:pt>
                <c:pt idx="93">
                  <c:v>6.526315789473685</c:v>
                </c:pt>
                <c:pt idx="94">
                  <c:v>5.8095238095238102</c:v>
                </c:pt>
                <c:pt idx="95">
                  <c:v>5.4999999999999991</c:v>
                </c:pt>
                <c:pt idx="96">
                  <c:v>5.0789473684210531</c:v>
                </c:pt>
                <c:pt idx="97">
                  <c:v>6.1408450704225368</c:v>
                </c:pt>
                <c:pt idx="98">
                  <c:v>5.0789473684210531</c:v>
                </c:pt>
                <c:pt idx="99">
                  <c:v>6.0000000000000009</c:v>
                </c:pt>
                <c:pt idx="100">
                  <c:v>6.1204819277108422</c:v>
                </c:pt>
                <c:pt idx="101">
                  <c:v>5.0561797752808983</c:v>
                </c:pt>
                <c:pt idx="102">
                  <c:v>6.8421052631578947</c:v>
                </c:pt>
                <c:pt idx="103">
                  <c:v>8.1666666666666661</c:v>
                </c:pt>
                <c:pt idx="104">
                  <c:v>7.384615384615385</c:v>
                </c:pt>
                <c:pt idx="105">
                  <c:v>7.4358974358974361</c:v>
                </c:pt>
                <c:pt idx="106">
                  <c:v>7.7857142857142865</c:v>
                </c:pt>
                <c:pt idx="107">
                  <c:v>7.6190476190476195</c:v>
                </c:pt>
                <c:pt idx="108">
                  <c:v>5.7706535141800241</c:v>
                </c:pt>
                <c:pt idx="109">
                  <c:v>4.5</c:v>
                </c:pt>
                <c:pt idx="110">
                  <c:v>6.0196905766526019</c:v>
                </c:pt>
                <c:pt idx="111">
                  <c:v>5.0000000000000009</c:v>
                </c:pt>
                <c:pt idx="112">
                  <c:v>4.8000000000000007</c:v>
                </c:pt>
                <c:pt idx="113">
                  <c:v>5.1724137931034484</c:v>
                </c:pt>
                <c:pt idx="114">
                  <c:v>5.5918367346938762</c:v>
                </c:pt>
                <c:pt idx="115">
                  <c:v>4.5438596491228065</c:v>
                </c:pt>
                <c:pt idx="116">
                  <c:v>6.75</c:v>
                </c:pt>
                <c:pt idx="117">
                  <c:v>4.1538461538461542</c:v>
                </c:pt>
                <c:pt idx="118">
                  <c:v>4.4642857142857153</c:v>
                </c:pt>
                <c:pt idx="119">
                  <c:v>4.709090909090909</c:v>
                </c:pt>
                <c:pt idx="120">
                  <c:v>4.4642857142857153</c:v>
                </c:pt>
                <c:pt idx="121">
                  <c:v>4.8653846153846159</c:v>
                </c:pt>
                <c:pt idx="122">
                  <c:v>4.7735849056603783</c:v>
                </c:pt>
                <c:pt idx="123">
                  <c:v>4.8653846153846159</c:v>
                </c:pt>
                <c:pt idx="124">
                  <c:v>5.1219512195121952</c:v>
                </c:pt>
                <c:pt idx="125">
                  <c:v>6.1489361702127647</c:v>
                </c:pt>
                <c:pt idx="126">
                  <c:v>4.3103448275862073</c:v>
                </c:pt>
                <c:pt idx="127">
                  <c:v>4.7619047619047628</c:v>
                </c:pt>
                <c:pt idx="128">
                  <c:v>4.4406779661016937</c:v>
                </c:pt>
                <c:pt idx="129">
                  <c:v>5.8000000000000007</c:v>
                </c:pt>
                <c:pt idx="130">
                  <c:v>4.6875</c:v>
                </c:pt>
                <c:pt idx="131">
                  <c:v>5.161290322580645</c:v>
                </c:pt>
                <c:pt idx="132">
                  <c:v>4.5689655172413799</c:v>
                </c:pt>
                <c:pt idx="133">
                  <c:v>5.5357142857142865</c:v>
                </c:pt>
                <c:pt idx="134">
                  <c:v>5.8000000000000007</c:v>
                </c:pt>
                <c:pt idx="135">
                  <c:v>4.1515151515151514</c:v>
                </c:pt>
                <c:pt idx="136">
                  <c:v>5.07936507936508</c:v>
                </c:pt>
                <c:pt idx="137">
                  <c:v>5.1219512195121952</c:v>
                </c:pt>
                <c:pt idx="138">
                  <c:v>4.5890410958904111</c:v>
                </c:pt>
                <c:pt idx="139">
                  <c:v>4.6101694915254239</c:v>
                </c:pt>
                <c:pt idx="140">
                  <c:v>5.1269841269841265</c:v>
                </c:pt>
                <c:pt idx="141">
                  <c:v>4.5689655172413799</c:v>
                </c:pt>
                <c:pt idx="142">
                  <c:v>4.3283582089552235</c:v>
                </c:pt>
                <c:pt idx="143">
                  <c:v>5.8000000000000007</c:v>
                </c:pt>
                <c:pt idx="144">
                  <c:v>5.2333333333333325</c:v>
                </c:pt>
                <c:pt idx="145">
                  <c:v>4.693548387096774</c:v>
                </c:pt>
                <c:pt idx="146">
                  <c:v>5.4137931034482767</c:v>
                </c:pt>
                <c:pt idx="147">
                  <c:v>4.6612903225806441</c:v>
                </c:pt>
                <c:pt idx="148">
                  <c:v>4.6612903225806441</c:v>
                </c:pt>
                <c:pt idx="149">
                  <c:v>4.9384615384615378</c:v>
                </c:pt>
                <c:pt idx="150">
                  <c:v>4.4666666666666668</c:v>
                </c:pt>
                <c:pt idx="151">
                  <c:v>4.765625</c:v>
                </c:pt>
                <c:pt idx="152">
                  <c:v>4.6875</c:v>
                </c:pt>
                <c:pt idx="153">
                  <c:v>4.9824561403508758</c:v>
                </c:pt>
                <c:pt idx="154">
                  <c:v>4.7571428571428562</c:v>
                </c:pt>
                <c:pt idx="155">
                  <c:v>5.0000000000000009</c:v>
                </c:pt>
                <c:pt idx="156">
                  <c:v>5.8653846153846159</c:v>
                </c:pt>
                <c:pt idx="157">
                  <c:v>5.234375</c:v>
                </c:pt>
                <c:pt idx="158">
                  <c:v>5.9615384615384617</c:v>
                </c:pt>
                <c:pt idx="159">
                  <c:v>4.9253731343283578</c:v>
                </c:pt>
                <c:pt idx="160">
                  <c:v>5.5555555555555562</c:v>
                </c:pt>
                <c:pt idx="161">
                  <c:v>5.5172413793103452</c:v>
                </c:pt>
                <c:pt idx="162">
                  <c:v>5.3442622950819674</c:v>
                </c:pt>
                <c:pt idx="163">
                  <c:v>4.7014925373134329</c:v>
                </c:pt>
                <c:pt idx="164">
                  <c:v>5.2238805970149249</c:v>
                </c:pt>
                <c:pt idx="165">
                  <c:v>5.3442622950819674</c:v>
                </c:pt>
                <c:pt idx="166">
                  <c:v>5.1793721973094167</c:v>
                </c:pt>
                <c:pt idx="167">
                  <c:v>5.2333333333333325</c:v>
                </c:pt>
                <c:pt idx="168">
                  <c:v>6.2758620689655178</c:v>
                </c:pt>
                <c:pt idx="169">
                  <c:v>6.4814814814814801</c:v>
                </c:pt>
                <c:pt idx="170">
                  <c:v>5.0151515151515156</c:v>
                </c:pt>
                <c:pt idx="171">
                  <c:v>4.7260273972602738</c:v>
                </c:pt>
                <c:pt idx="172">
                  <c:v>4.828125</c:v>
                </c:pt>
                <c:pt idx="173">
                  <c:v>4.828125</c:v>
                </c:pt>
                <c:pt idx="174">
                  <c:v>5.4090909090909101</c:v>
                </c:pt>
                <c:pt idx="175">
                  <c:v>5.9836065573770494</c:v>
                </c:pt>
                <c:pt idx="176">
                  <c:v>5.887096774193548</c:v>
                </c:pt>
                <c:pt idx="177">
                  <c:v>4.6578947368421053</c:v>
                </c:pt>
                <c:pt idx="178">
                  <c:v>3.5555555555555558</c:v>
                </c:pt>
                <c:pt idx="179">
                  <c:v>6.2413793103448283</c:v>
                </c:pt>
                <c:pt idx="180">
                  <c:v>5.3770491803278686</c:v>
                </c:pt>
                <c:pt idx="181">
                  <c:v>6.8474576271186427</c:v>
                </c:pt>
                <c:pt idx="182">
                  <c:v>3.9540229885057472</c:v>
                </c:pt>
                <c:pt idx="183">
                  <c:v>4.8461538461538458</c:v>
                </c:pt>
                <c:pt idx="184">
                  <c:v>4.2666666666666666</c:v>
                </c:pt>
                <c:pt idx="185">
                  <c:v>5.4347826086956514</c:v>
                </c:pt>
                <c:pt idx="186">
                  <c:v>3.8888888888888888</c:v>
                </c:pt>
                <c:pt idx="187">
                  <c:v>3.8888888888888888</c:v>
                </c:pt>
                <c:pt idx="188">
                  <c:v>3.8888888888888888</c:v>
                </c:pt>
                <c:pt idx="189">
                  <c:v>5.234375</c:v>
                </c:pt>
                <c:pt idx="190">
                  <c:v>3.9756097560975614</c:v>
                </c:pt>
                <c:pt idx="191">
                  <c:v>6.9999999999999991</c:v>
                </c:pt>
                <c:pt idx="192">
                  <c:v>6.2812500000000009</c:v>
                </c:pt>
                <c:pt idx="193">
                  <c:v>5.8579462326261886</c:v>
                </c:pt>
                <c:pt idx="194">
                  <c:v>6.2812500000000009</c:v>
                </c:pt>
                <c:pt idx="195">
                  <c:v>5.8208955223880592</c:v>
                </c:pt>
                <c:pt idx="196">
                  <c:v>4.9253731343283578</c:v>
                </c:pt>
                <c:pt idx="197">
                  <c:v>4.0232558139534884</c:v>
                </c:pt>
                <c:pt idx="198">
                  <c:v>5.9382716049382722</c:v>
                </c:pt>
                <c:pt idx="199">
                  <c:v>4.9420289855072461</c:v>
                </c:pt>
                <c:pt idx="200">
                  <c:v>5.208333333333333</c:v>
                </c:pt>
                <c:pt idx="201">
                  <c:v>6.1470588235294112</c:v>
                </c:pt>
                <c:pt idx="202">
                  <c:v>6.8412698412698427</c:v>
                </c:pt>
                <c:pt idx="203">
                  <c:v>5.7323943661971848</c:v>
                </c:pt>
                <c:pt idx="204">
                  <c:v>5.7357723577235769</c:v>
                </c:pt>
                <c:pt idx="205">
                  <c:v>6.4043478260869566</c:v>
                </c:pt>
                <c:pt idx="206">
                  <c:v>4.8624999999999998</c:v>
                </c:pt>
                <c:pt idx="207">
                  <c:v>5.4347826086956514</c:v>
                </c:pt>
                <c:pt idx="208">
                  <c:v>5</c:v>
                </c:pt>
                <c:pt idx="209">
                  <c:v>4.8250000000000002</c:v>
                </c:pt>
                <c:pt idx="210">
                  <c:v>6.0597014925373127</c:v>
                </c:pt>
                <c:pt idx="211">
                  <c:v>4.2558139534883725</c:v>
                </c:pt>
                <c:pt idx="212">
                  <c:v>5.04</c:v>
                </c:pt>
                <c:pt idx="213">
                  <c:v>4.9873417721518987</c:v>
                </c:pt>
                <c:pt idx="214">
                  <c:v>5.5260869565217385</c:v>
                </c:pt>
                <c:pt idx="215">
                  <c:v>6.1351351351351342</c:v>
                </c:pt>
                <c:pt idx="216">
                  <c:v>5.9423868312757202</c:v>
                </c:pt>
                <c:pt idx="217">
                  <c:v>6.1408450704225368</c:v>
                </c:pt>
                <c:pt idx="218">
                  <c:v>5.887323943661972</c:v>
                </c:pt>
                <c:pt idx="219">
                  <c:v>5.1219512195121952</c:v>
                </c:pt>
                <c:pt idx="220">
                  <c:v>6.7605633802816918</c:v>
                </c:pt>
                <c:pt idx="221">
                  <c:v>6.7605633802816918</c:v>
                </c:pt>
                <c:pt idx="222">
                  <c:v>6.4043478260869566</c:v>
                </c:pt>
                <c:pt idx="223">
                  <c:v>6.4146341463414638</c:v>
                </c:pt>
                <c:pt idx="224">
                  <c:v>6.1382113821138207</c:v>
                </c:pt>
                <c:pt idx="225">
                  <c:v>6.1999999999999993</c:v>
                </c:pt>
                <c:pt idx="226">
                  <c:v>6.1999999999999993</c:v>
                </c:pt>
                <c:pt idx="227">
                  <c:v>5.3822314049586781</c:v>
                </c:pt>
                <c:pt idx="228">
                  <c:v>6.8630136986301373</c:v>
                </c:pt>
                <c:pt idx="229">
                  <c:v>5.9459459459459456</c:v>
                </c:pt>
                <c:pt idx="230">
                  <c:v>5.7142857142857135</c:v>
                </c:pt>
                <c:pt idx="231">
                  <c:v>6.1341463414634143</c:v>
                </c:pt>
                <c:pt idx="232">
                  <c:v>6.7272727272727275</c:v>
                </c:pt>
                <c:pt idx="233">
                  <c:v>5.6857142857142851</c:v>
                </c:pt>
                <c:pt idx="234">
                  <c:v>6.5696202531645564</c:v>
                </c:pt>
                <c:pt idx="235">
                  <c:v>5.4</c:v>
                </c:pt>
                <c:pt idx="236">
                  <c:v>6.8089887640449431</c:v>
                </c:pt>
                <c:pt idx="237">
                  <c:v>8.1666666666666661</c:v>
                </c:pt>
                <c:pt idx="238">
                  <c:v>8.1666666666666661</c:v>
                </c:pt>
                <c:pt idx="239">
                  <c:v>7.5657894736842106</c:v>
                </c:pt>
                <c:pt idx="240">
                  <c:v>6.2555555555555546</c:v>
                </c:pt>
                <c:pt idx="241">
                  <c:v>6.2555555555555546</c:v>
                </c:pt>
                <c:pt idx="242">
                  <c:v>6.5325203252032509</c:v>
                </c:pt>
                <c:pt idx="243">
                  <c:v>4.7619047619047628</c:v>
                </c:pt>
                <c:pt idx="244">
                  <c:v>8.3055555555555554</c:v>
                </c:pt>
                <c:pt idx="245">
                  <c:v>5.4799999999999995</c:v>
                </c:pt>
                <c:pt idx="246">
                  <c:v>6.9146341463414647</c:v>
                </c:pt>
                <c:pt idx="247">
                  <c:v>6.5333333333333341</c:v>
                </c:pt>
                <c:pt idx="248">
                  <c:v>6.8125</c:v>
                </c:pt>
                <c:pt idx="249">
                  <c:v>5.2981366459627326</c:v>
                </c:pt>
                <c:pt idx="250">
                  <c:v>7.6447368421052628</c:v>
                </c:pt>
                <c:pt idx="251">
                  <c:v>7.6447368421052628</c:v>
                </c:pt>
                <c:pt idx="252">
                  <c:v>7</c:v>
                </c:pt>
                <c:pt idx="253">
                  <c:v>7.6447368421052628</c:v>
                </c:pt>
                <c:pt idx="254">
                  <c:v>6.8250000000000002</c:v>
                </c:pt>
                <c:pt idx="255">
                  <c:v>7.6447368421052628</c:v>
                </c:pt>
                <c:pt idx="256">
                  <c:v>7.6447368421052628</c:v>
                </c:pt>
                <c:pt idx="257">
                  <c:v>5.8333333333333339</c:v>
                </c:pt>
                <c:pt idx="258">
                  <c:v>6.2959641255605385</c:v>
                </c:pt>
                <c:pt idx="259">
                  <c:v>6.8125</c:v>
                </c:pt>
                <c:pt idx="260">
                  <c:v>6.0000000000000009</c:v>
                </c:pt>
                <c:pt idx="261">
                  <c:v>7.073170731707318</c:v>
                </c:pt>
                <c:pt idx="262">
                  <c:v>8.1184210526315788</c:v>
                </c:pt>
                <c:pt idx="263">
                  <c:v>8.8888888888888893</c:v>
                </c:pt>
                <c:pt idx="264">
                  <c:v>7.1728395061728394</c:v>
                </c:pt>
                <c:pt idx="265">
                  <c:v>6.395348837209303</c:v>
                </c:pt>
                <c:pt idx="266">
                  <c:v>5.8192771084337336</c:v>
                </c:pt>
                <c:pt idx="267">
                  <c:v>5.7058823529411766</c:v>
                </c:pt>
                <c:pt idx="268">
                  <c:v>5.6395348837209305</c:v>
                </c:pt>
                <c:pt idx="269">
                  <c:v>5.65</c:v>
                </c:pt>
                <c:pt idx="270">
                  <c:v>5.2190476190476192</c:v>
                </c:pt>
                <c:pt idx="271">
                  <c:v>5.6140350877192979</c:v>
                </c:pt>
              </c:numCache>
            </c:numRef>
          </c:yVal>
          <c:smooth val="1"/>
          <c:extLst>
            <c:ext xmlns:c16="http://schemas.microsoft.com/office/drawing/2014/chart" uri="{C3380CC4-5D6E-409C-BE32-E72D297353CC}">
              <c16:uniqueId val="{00000000-FFD1-485A-BC05-9B39A0EEB0B5}"/>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9362303546401194"/>
                  <c:y val="-0.24569536991394139"/>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Stats'!$R$5:$R$12</c:f>
              <c:numCache>
                <c:formatCode>0.00</c:formatCode>
                <c:ptCount val="8"/>
                <c:pt idx="0">
                  <c:v>5.7241379310344822</c:v>
                </c:pt>
                <c:pt idx="1">
                  <c:v>6.666666666666667</c:v>
                </c:pt>
                <c:pt idx="2">
                  <c:v>6.3058823529411772</c:v>
                </c:pt>
                <c:pt idx="3">
                  <c:v>7.125</c:v>
                </c:pt>
                <c:pt idx="4">
                  <c:v>5.6470588235294121</c:v>
                </c:pt>
                <c:pt idx="5">
                  <c:v>4.8782608695652181</c:v>
                </c:pt>
                <c:pt idx="6">
                  <c:v>6.8705882352941181</c:v>
                </c:pt>
                <c:pt idx="7">
                  <c:v>7.3411764705882359</c:v>
                </c:pt>
              </c:numCache>
            </c:numRef>
          </c:yVal>
          <c:smooth val="1"/>
          <c:extLst>
            <c:ext xmlns:c16="http://schemas.microsoft.com/office/drawing/2014/chart" uri="{C3380CC4-5D6E-409C-BE32-E72D297353CC}">
              <c16:uniqueId val="{00000001-FFD1-485A-BC05-9B39A0EEB0B5}"/>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97894663566343"/>
                  <c:y val="2.4106285939759775E-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Stats'!$R$13:$R$98</c:f>
              <c:numCache>
                <c:formatCode>0.00</c:formatCode>
                <c:ptCount val="86"/>
                <c:pt idx="0">
                  <c:v>4.5454545454545459</c:v>
                </c:pt>
                <c:pt idx="1">
                  <c:v>4.3859649122807012</c:v>
                </c:pt>
                <c:pt idx="2">
                  <c:v>4.2857142857142865</c:v>
                </c:pt>
                <c:pt idx="3">
                  <c:v>4.2857142857142865</c:v>
                </c:pt>
                <c:pt idx="4">
                  <c:v>4.1803278688524594</c:v>
                </c:pt>
                <c:pt idx="5">
                  <c:v>5.07936507936508</c:v>
                </c:pt>
                <c:pt idx="6">
                  <c:v>4.4202898550724639</c:v>
                </c:pt>
                <c:pt idx="7">
                  <c:v>7.1851851851851842</c:v>
                </c:pt>
                <c:pt idx="8">
                  <c:v>7.1851851851851842</c:v>
                </c:pt>
                <c:pt idx="9">
                  <c:v>7.1851851851851842</c:v>
                </c:pt>
                <c:pt idx="10">
                  <c:v>7.1851851851851842</c:v>
                </c:pt>
                <c:pt idx="11">
                  <c:v>4.7761194029850742</c:v>
                </c:pt>
                <c:pt idx="12">
                  <c:v>4.7681159420289854</c:v>
                </c:pt>
                <c:pt idx="13">
                  <c:v>5.36231884057971</c:v>
                </c:pt>
                <c:pt idx="14">
                  <c:v>7.5925925925925908</c:v>
                </c:pt>
                <c:pt idx="15">
                  <c:v>5.887096774193548</c:v>
                </c:pt>
                <c:pt idx="16">
                  <c:v>5.4545454545454541</c:v>
                </c:pt>
                <c:pt idx="17">
                  <c:v>5.1971830985915499</c:v>
                </c:pt>
                <c:pt idx="18">
                  <c:v>5.1791044776119408</c:v>
                </c:pt>
                <c:pt idx="19">
                  <c:v>6.6180257510729605</c:v>
                </c:pt>
                <c:pt idx="20">
                  <c:v>5.8208955223880592</c:v>
                </c:pt>
                <c:pt idx="21">
                  <c:v>5.9027777777777768</c:v>
                </c:pt>
                <c:pt idx="22">
                  <c:v>5.906779661016949</c:v>
                </c:pt>
                <c:pt idx="23">
                  <c:v>6.0714285714285712</c:v>
                </c:pt>
                <c:pt idx="24">
                  <c:v>5.0789473684210531</c:v>
                </c:pt>
                <c:pt idx="25">
                  <c:v>5.0789473684210531</c:v>
                </c:pt>
                <c:pt idx="26">
                  <c:v>5.0789473684210531</c:v>
                </c:pt>
                <c:pt idx="27">
                  <c:v>5.6764705882352944</c:v>
                </c:pt>
                <c:pt idx="28">
                  <c:v>5.125</c:v>
                </c:pt>
                <c:pt idx="29">
                  <c:v>5.0789473684210531</c:v>
                </c:pt>
                <c:pt idx="30">
                  <c:v>5.0789473684210531</c:v>
                </c:pt>
                <c:pt idx="31">
                  <c:v>7.1093749999999991</c:v>
                </c:pt>
                <c:pt idx="32">
                  <c:v>4.8421052631578947</c:v>
                </c:pt>
                <c:pt idx="33">
                  <c:v>6.9117647058823524</c:v>
                </c:pt>
                <c:pt idx="34">
                  <c:v>6.1408450704225368</c:v>
                </c:pt>
                <c:pt idx="35">
                  <c:v>6.4142857142857137</c:v>
                </c:pt>
                <c:pt idx="36">
                  <c:v>6.8630136986301373</c:v>
                </c:pt>
                <c:pt idx="37">
                  <c:v>4.9873417721518987</c:v>
                </c:pt>
                <c:pt idx="38">
                  <c:v>6.4142857142857137</c:v>
                </c:pt>
                <c:pt idx="39">
                  <c:v>6.619718309859155</c:v>
                </c:pt>
                <c:pt idx="40">
                  <c:v>6.4285714285714279</c:v>
                </c:pt>
                <c:pt idx="41">
                  <c:v>6.4142857142857137</c:v>
                </c:pt>
                <c:pt idx="42">
                  <c:v>6.4142857142857137</c:v>
                </c:pt>
                <c:pt idx="43">
                  <c:v>6.4142857142857137</c:v>
                </c:pt>
                <c:pt idx="44">
                  <c:v>5.3571428571428568</c:v>
                </c:pt>
                <c:pt idx="45">
                  <c:v>6.4043478260869566</c:v>
                </c:pt>
                <c:pt idx="46">
                  <c:v>6.4142857142857137</c:v>
                </c:pt>
                <c:pt idx="47">
                  <c:v>6.7142857142857135</c:v>
                </c:pt>
                <c:pt idx="48">
                  <c:v>6.7142857142857135</c:v>
                </c:pt>
                <c:pt idx="49">
                  <c:v>6.7043478260869565</c:v>
                </c:pt>
                <c:pt idx="50">
                  <c:v>6.7142857142857135</c:v>
                </c:pt>
                <c:pt idx="51">
                  <c:v>6.7142857142857135</c:v>
                </c:pt>
                <c:pt idx="52">
                  <c:v>6.0675675675675667</c:v>
                </c:pt>
                <c:pt idx="53">
                  <c:v>7.3561643835616444</c:v>
                </c:pt>
                <c:pt idx="54">
                  <c:v>6.1351351351351342</c:v>
                </c:pt>
                <c:pt idx="55">
                  <c:v>6.4142857142857137</c:v>
                </c:pt>
                <c:pt idx="56">
                  <c:v>6.8767123287671232</c:v>
                </c:pt>
                <c:pt idx="57">
                  <c:v>6.8767123287671232</c:v>
                </c:pt>
                <c:pt idx="58">
                  <c:v>6.64</c:v>
                </c:pt>
                <c:pt idx="59">
                  <c:v>6.619718309859155</c:v>
                </c:pt>
                <c:pt idx="60">
                  <c:v>6.9014084507042268</c:v>
                </c:pt>
                <c:pt idx="61">
                  <c:v>7.5466666666666669</c:v>
                </c:pt>
                <c:pt idx="62">
                  <c:v>5.2717391304347831</c:v>
                </c:pt>
                <c:pt idx="63">
                  <c:v>7.6447368421052628</c:v>
                </c:pt>
                <c:pt idx="64">
                  <c:v>7.384615384615385</c:v>
                </c:pt>
                <c:pt idx="65">
                  <c:v>8.1666666666666661</c:v>
                </c:pt>
                <c:pt idx="66">
                  <c:v>7.6447368421052628</c:v>
                </c:pt>
                <c:pt idx="67">
                  <c:v>6.9146341463414647</c:v>
                </c:pt>
                <c:pt idx="68">
                  <c:v>6.8292682926829285</c:v>
                </c:pt>
                <c:pt idx="69">
                  <c:v>6.8292682926829285</c:v>
                </c:pt>
                <c:pt idx="70">
                  <c:v>7.0250000000000004</c:v>
                </c:pt>
                <c:pt idx="71">
                  <c:v>7.6447368421052628</c:v>
                </c:pt>
                <c:pt idx="72">
                  <c:v>7.3947368421052637</c:v>
                </c:pt>
                <c:pt idx="73">
                  <c:v>6.9146341463414647</c:v>
                </c:pt>
                <c:pt idx="74">
                  <c:v>7.9743589743589745</c:v>
                </c:pt>
                <c:pt idx="75">
                  <c:v>7.6052631578947354</c:v>
                </c:pt>
                <c:pt idx="76">
                  <c:v>7.6447368421052628</c:v>
                </c:pt>
                <c:pt idx="77">
                  <c:v>7.4358974358974361</c:v>
                </c:pt>
                <c:pt idx="78">
                  <c:v>6.8636363636363633</c:v>
                </c:pt>
                <c:pt idx="79">
                  <c:v>8.7222222222222214</c:v>
                </c:pt>
                <c:pt idx="80">
                  <c:v>8.7222222222222214</c:v>
                </c:pt>
                <c:pt idx="81">
                  <c:v>8.7222222222222214</c:v>
                </c:pt>
                <c:pt idx="82">
                  <c:v>8.1184210526315788</c:v>
                </c:pt>
                <c:pt idx="83">
                  <c:v>8.1184210526315788</c:v>
                </c:pt>
                <c:pt idx="84">
                  <c:v>7.5180722891566258</c:v>
                </c:pt>
                <c:pt idx="85">
                  <c:v>6.526315789473685</c:v>
                </c:pt>
              </c:numCache>
            </c:numRef>
          </c:yVal>
          <c:smooth val="1"/>
          <c:extLst>
            <c:ext xmlns:c16="http://schemas.microsoft.com/office/drawing/2014/chart" uri="{C3380CC4-5D6E-409C-BE32-E72D297353CC}">
              <c16:uniqueId val="{00000002-FFD1-485A-BC05-9B39A0EEB0B5}"/>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783157489913441"/>
                  <c:y val="7.3960897618527477E-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Stats'!$R$99:$R$112</c:f>
              <c:numCache>
                <c:formatCode>0.00</c:formatCode>
                <c:ptCount val="14"/>
                <c:pt idx="0">
                  <c:v>5.8095238095238102</c:v>
                </c:pt>
                <c:pt idx="1">
                  <c:v>5.4999999999999991</c:v>
                </c:pt>
                <c:pt idx="2">
                  <c:v>5.0789473684210531</c:v>
                </c:pt>
                <c:pt idx="3">
                  <c:v>6.1408450704225368</c:v>
                </c:pt>
                <c:pt idx="4">
                  <c:v>5.0789473684210531</c:v>
                </c:pt>
                <c:pt idx="5">
                  <c:v>6.0000000000000009</c:v>
                </c:pt>
                <c:pt idx="6">
                  <c:v>6.1204819277108422</c:v>
                </c:pt>
                <c:pt idx="7">
                  <c:v>5.0561797752808983</c:v>
                </c:pt>
                <c:pt idx="8">
                  <c:v>6.8421052631578947</c:v>
                </c:pt>
                <c:pt idx="9">
                  <c:v>8.1666666666666661</c:v>
                </c:pt>
                <c:pt idx="10">
                  <c:v>7.384615384615385</c:v>
                </c:pt>
                <c:pt idx="11">
                  <c:v>7.4358974358974361</c:v>
                </c:pt>
                <c:pt idx="12">
                  <c:v>7.7857142857142865</c:v>
                </c:pt>
                <c:pt idx="13">
                  <c:v>7.6190476190476195</c:v>
                </c:pt>
              </c:numCache>
            </c:numRef>
          </c:yVal>
          <c:smooth val="1"/>
          <c:extLst>
            <c:ext xmlns:c16="http://schemas.microsoft.com/office/drawing/2014/chart" uri="{C3380CC4-5D6E-409C-BE32-E72D297353CC}">
              <c16:uniqueId val="{00000003-FFD1-485A-BC05-9B39A0EEB0B5}"/>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678478565291346"/>
                  <c:y val="-2.524933415436037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Stats'!$R$113:$R$276</c:f>
              <c:numCache>
                <c:formatCode>0.00</c:formatCode>
                <c:ptCount val="164"/>
                <c:pt idx="0">
                  <c:v>5.7706535141800241</c:v>
                </c:pt>
                <c:pt idx="1">
                  <c:v>4.5</c:v>
                </c:pt>
                <c:pt idx="2">
                  <c:v>6.0196905766526019</c:v>
                </c:pt>
                <c:pt idx="3">
                  <c:v>5.0000000000000009</c:v>
                </c:pt>
                <c:pt idx="4">
                  <c:v>4.8000000000000007</c:v>
                </c:pt>
                <c:pt idx="5">
                  <c:v>5.1724137931034484</c:v>
                </c:pt>
                <c:pt idx="6">
                  <c:v>5.5918367346938762</c:v>
                </c:pt>
                <c:pt idx="7">
                  <c:v>4.5438596491228065</c:v>
                </c:pt>
                <c:pt idx="8">
                  <c:v>6.75</c:v>
                </c:pt>
                <c:pt idx="9">
                  <c:v>4.1538461538461542</c:v>
                </c:pt>
                <c:pt idx="10">
                  <c:v>4.4642857142857153</c:v>
                </c:pt>
                <c:pt idx="11">
                  <c:v>4.709090909090909</c:v>
                </c:pt>
                <c:pt idx="12">
                  <c:v>4.4642857142857153</c:v>
                </c:pt>
                <c:pt idx="13">
                  <c:v>4.8653846153846159</c:v>
                </c:pt>
                <c:pt idx="14">
                  <c:v>4.7735849056603783</c:v>
                </c:pt>
                <c:pt idx="15">
                  <c:v>4.8653846153846159</c:v>
                </c:pt>
                <c:pt idx="16">
                  <c:v>5.1219512195121952</c:v>
                </c:pt>
                <c:pt idx="17">
                  <c:v>6.1489361702127647</c:v>
                </c:pt>
                <c:pt idx="18">
                  <c:v>4.3103448275862073</c:v>
                </c:pt>
                <c:pt idx="19">
                  <c:v>4.7619047619047628</c:v>
                </c:pt>
                <c:pt idx="20">
                  <c:v>4.4406779661016937</c:v>
                </c:pt>
                <c:pt idx="21">
                  <c:v>5.8000000000000007</c:v>
                </c:pt>
                <c:pt idx="22">
                  <c:v>4.6875</c:v>
                </c:pt>
                <c:pt idx="23">
                  <c:v>5.161290322580645</c:v>
                </c:pt>
                <c:pt idx="24">
                  <c:v>4.5689655172413799</c:v>
                </c:pt>
                <c:pt idx="25">
                  <c:v>5.5357142857142865</c:v>
                </c:pt>
                <c:pt idx="26">
                  <c:v>5.8000000000000007</c:v>
                </c:pt>
                <c:pt idx="27">
                  <c:v>4.1515151515151514</c:v>
                </c:pt>
                <c:pt idx="28">
                  <c:v>5.07936507936508</c:v>
                </c:pt>
                <c:pt idx="29">
                  <c:v>5.1219512195121952</c:v>
                </c:pt>
                <c:pt idx="30">
                  <c:v>4.5890410958904111</c:v>
                </c:pt>
                <c:pt idx="31">
                  <c:v>4.6101694915254239</c:v>
                </c:pt>
                <c:pt idx="32">
                  <c:v>5.1269841269841265</c:v>
                </c:pt>
                <c:pt idx="33">
                  <c:v>4.5689655172413799</c:v>
                </c:pt>
                <c:pt idx="34">
                  <c:v>4.3283582089552235</c:v>
                </c:pt>
                <c:pt idx="35">
                  <c:v>5.8000000000000007</c:v>
                </c:pt>
                <c:pt idx="36">
                  <c:v>5.2333333333333325</c:v>
                </c:pt>
                <c:pt idx="37">
                  <c:v>4.693548387096774</c:v>
                </c:pt>
                <c:pt idx="38">
                  <c:v>5.4137931034482767</c:v>
                </c:pt>
                <c:pt idx="39">
                  <c:v>4.6612903225806441</c:v>
                </c:pt>
                <c:pt idx="40">
                  <c:v>4.6612903225806441</c:v>
                </c:pt>
                <c:pt idx="41">
                  <c:v>4.9384615384615378</c:v>
                </c:pt>
                <c:pt idx="42">
                  <c:v>4.4666666666666668</c:v>
                </c:pt>
                <c:pt idx="43">
                  <c:v>4.765625</c:v>
                </c:pt>
                <c:pt idx="44">
                  <c:v>4.6875</c:v>
                </c:pt>
                <c:pt idx="45">
                  <c:v>4.9824561403508758</c:v>
                </c:pt>
                <c:pt idx="46">
                  <c:v>4.7571428571428562</c:v>
                </c:pt>
                <c:pt idx="47">
                  <c:v>5.0000000000000009</c:v>
                </c:pt>
                <c:pt idx="48">
                  <c:v>5.8653846153846159</c:v>
                </c:pt>
                <c:pt idx="49">
                  <c:v>5.234375</c:v>
                </c:pt>
                <c:pt idx="50">
                  <c:v>5.9615384615384617</c:v>
                </c:pt>
                <c:pt idx="51">
                  <c:v>4.9253731343283578</c:v>
                </c:pt>
                <c:pt idx="52">
                  <c:v>5.5555555555555562</c:v>
                </c:pt>
                <c:pt idx="53">
                  <c:v>5.5172413793103452</c:v>
                </c:pt>
                <c:pt idx="54">
                  <c:v>5.3442622950819674</c:v>
                </c:pt>
                <c:pt idx="55">
                  <c:v>4.7014925373134329</c:v>
                </c:pt>
                <c:pt idx="56">
                  <c:v>5.2238805970149249</c:v>
                </c:pt>
                <c:pt idx="57">
                  <c:v>5.3442622950819674</c:v>
                </c:pt>
                <c:pt idx="58">
                  <c:v>5.1793721973094167</c:v>
                </c:pt>
                <c:pt idx="59">
                  <c:v>5.2333333333333325</c:v>
                </c:pt>
                <c:pt idx="60">
                  <c:v>6.2758620689655178</c:v>
                </c:pt>
                <c:pt idx="61">
                  <c:v>6.4814814814814801</c:v>
                </c:pt>
                <c:pt idx="62">
                  <c:v>5.0151515151515156</c:v>
                </c:pt>
                <c:pt idx="63">
                  <c:v>4.7260273972602738</c:v>
                </c:pt>
                <c:pt idx="64">
                  <c:v>4.828125</c:v>
                </c:pt>
                <c:pt idx="65">
                  <c:v>4.828125</c:v>
                </c:pt>
                <c:pt idx="66">
                  <c:v>5.4090909090909101</c:v>
                </c:pt>
                <c:pt idx="67">
                  <c:v>5.9836065573770494</c:v>
                </c:pt>
                <c:pt idx="68">
                  <c:v>5.887096774193548</c:v>
                </c:pt>
                <c:pt idx="69">
                  <c:v>4.6578947368421053</c:v>
                </c:pt>
                <c:pt idx="70">
                  <c:v>3.5555555555555558</c:v>
                </c:pt>
                <c:pt idx="71">
                  <c:v>6.2413793103448283</c:v>
                </c:pt>
                <c:pt idx="72">
                  <c:v>5.3770491803278686</c:v>
                </c:pt>
                <c:pt idx="73">
                  <c:v>6.8474576271186427</c:v>
                </c:pt>
                <c:pt idx="74">
                  <c:v>3.9540229885057472</c:v>
                </c:pt>
                <c:pt idx="75">
                  <c:v>4.8461538461538458</c:v>
                </c:pt>
                <c:pt idx="76">
                  <c:v>4.2666666666666666</c:v>
                </c:pt>
                <c:pt idx="77">
                  <c:v>5.4347826086956514</c:v>
                </c:pt>
                <c:pt idx="78">
                  <c:v>3.8888888888888888</c:v>
                </c:pt>
                <c:pt idx="79">
                  <c:v>3.8888888888888888</c:v>
                </c:pt>
                <c:pt idx="80">
                  <c:v>3.8888888888888888</c:v>
                </c:pt>
                <c:pt idx="81">
                  <c:v>5.234375</c:v>
                </c:pt>
                <c:pt idx="82">
                  <c:v>3.9756097560975614</c:v>
                </c:pt>
                <c:pt idx="83">
                  <c:v>6.9999999999999991</c:v>
                </c:pt>
                <c:pt idx="84">
                  <c:v>6.2812500000000009</c:v>
                </c:pt>
                <c:pt idx="85">
                  <c:v>5.8579462326261886</c:v>
                </c:pt>
                <c:pt idx="86">
                  <c:v>6.2812500000000009</c:v>
                </c:pt>
                <c:pt idx="87">
                  <c:v>5.8208955223880592</c:v>
                </c:pt>
                <c:pt idx="88">
                  <c:v>4.9253731343283578</c:v>
                </c:pt>
                <c:pt idx="89">
                  <c:v>4.0232558139534884</c:v>
                </c:pt>
                <c:pt idx="90">
                  <c:v>5.9382716049382722</c:v>
                </c:pt>
                <c:pt idx="91">
                  <c:v>4.9420289855072461</c:v>
                </c:pt>
                <c:pt idx="92">
                  <c:v>5.208333333333333</c:v>
                </c:pt>
                <c:pt idx="93">
                  <c:v>6.1470588235294112</c:v>
                </c:pt>
                <c:pt idx="94">
                  <c:v>6.8412698412698427</c:v>
                </c:pt>
                <c:pt idx="95">
                  <c:v>5.7323943661971848</c:v>
                </c:pt>
                <c:pt idx="96">
                  <c:v>5.7357723577235769</c:v>
                </c:pt>
                <c:pt idx="97">
                  <c:v>6.4043478260869566</c:v>
                </c:pt>
                <c:pt idx="98">
                  <c:v>4.8624999999999998</c:v>
                </c:pt>
                <c:pt idx="99">
                  <c:v>5.4347826086956514</c:v>
                </c:pt>
                <c:pt idx="100">
                  <c:v>5</c:v>
                </c:pt>
                <c:pt idx="101">
                  <c:v>4.8250000000000002</c:v>
                </c:pt>
                <c:pt idx="102">
                  <c:v>6.0597014925373127</c:v>
                </c:pt>
                <c:pt idx="103">
                  <c:v>4.2558139534883725</c:v>
                </c:pt>
                <c:pt idx="104">
                  <c:v>5.04</c:v>
                </c:pt>
                <c:pt idx="105">
                  <c:v>4.9873417721518987</c:v>
                </c:pt>
                <c:pt idx="106">
                  <c:v>5.5260869565217385</c:v>
                </c:pt>
                <c:pt idx="107">
                  <c:v>6.1351351351351342</c:v>
                </c:pt>
                <c:pt idx="108">
                  <c:v>5.9423868312757202</c:v>
                </c:pt>
                <c:pt idx="109">
                  <c:v>6.1408450704225368</c:v>
                </c:pt>
                <c:pt idx="110">
                  <c:v>5.887323943661972</c:v>
                </c:pt>
                <c:pt idx="111">
                  <c:v>5.1219512195121952</c:v>
                </c:pt>
                <c:pt idx="112">
                  <c:v>6.7605633802816918</c:v>
                </c:pt>
                <c:pt idx="113">
                  <c:v>6.7605633802816918</c:v>
                </c:pt>
                <c:pt idx="114">
                  <c:v>6.4043478260869566</c:v>
                </c:pt>
                <c:pt idx="115">
                  <c:v>6.4146341463414638</c:v>
                </c:pt>
                <c:pt idx="116">
                  <c:v>6.1382113821138207</c:v>
                </c:pt>
                <c:pt idx="117">
                  <c:v>6.1999999999999993</c:v>
                </c:pt>
                <c:pt idx="118">
                  <c:v>6.1999999999999993</c:v>
                </c:pt>
                <c:pt idx="119">
                  <c:v>5.3822314049586781</c:v>
                </c:pt>
                <c:pt idx="120">
                  <c:v>6.8630136986301373</c:v>
                </c:pt>
                <c:pt idx="121">
                  <c:v>5.9459459459459456</c:v>
                </c:pt>
                <c:pt idx="122">
                  <c:v>5.7142857142857135</c:v>
                </c:pt>
                <c:pt idx="123">
                  <c:v>6.1341463414634143</c:v>
                </c:pt>
                <c:pt idx="124">
                  <c:v>6.7272727272727275</c:v>
                </c:pt>
                <c:pt idx="125">
                  <c:v>5.6857142857142851</c:v>
                </c:pt>
                <c:pt idx="126">
                  <c:v>6.5696202531645564</c:v>
                </c:pt>
                <c:pt idx="127">
                  <c:v>5.4</c:v>
                </c:pt>
                <c:pt idx="128">
                  <c:v>6.8089887640449431</c:v>
                </c:pt>
                <c:pt idx="129">
                  <c:v>8.1666666666666661</c:v>
                </c:pt>
                <c:pt idx="130">
                  <c:v>8.1666666666666661</c:v>
                </c:pt>
                <c:pt idx="131">
                  <c:v>7.5657894736842106</c:v>
                </c:pt>
                <c:pt idx="132">
                  <c:v>6.2555555555555546</c:v>
                </c:pt>
                <c:pt idx="133">
                  <c:v>6.2555555555555546</c:v>
                </c:pt>
                <c:pt idx="134">
                  <c:v>6.5325203252032509</c:v>
                </c:pt>
                <c:pt idx="135">
                  <c:v>4.7619047619047628</c:v>
                </c:pt>
                <c:pt idx="136">
                  <c:v>8.3055555555555554</c:v>
                </c:pt>
                <c:pt idx="137">
                  <c:v>5.4799999999999995</c:v>
                </c:pt>
                <c:pt idx="138">
                  <c:v>6.9146341463414647</c:v>
                </c:pt>
                <c:pt idx="139">
                  <c:v>6.5333333333333341</c:v>
                </c:pt>
                <c:pt idx="140">
                  <c:v>6.8125</c:v>
                </c:pt>
                <c:pt idx="141">
                  <c:v>5.2981366459627326</c:v>
                </c:pt>
                <c:pt idx="142">
                  <c:v>7.6447368421052628</c:v>
                </c:pt>
                <c:pt idx="143">
                  <c:v>7.6447368421052628</c:v>
                </c:pt>
                <c:pt idx="144">
                  <c:v>7</c:v>
                </c:pt>
                <c:pt idx="145">
                  <c:v>7.6447368421052628</c:v>
                </c:pt>
                <c:pt idx="146">
                  <c:v>6.8250000000000002</c:v>
                </c:pt>
                <c:pt idx="147">
                  <c:v>7.6447368421052628</c:v>
                </c:pt>
                <c:pt idx="148">
                  <c:v>7.6447368421052628</c:v>
                </c:pt>
                <c:pt idx="149">
                  <c:v>5.8333333333333339</c:v>
                </c:pt>
                <c:pt idx="150">
                  <c:v>6.2959641255605385</c:v>
                </c:pt>
                <c:pt idx="151">
                  <c:v>6.8125</c:v>
                </c:pt>
                <c:pt idx="152">
                  <c:v>6.0000000000000009</c:v>
                </c:pt>
                <c:pt idx="153">
                  <c:v>7.073170731707318</c:v>
                </c:pt>
                <c:pt idx="154">
                  <c:v>8.1184210526315788</c:v>
                </c:pt>
                <c:pt idx="155">
                  <c:v>8.8888888888888893</c:v>
                </c:pt>
                <c:pt idx="156">
                  <c:v>7.1728395061728394</c:v>
                </c:pt>
                <c:pt idx="157">
                  <c:v>6.395348837209303</c:v>
                </c:pt>
                <c:pt idx="158">
                  <c:v>5.8192771084337336</c:v>
                </c:pt>
                <c:pt idx="159">
                  <c:v>5.7058823529411766</c:v>
                </c:pt>
                <c:pt idx="160">
                  <c:v>5.6395348837209305</c:v>
                </c:pt>
                <c:pt idx="161">
                  <c:v>5.65</c:v>
                </c:pt>
                <c:pt idx="162">
                  <c:v>5.2190476190476192</c:v>
                </c:pt>
                <c:pt idx="163">
                  <c:v>5.6140350877192979</c:v>
                </c:pt>
              </c:numCache>
            </c:numRef>
          </c:yVal>
          <c:smooth val="1"/>
          <c:extLst>
            <c:ext xmlns:c16="http://schemas.microsoft.com/office/drawing/2014/chart" uri="{C3380CC4-5D6E-409C-BE32-E72D297353CC}">
              <c16:uniqueId val="{00000004-FFD1-485A-BC05-9B39A0EEB0B5}"/>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Stats'!$R$283</c:f>
              <c:numCache>
                <c:formatCode>0.00</c:formatCode>
                <c:ptCount val="1"/>
                <c:pt idx="0">
                  <c:v>4.6401384083044981</c:v>
                </c:pt>
              </c:numCache>
            </c:numRef>
          </c:yVal>
          <c:smooth val="1"/>
          <c:extLst>
            <c:ext xmlns:c16="http://schemas.microsoft.com/office/drawing/2014/chart" uri="{C3380CC4-5D6E-409C-BE32-E72D297353CC}">
              <c16:uniqueId val="{00000005-FFD1-485A-BC05-9B39A0EEB0B5}"/>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Stats'!$R$284:$R$294</c:f>
              <c:numCache>
                <c:formatCode>0.00</c:formatCode>
                <c:ptCount val="11"/>
                <c:pt idx="0">
                  <c:v>5.7706535141800241</c:v>
                </c:pt>
                <c:pt idx="1">
                  <c:v>4.5</c:v>
                </c:pt>
                <c:pt idx="2">
                  <c:v>6.0196905766526019</c:v>
                </c:pt>
                <c:pt idx="3">
                  <c:v>5.3822314049586781</c:v>
                </c:pt>
                <c:pt idx="4">
                  <c:v>5.1219512195121952</c:v>
                </c:pt>
                <c:pt idx="5">
                  <c:v>5.1219512195121952</c:v>
                </c:pt>
                <c:pt idx="6">
                  <c:v>5.887323943661972</c:v>
                </c:pt>
                <c:pt idx="7">
                  <c:v>5.9459459459459456</c:v>
                </c:pt>
                <c:pt idx="8">
                  <c:v>6.5696202531645564</c:v>
                </c:pt>
                <c:pt idx="9">
                  <c:v>5.234375</c:v>
                </c:pt>
                <c:pt idx="10">
                  <c:v>5.8579462326261886</c:v>
                </c:pt>
              </c:numCache>
            </c:numRef>
          </c:yVal>
          <c:smooth val="1"/>
          <c:extLst>
            <c:ext xmlns:c16="http://schemas.microsoft.com/office/drawing/2014/chart" uri="{C3380CC4-5D6E-409C-BE32-E72D297353CC}">
              <c16:uniqueId val="{00000006-FFD1-485A-BC05-9B39A0EEB0B5}"/>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Stats'!$R$295:$R$298</c:f>
              <c:numCache>
                <c:formatCode>0.00</c:formatCode>
                <c:ptCount val="4"/>
                <c:pt idx="0">
                  <c:v>6.8421052631578947</c:v>
                </c:pt>
                <c:pt idx="1">
                  <c:v>6.0000000000000009</c:v>
                </c:pt>
                <c:pt idx="2">
                  <c:v>6.1204819277108422</c:v>
                </c:pt>
                <c:pt idx="3">
                  <c:v>5.0561797752808983</c:v>
                </c:pt>
              </c:numCache>
            </c:numRef>
          </c:yVal>
          <c:smooth val="1"/>
          <c:extLst>
            <c:ext xmlns:c16="http://schemas.microsoft.com/office/drawing/2014/chart" uri="{C3380CC4-5D6E-409C-BE32-E72D297353CC}">
              <c16:uniqueId val="{00000007-FFD1-485A-BC05-9B39A0EEB0B5}"/>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Stats'!$R$299:$R$300</c:f>
              <c:numCache>
                <c:formatCode>0.00</c:formatCode>
                <c:ptCount val="2"/>
                <c:pt idx="0">
                  <c:v>6.4142857142857137</c:v>
                </c:pt>
              </c:numCache>
            </c:numRef>
          </c:yVal>
          <c:smooth val="1"/>
          <c:extLst>
            <c:ext xmlns:c16="http://schemas.microsoft.com/office/drawing/2014/chart" uri="{C3380CC4-5D6E-409C-BE32-E72D297353CC}">
              <c16:uniqueId val="{00000008-FFD1-485A-BC05-9B39A0EEB0B5}"/>
            </c:ext>
          </c:extLst>
        </c:ser>
        <c:dLbls>
          <c:showLegendKey val="0"/>
          <c:showVal val="0"/>
          <c:showCatName val="0"/>
          <c:showSerName val="0"/>
          <c:showPercent val="0"/>
          <c:showBubbleSize val="0"/>
        </c:dLbls>
        <c:axId val="727678144"/>
        <c:axId val="1"/>
      </c:scatterChart>
      <c:valAx>
        <c:axId val="727678144"/>
        <c:scaling>
          <c:orientation val="minMax"/>
          <c:max val="600"/>
          <c:min val="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Displ (LT)</a:t>
                </a:r>
              </a:p>
            </c:rich>
          </c:tx>
          <c:layout>
            <c:manualLayout>
              <c:xMode val="edge"/>
              <c:yMode val="edge"/>
              <c:x val="0.37402885682574916"/>
              <c:y val="0.94453507340946163"/>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9"/>
          <c:min val="3"/>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L/B</a:t>
                </a:r>
              </a:p>
            </c:rich>
          </c:tx>
          <c:layout>
            <c:manualLayout>
              <c:xMode val="edge"/>
              <c:yMode val="edge"/>
              <c:x val="1.4428412874583796E-2"/>
              <c:y val="0.46492659053833607"/>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814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470588235294112"/>
          <c:y val="0.49592169657422513"/>
          <c:w val="0.23418423973362934"/>
          <c:h val="0.41109298531810767"/>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Cruise Range vs Volumetric Froude No</a:t>
            </a:r>
          </a:p>
        </c:rich>
      </c:tx>
      <c:layout>
        <c:manualLayout>
          <c:xMode val="edge"/>
          <c:yMode val="edge"/>
          <c:x val="0.3318534961154273"/>
          <c:y val="1.9575856443719411E-2"/>
        </c:manualLayout>
      </c:layout>
      <c:overlay val="0"/>
      <c:spPr>
        <a:noFill/>
        <a:ln w="25400">
          <a:noFill/>
        </a:ln>
      </c:spPr>
    </c:title>
    <c:autoTitleDeleted val="0"/>
    <c:plotArea>
      <c:layout>
        <c:manualLayout>
          <c:layoutTarget val="inner"/>
          <c:xMode val="edge"/>
          <c:yMode val="edge"/>
          <c:x val="8.4350721420643732E-2"/>
          <c:y val="7.3409461663947795E-2"/>
          <c:w val="0.66925638179800218"/>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3536227548365252"/>
                  <c:y val="-0.29161017045635867"/>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Stats'!$U$5:$U$279</c:f>
              <c:numCache>
                <c:formatCode>_(* #,##0_);_(* \(#,##0\);_(* "-"??_);_(@_)</c:formatCode>
                <c:ptCount val="275"/>
                <c:pt idx="0">
                  <c:v>15998.390773769612</c:v>
                </c:pt>
                <c:pt idx="2">
                  <c:v>12337.401099637924</c:v>
                </c:pt>
                <c:pt idx="3">
                  <c:v>8582.539895400294</c:v>
                </c:pt>
                <c:pt idx="4">
                  <c:v>16184</c:v>
                </c:pt>
                <c:pt idx="6">
                  <c:v>12605.605471369183</c:v>
                </c:pt>
                <c:pt idx="7">
                  <c:v>14751.240445219257</c:v>
                </c:pt>
                <c:pt idx="8">
                  <c:v>16200</c:v>
                </c:pt>
                <c:pt idx="9">
                  <c:v>3046</c:v>
                </c:pt>
                <c:pt idx="10">
                  <c:v>4800</c:v>
                </c:pt>
                <c:pt idx="11">
                  <c:v>4800</c:v>
                </c:pt>
                <c:pt idx="12">
                  <c:v>5000</c:v>
                </c:pt>
                <c:pt idx="13">
                  <c:v>6000</c:v>
                </c:pt>
                <c:pt idx="14">
                  <c:v>5800</c:v>
                </c:pt>
                <c:pt idx="15">
                  <c:v>4220</c:v>
                </c:pt>
                <c:pt idx="16">
                  <c:v>2400</c:v>
                </c:pt>
                <c:pt idx="17">
                  <c:v>4400</c:v>
                </c:pt>
                <c:pt idx="18">
                  <c:v>4800</c:v>
                </c:pt>
                <c:pt idx="19">
                  <c:v>5292</c:v>
                </c:pt>
                <c:pt idx="20">
                  <c:v>4500</c:v>
                </c:pt>
                <c:pt idx="21">
                  <c:v>6000</c:v>
                </c:pt>
                <c:pt idx="22">
                  <c:v>4800</c:v>
                </c:pt>
                <c:pt idx="23">
                  <c:v>6820</c:v>
                </c:pt>
                <c:pt idx="24">
                  <c:v>5400</c:v>
                </c:pt>
                <c:pt idx="25">
                  <c:v>6000</c:v>
                </c:pt>
                <c:pt idx="26">
                  <c:v>8025</c:v>
                </c:pt>
                <c:pt idx="27">
                  <c:v>12280</c:v>
                </c:pt>
                <c:pt idx="28">
                  <c:v>5984</c:v>
                </c:pt>
                <c:pt idx="29">
                  <c:v>12000</c:v>
                </c:pt>
                <c:pt idx="30">
                  <c:v>12000</c:v>
                </c:pt>
                <c:pt idx="31">
                  <c:v>12000</c:v>
                </c:pt>
                <c:pt idx="32">
                  <c:v>12000</c:v>
                </c:pt>
                <c:pt idx="33">
                  <c:v>12000</c:v>
                </c:pt>
                <c:pt idx="34">
                  <c:v>12000</c:v>
                </c:pt>
                <c:pt idx="35">
                  <c:v>8025</c:v>
                </c:pt>
                <c:pt idx="36">
                  <c:v>7680</c:v>
                </c:pt>
                <c:pt idx="37">
                  <c:v>12000</c:v>
                </c:pt>
                <c:pt idx="38">
                  <c:v>8025</c:v>
                </c:pt>
                <c:pt idx="39">
                  <c:v>4800</c:v>
                </c:pt>
                <c:pt idx="40">
                  <c:v>8025</c:v>
                </c:pt>
                <c:pt idx="41">
                  <c:v>1450</c:v>
                </c:pt>
                <c:pt idx="42">
                  <c:v>9180</c:v>
                </c:pt>
                <c:pt idx="43">
                  <c:v>9000</c:v>
                </c:pt>
                <c:pt idx="44">
                  <c:v>13300</c:v>
                </c:pt>
                <c:pt idx="45">
                  <c:v>14100</c:v>
                </c:pt>
                <c:pt idx="46">
                  <c:v>13640</c:v>
                </c:pt>
                <c:pt idx="47">
                  <c:v>12000</c:v>
                </c:pt>
                <c:pt idx="48">
                  <c:v>13600</c:v>
                </c:pt>
                <c:pt idx="49">
                  <c:v>13640</c:v>
                </c:pt>
                <c:pt idx="50">
                  <c:v>13640</c:v>
                </c:pt>
                <c:pt idx="51">
                  <c:v>13640</c:v>
                </c:pt>
                <c:pt idx="52">
                  <c:v>14400</c:v>
                </c:pt>
                <c:pt idx="53">
                  <c:v>9370</c:v>
                </c:pt>
                <c:pt idx="54">
                  <c:v>9370</c:v>
                </c:pt>
                <c:pt idx="55">
                  <c:v>14000</c:v>
                </c:pt>
                <c:pt idx="56">
                  <c:v>13029</c:v>
                </c:pt>
                <c:pt idx="57">
                  <c:v>13029</c:v>
                </c:pt>
                <c:pt idx="58">
                  <c:v>12000</c:v>
                </c:pt>
                <c:pt idx="59">
                  <c:v>12000</c:v>
                </c:pt>
                <c:pt idx="60">
                  <c:v>12000</c:v>
                </c:pt>
                <c:pt idx="61">
                  <c:v>16800</c:v>
                </c:pt>
                <c:pt idx="62">
                  <c:v>13640</c:v>
                </c:pt>
                <c:pt idx="63">
                  <c:v>6140</c:v>
                </c:pt>
                <c:pt idx="64">
                  <c:v>23000</c:v>
                </c:pt>
                <c:pt idx="65">
                  <c:v>12000</c:v>
                </c:pt>
                <c:pt idx="66">
                  <c:v>11520</c:v>
                </c:pt>
                <c:pt idx="67">
                  <c:v>12280</c:v>
                </c:pt>
                <c:pt idx="68">
                  <c:v>15360</c:v>
                </c:pt>
                <c:pt idx="69">
                  <c:v>11250</c:v>
                </c:pt>
                <c:pt idx="70">
                  <c:v>14400</c:v>
                </c:pt>
                <c:pt idx="71">
                  <c:v>9210</c:v>
                </c:pt>
                <c:pt idx="72">
                  <c:v>13200</c:v>
                </c:pt>
                <c:pt idx="73">
                  <c:v>4000</c:v>
                </c:pt>
                <c:pt idx="74">
                  <c:v>7500</c:v>
                </c:pt>
                <c:pt idx="75">
                  <c:v>15000</c:v>
                </c:pt>
                <c:pt idx="76">
                  <c:v>18740</c:v>
                </c:pt>
                <c:pt idx="77">
                  <c:v>18740</c:v>
                </c:pt>
                <c:pt idx="78">
                  <c:v>17060</c:v>
                </c:pt>
                <c:pt idx="79">
                  <c:v>7500</c:v>
                </c:pt>
                <c:pt idx="80">
                  <c:v>17700</c:v>
                </c:pt>
                <c:pt idx="81">
                  <c:v>15000</c:v>
                </c:pt>
                <c:pt idx="82">
                  <c:v>15000</c:v>
                </c:pt>
                <c:pt idx="83">
                  <c:v>15120</c:v>
                </c:pt>
                <c:pt idx="84">
                  <c:v>17700</c:v>
                </c:pt>
                <c:pt idx="85">
                  <c:v>13029</c:v>
                </c:pt>
                <c:pt idx="86">
                  <c:v>12795</c:v>
                </c:pt>
                <c:pt idx="87">
                  <c:v>4000</c:v>
                </c:pt>
                <c:pt idx="88">
                  <c:v>4000</c:v>
                </c:pt>
                <c:pt idx="89">
                  <c:v>4000</c:v>
                </c:pt>
                <c:pt idx="90">
                  <c:v>16600</c:v>
                </c:pt>
                <c:pt idx="91">
                  <c:v>15000</c:v>
                </c:pt>
                <c:pt idx="92">
                  <c:v>15120</c:v>
                </c:pt>
                <c:pt idx="94">
                  <c:v>5800</c:v>
                </c:pt>
                <c:pt idx="95">
                  <c:v>6810</c:v>
                </c:pt>
                <c:pt idx="96">
                  <c:v>8025</c:v>
                </c:pt>
                <c:pt idx="97">
                  <c:v>12750</c:v>
                </c:pt>
                <c:pt idx="98">
                  <c:v>10800</c:v>
                </c:pt>
                <c:pt idx="99">
                  <c:v>7510</c:v>
                </c:pt>
                <c:pt idx="100">
                  <c:v>7510</c:v>
                </c:pt>
                <c:pt idx="101">
                  <c:v>10230</c:v>
                </c:pt>
                <c:pt idx="102">
                  <c:v>15360</c:v>
                </c:pt>
                <c:pt idx="103">
                  <c:v>4000</c:v>
                </c:pt>
                <c:pt idx="104">
                  <c:v>17700</c:v>
                </c:pt>
                <c:pt idx="105">
                  <c:v>15000</c:v>
                </c:pt>
                <c:pt idx="106">
                  <c:v>15840</c:v>
                </c:pt>
                <c:pt idx="107">
                  <c:v>22200</c:v>
                </c:pt>
                <c:pt idx="108">
                  <c:v>7295.1589110902505</c:v>
                </c:pt>
                <c:pt idx="109">
                  <c:v>3500.0670510929326</c:v>
                </c:pt>
                <c:pt idx="110">
                  <c:v>5600.107281748692</c:v>
                </c:pt>
                <c:pt idx="111">
                  <c:v>2200</c:v>
                </c:pt>
                <c:pt idx="112">
                  <c:v>2200</c:v>
                </c:pt>
                <c:pt idx="113">
                  <c:v>2800</c:v>
                </c:pt>
                <c:pt idx="114">
                  <c:v>2680</c:v>
                </c:pt>
                <c:pt idx="115">
                  <c:v>1300</c:v>
                </c:pt>
                <c:pt idx="116">
                  <c:v>1000</c:v>
                </c:pt>
                <c:pt idx="117">
                  <c:v>4800</c:v>
                </c:pt>
                <c:pt idx="118">
                  <c:v>4570</c:v>
                </c:pt>
                <c:pt idx="119">
                  <c:v>811</c:v>
                </c:pt>
                <c:pt idx="120">
                  <c:v>4570</c:v>
                </c:pt>
                <c:pt idx="121">
                  <c:v>1600</c:v>
                </c:pt>
                <c:pt idx="122">
                  <c:v>1600</c:v>
                </c:pt>
                <c:pt idx="123">
                  <c:v>1600</c:v>
                </c:pt>
                <c:pt idx="124">
                  <c:v>4693.5765052970364</c:v>
                </c:pt>
                <c:pt idx="125">
                  <c:v>2700</c:v>
                </c:pt>
                <c:pt idx="126">
                  <c:v>2660</c:v>
                </c:pt>
                <c:pt idx="127">
                  <c:v>4400</c:v>
                </c:pt>
                <c:pt idx="128">
                  <c:v>2805</c:v>
                </c:pt>
                <c:pt idx="129">
                  <c:v>2660</c:v>
                </c:pt>
                <c:pt idx="130">
                  <c:v>2322</c:v>
                </c:pt>
                <c:pt idx="131">
                  <c:v>1300</c:v>
                </c:pt>
                <c:pt idx="132">
                  <c:v>2680</c:v>
                </c:pt>
                <c:pt idx="133">
                  <c:v>2500</c:v>
                </c:pt>
                <c:pt idx="134">
                  <c:v>2700</c:v>
                </c:pt>
                <c:pt idx="135">
                  <c:v>4290</c:v>
                </c:pt>
                <c:pt idx="136">
                  <c:v>3270</c:v>
                </c:pt>
                <c:pt idx="137">
                  <c:v>5364.087434625184</c:v>
                </c:pt>
                <c:pt idx="138">
                  <c:v>1020</c:v>
                </c:pt>
                <c:pt idx="139">
                  <c:v>3700</c:v>
                </c:pt>
                <c:pt idx="140">
                  <c:v>2070</c:v>
                </c:pt>
                <c:pt idx="141">
                  <c:v>2951</c:v>
                </c:pt>
                <c:pt idx="142">
                  <c:v>7398</c:v>
                </c:pt>
                <c:pt idx="143">
                  <c:v>2700</c:v>
                </c:pt>
                <c:pt idx="144">
                  <c:v>3500</c:v>
                </c:pt>
                <c:pt idx="145">
                  <c:v>1290</c:v>
                </c:pt>
                <c:pt idx="146">
                  <c:v>5000</c:v>
                </c:pt>
                <c:pt idx="147">
                  <c:v>2070</c:v>
                </c:pt>
                <c:pt idx="148">
                  <c:v>2322</c:v>
                </c:pt>
                <c:pt idx="149">
                  <c:v>4680</c:v>
                </c:pt>
                <c:pt idx="150">
                  <c:v>2400</c:v>
                </c:pt>
                <c:pt idx="151">
                  <c:v>1260</c:v>
                </c:pt>
                <c:pt idx="152">
                  <c:v>2700</c:v>
                </c:pt>
                <c:pt idx="153">
                  <c:v>2660</c:v>
                </c:pt>
                <c:pt idx="154">
                  <c:v>4352</c:v>
                </c:pt>
                <c:pt idx="155">
                  <c:v>1100</c:v>
                </c:pt>
                <c:pt idx="156">
                  <c:v>1770</c:v>
                </c:pt>
                <c:pt idx="157">
                  <c:v>5000</c:v>
                </c:pt>
                <c:pt idx="158">
                  <c:v>3000</c:v>
                </c:pt>
                <c:pt idx="159">
                  <c:v>3483</c:v>
                </c:pt>
                <c:pt idx="160">
                  <c:v>5344</c:v>
                </c:pt>
                <c:pt idx="161">
                  <c:v>2610</c:v>
                </c:pt>
                <c:pt idx="162">
                  <c:v>4500</c:v>
                </c:pt>
                <c:pt idx="163">
                  <c:v>5320</c:v>
                </c:pt>
                <c:pt idx="164">
                  <c:v>5200</c:v>
                </c:pt>
                <c:pt idx="165">
                  <c:v>3400</c:v>
                </c:pt>
                <c:pt idx="166">
                  <c:v>4600</c:v>
                </c:pt>
                <c:pt idx="167">
                  <c:v>4087</c:v>
                </c:pt>
                <c:pt idx="168">
                  <c:v>9000</c:v>
                </c:pt>
                <c:pt idx="169">
                  <c:v>4400</c:v>
                </c:pt>
                <c:pt idx="170">
                  <c:v>5200</c:v>
                </c:pt>
                <c:pt idx="171">
                  <c:v>6000</c:v>
                </c:pt>
                <c:pt idx="172">
                  <c:v>1450</c:v>
                </c:pt>
                <c:pt idx="173">
                  <c:v>3520</c:v>
                </c:pt>
                <c:pt idx="174">
                  <c:v>4050</c:v>
                </c:pt>
                <c:pt idx="175">
                  <c:v>7200</c:v>
                </c:pt>
                <c:pt idx="176">
                  <c:v>6000</c:v>
                </c:pt>
                <c:pt idx="177">
                  <c:v>8240</c:v>
                </c:pt>
                <c:pt idx="178">
                  <c:v>4890</c:v>
                </c:pt>
                <c:pt idx="179">
                  <c:v>6000</c:v>
                </c:pt>
                <c:pt idx="180">
                  <c:v>4000</c:v>
                </c:pt>
                <c:pt idx="181">
                  <c:v>4340</c:v>
                </c:pt>
                <c:pt idx="182">
                  <c:v>3000</c:v>
                </c:pt>
                <c:pt idx="183">
                  <c:v>5800</c:v>
                </c:pt>
                <c:pt idx="184">
                  <c:v>385</c:v>
                </c:pt>
                <c:pt idx="185">
                  <c:v>5000</c:v>
                </c:pt>
                <c:pt idx="186">
                  <c:v>2820</c:v>
                </c:pt>
                <c:pt idx="187">
                  <c:v>4400</c:v>
                </c:pt>
                <c:pt idx="188">
                  <c:v>4400</c:v>
                </c:pt>
                <c:pt idx="189">
                  <c:v>6246</c:v>
                </c:pt>
                <c:pt idx="190">
                  <c:v>6260</c:v>
                </c:pt>
                <c:pt idx="191">
                  <c:v>6600</c:v>
                </c:pt>
                <c:pt idx="192">
                  <c:v>9600</c:v>
                </c:pt>
                <c:pt idx="193">
                  <c:v>5760</c:v>
                </c:pt>
                <c:pt idx="194">
                  <c:v>4800</c:v>
                </c:pt>
                <c:pt idx="195">
                  <c:v>5984</c:v>
                </c:pt>
                <c:pt idx="196">
                  <c:v>5911</c:v>
                </c:pt>
                <c:pt idx="197">
                  <c:v>7200</c:v>
                </c:pt>
                <c:pt idx="198">
                  <c:v>4025</c:v>
                </c:pt>
                <c:pt idx="199">
                  <c:v>3012</c:v>
                </c:pt>
                <c:pt idx="200">
                  <c:v>4610</c:v>
                </c:pt>
                <c:pt idx="201">
                  <c:v>4600</c:v>
                </c:pt>
                <c:pt idx="202">
                  <c:v>3300</c:v>
                </c:pt>
                <c:pt idx="203">
                  <c:v>5700</c:v>
                </c:pt>
                <c:pt idx="204">
                  <c:v>7170</c:v>
                </c:pt>
                <c:pt idx="205">
                  <c:v>4025</c:v>
                </c:pt>
                <c:pt idx="206">
                  <c:v>7700</c:v>
                </c:pt>
                <c:pt idx="207">
                  <c:v>5110</c:v>
                </c:pt>
                <c:pt idx="208">
                  <c:v>4025</c:v>
                </c:pt>
                <c:pt idx="209">
                  <c:v>11265</c:v>
                </c:pt>
                <c:pt idx="210">
                  <c:v>6700</c:v>
                </c:pt>
                <c:pt idx="211">
                  <c:v>7200</c:v>
                </c:pt>
                <c:pt idx="212">
                  <c:v>6820</c:v>
                </c:pt>
                <c:pt idx="213">
                  <c:v>13892.986455679227</c:v>
                </c:pt>
                <c:pt idx="214">
                  <c:v>6000</c:v>
                </c:pt>
                <c:pt idx="215">
                  <c:v>13410.21858656296</c:v>
                </c:pt>
                <c:pt idx="216">
                  <c:v>3480</c:v>
                </c:pt>
                <c:pt idx="217">
                  <c:v>9051.8975459299982</c:v>
                </c:pt>
                <c:pt idx="218">
                  <c:v>6140</c:v>
                </c:pt>
                <c:pt idx="220">
                  <c:v>6000</c:v>
                </c:pt>
                <c:pt idx="221">
                  <c:v>4600</c:v>
                </c:pt>
                <c:pt idx="222">
                  <c:v>13640</c:v>
                </c:pt>
                <c:pt idx="223">
                  <c:v>10942</c:v>
                </c:pt>
                <c:pt idx="224">
                  <c:v>6820</c:v>
                </c:pt>
                <c:pt idx="226">
                  <c:v>5800</c:v>
                </c:pt>
                <c:pt idx="227">
                  <c:v>6222.3414241652135</c:v>
                </c:pt>
                <c:pt idx="228">
                  <c:v>6820</c:v>
                </c:pt>
                <c:pt idx="229">
                  <c:v>4050</c:v>
                </c:pt>
                <c:pt idx="230">
                  <c:v>3750</c:v>
                </c:pt>
                <c:pt idx="231">
                  <c:v>4025</c:v>
                </c:pt>
                <c:pt idx="232">
                  <c:v>4000</c:v>
                </c:pt>
                <c:pt idx="233">
                  <c:v>2180</c:v>
                </c:pt>
                <c:pt idx="234">
                  <c:v>13400</c:v>
                </c:pt>
                <c:pt idx="235">
                  <c:v>5712</c:v>
                </c:pt>
                <c:pt idx="236">
                  <c:v>6600</c:v>
                </c:pt>
                <c:pt idx="237">
                  <c:v>4000</c:v>
                </c:pt>
                <c:pt idx="238">
                  <c:v>4000</c:v>
                </c:pt>
                <c:pt idx="239">
                  <c:v>11040</c:v>
                </c:pt>
                <c:pt idx="240">
                  <c:v>18506.101649456887</c:v>
                </c:pt>
                <c:pt idx="241">
                  <c:v>18740</c:v>
                </c:pt>
                <c:pt idx="242">
                  <c:v>4340</c:v>
                </c:pt>
                <c:pt idx="243">
                  <c:v>4640</c:v>
                </c:pt>
                <c:pt idx="244">
                  <c:v>8800</c:v>
                </c:pt>
                <c:pt idx="245">
                  <c:v>7230</c:v>
                </c:pt>
                <c:pt idx="246">
                  <c:v>15019.444816950516</c:v>
                </c:pt>
                <c:pt idx="247">
                  <c:v>6120</c:v>
                </c:pt>
                <c:pt idx="248">
                  <c:v>8000</c:v>
                </c:pt>
                <c:pt idx="249">
                  <c:v>4410</c:v>
                </c:pt>
                <c:pt idx="250">
                  <c:v>8850</c:v>
                </c:pt>
                <c:pt idx="251">
                  <c:v>8340</c:v>
                </c:pt>
                <c:pt idx="252">
                  <c:v>4400</c:v>
                </c:pt>
                <c:pt idx="253">
                  <c:v>17433.284162531847</c:v>
                </c:pt>
                <c:pt idx="254">
                  <c:v>8000</c:v>
                </c:pt>
                <c:pt idx="255">
                  <c:v>8850</c:v>
                </c:pt>
                <c:pt idx="256">
                  <c:v>8850</c:v>
                </c:pt>
                <c:pt idx="257">
                  <c:v>6119</c:v>
                </c:pt>
                <c:pt idx="258">
                  <c:v>5685</c:v>
                </c:pt>
                <c:pt idx="259">
                  <c:v>8000</c:v>
                </c:pt>
                <c:pt idx="260">
                  <c:v>11250</c:v>
                </c:pt>
                <c:pt idx="263">
                  <c:v>8800</c:v>
                </c:pt>
                <c:pt idx="264">
                  <c:v>23065.575968888294</c:v>
                </c:pt>
                <c:pt idx="265">
                  <c:v>8554</c:v>
                </c:pt>
                <c:pt idx="266">
                  <c:v>1800</c:v>
                </c:pt>
                <c:pt idx="267">
                  <c:v>2000</c:v>
                </c:pt>
                <c:pt idx="268">
                  <c:v>2000</c:v>
                </c:pt>
                <c:pt idx="269">
                  <c:v>9200</c:v>
                </c:pt>
                <c:pt idx="270">
                  <c:v>10000</c:v>
                </c:pt>
                <c:pt idx="271">
                  <c:v>10000</c:v>
                </c:pt>
              </c:numCache>
            </c:numRef>
          </c:xVal>
          <c:yVal>
            <c:numRef>
              <c:f>'Task 1 Converted AMI PDF Stats'!$AG$5:$AG$279</c:f>
              <c:numCache>
                <c:formatCode>General</c:formatCode>
                <c:ptCount val="275"/>
                <c:pt idx="0">
                  <c:v>1610</c:v>
                </c:pt>
                <c:pt idx="2">
                  <c:v>1800</c:v>
                </c:pt>
                <c:pt idx="4">
                  <c:v>2200</c:v>
                </c:pt>
                <c:pt idx="5">
                  <c:v>1650</c:v>
                </c:pt>
                <c:pt idx="7">
                  <c:v>4000</c:v>
                </c:pt>
                <c:pt idx="23">
                  <c:v>440</c:v>
                </c:pt>
                <c:pt idx="24">
                  <c:v>1500</c:v>
                </c:pt>
                <c:pt idx="27">
                  <c:v>2000</c:v>
                </c:pt>
                <c:pt idx="30">
                  <c:v>500</c:v>
                </c:pt>
                <c:pt idx="34">
                  <c:v>800</c:v>
                </c:pt>
                <c:pt idx="35">
                  <c:v>800</c:v>
                </c:pt>
                <c:pt idx="42">
                  <c:v>1850</c:v>
                </c:pt>
                <c:pt idx="43">
                  <c:v>2000</c:v>
                </c:pt>
                <c:pt idx="45">
                  <c:v>2300</c:v>
                </c:pt>
                <c:pt idx="46">
                  <c:v>950</c:v>
                </c:pt>
                <c:pt idx="47">
                  <c:v>850</c:v>
                </c:pt>
                <c:pt idx="53">
                  <c:v>500</c:v>
                </c:pt>
                <c:pt idx="55">
                  <c:v>800</c:v>
                </c:pt>
                <c:pt idx="57">
                  <c:v>570</c:v>
                </c:pt>
                <c:pt idx="58">
                  <c:v>570</c:v>
                </c:pt>
                <c:pt idx="62">
                  <c:v>2000</c:v>
                </c:pt>
                <c:pt idx="63">
                  <c:v>1800</c:v>
                </c:pt>
                <c:pt idx="70">
                  <c:v>2100</c:v>
                </c:pt>
                <c:pt idx="72">
                  <c:v>2600</c:v>
                </c:pt>
                <c:pt idx="77">
                  <c:v>2700</c:v>
                </c:pt>
                <c:pt idx="78">
                  <c:v>700</c:v>
                </c:pt>
                <c:pt idx="89">
                  <c:v>1300</c:v>
                </c:pt>
                <c:pt idx="94">
                  <c:v>550</c:v>
                </c:pt>
                <c:pt idx="95">
                  <c:v>1100</c:v>
                </c:pt>
                <c:pt idx="96">
                  <c:v>400</c:v>
                </c:pt>
                <c:pt idx="97">
                  <c:v>500</c:v>
                </c:pt>
                <c:pt idx="98">
                  <c:v>800</c:v>
                </c:pt>
                <c:pt idx="100">
                  <c:v>500</c:v>
                </c:pt>
                <c:pt idx="101">
                  <c:v>300</c:v>
                </c:pt>
                <c:pt idx="102">
                  <c:v>1600</c:v>
                </c:pt>
                <c:pt idx="103">
                  <c:v>1300</c:v>
                </c:pt>
                <c:pt idx="104">
                  <c:v>1300</c:v>
                </c:pt>
                <c:pt idx="105">
                  <c:v>1650</c:v>
                </c:pt>
                <c:pt idx="106">
                  <c:v>1800</c:v>
                </c:pt>
                <c:pt idx="107">
                  <c:v>2500</c:v>
                </c:pt>
                <c:pt idx="109">
                  <c:v>1000</c:v>
                </c:pt>
                <c:pt idx="124">
                  <c:v>1000</c:v>
                </c:pt>
                <c:pt idx="137">
                  <c:v>1000</c:v>
                </c:pt>
                <c:pt idx="166">
                  <c:v>300</c:v>
                </c:pt>
                <c:pt idx="175">
                  <c:v>800</c:v>
                </c:pt>
                <c:pt idx="176">
                  <c:v>550</c:v>
                </c:pt>
                <c:pt idx="180">
                  <c:v>1200</c:v>
                </c:pt>
                <c:pt idx="182">
                  <c:v>1537</c:v>
                </c:pt>
                <c:pt idx="198">
                  <c:v>2375</c:v>
                </c:pt>
                <c:pt idx="205">
                  <c:v>2400</c:v>
                </c:pt>
                <c:pt idx="207">
                  <c:v>3300</c:v>
                </c:pt>
                <c:pt idx="209">
                  <c:v>1700</c:v>
                </c:pt>
                <c:pt idx="213">
                  <c:v>800</c:v>
                </c:pt>
                <c:pt idx="214">
                  <c:v>450</c:v>
                </c:pt>
                <c:pt idx="215">
                  <c:v>2000</c:v>
                </c:pt>
                <c:pt idx="216">
                  <c:v>1100</c:v>
                </c:pt>
                <c:pt idx="217">
                  <c:v>1850</c:v>
                </c:pt>
                <c:pt idx="218">
                  <c:v>1450</c:v>
                </c:pt>
                <c:pt idx="219">
                  <c:v>1350</c:v>
                </c:pt>
                <c:pt idx="220">
                  <c:v>2000</c:v>
                </c:pt>
                <c:pt idx="222">
                  <c:v>180</c:v>
                </c:pt>
                <c:pt idx="224">
                  <c:v>2000</c:v>
                </c:pt>
                <c:pt idx="225">
                  <c:v>2000</c:v>
                </c:pt>
                <c:pt idx="227">
                  <c:v>3000</c:v>
                </c:pt>
                <c:pt idx="228">
                  <c:v>2500</c:v>
                </c:pt>
                <c:pt idx="231">
                  <c:v>2400</c:v>
                </c:pt>
                <c:pt idx="234">
                  <c:v>2500</c:v>
                </c:pt>
                <c:pt idx="240">
                  <c:v>1800</c:v>
                </c:pt>
                <c:pt idx="241">
                  <c:v>1800</c:v>
                </c:pt>
                <c:pt idx="242">
                  <c:v>4900</c:v>
                </c:pt>
                <c:pt idx="245">
                  <c:v>4500</c:v>
                </c:pt>
                <c:pt idx="246">
                  <c:v>2000</c:v>
                </c:pt>
                <c:pt idx="249">
                  <c:v>4500</c:v>
                </c:pt>
                <c:pt idx="253">
                  <c:v>2000</c:v>
                </c:pt>
                <c:pt idx="254">
                  <c:v>4200</c:v>
                </c:pt>
                <c:pt idx="258">
                  <c:v>2000</c:v>
                </c:pt>
                <c:pt idx="259">
                  <c:v>2400</c:v>
                </c:pt>
                <c:pt idx="260">
                  <c:v>2400</c:v>
                </c:pt>
                <c:pt idx="262">
                  <c:v>3000</c:v>
                </c:pt>
                <c:pt idx="264">
                  <c:v>2900</c:v>
                </c:pt>
              </c:numCache>
            </c:numRef>
          </c:yVal>
          <c:smooth val="1"/>
          <c:extLst>
            <c:ext xmlns:c16="http://schemas.microsoft.com/office/drawing/2014/chart" uri="{C3380CC4-5D6E-409C-BE32-E72D297353CC}">
              <c16:uniqueId val="{00000000-F95D-4B4F-946F-C5FCF6CE38D7}"/>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4184739467895835"/>
                  <c:y val="-0.44412989523643737"/>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Stats'!$U$5:$U$12</c:f>
              <c:numCache>
                <c:formatCode>_(* #,##0_);_(* \(#,##0\);_(* "-"??_);_(@_)</c:formatCode>
                <c:ptCount val="8"/>
                <c:pt idx="0">
                  <c:v>15998.390773769612</c:v>
                </c:pt>
                <c:pt idx="2">
                  <c:v>12337.401099637924</c:v>
                </c:pt>
                <c:pt idx="3">
                  <c:v>8582.539895400294</c:v>
                </c:pt>
                <c:pt idx="4">
                  <c:v>16184</c:v>
                </c:pt>
                <c:pt idx="6">
                  <c:v>12605.605471369183</c:v>
                </c:pt>
                <c:pt idx="7">
                  <c:v>14751.240445219257</c:v>
                </c:pt>
              </c:numCache>
            </c:numRef>
          </c:xVal>
          <c:yVal>
            <c:numRef>
              <c:f>'Task 1 Converted AMI PDF Stats'!$AG$5:$AG$12</c:f>
              <c:numCache>
                <c:formatCode>General</c:formatCode>
                <c:ptCount val="8"/>
                <c:pt idx="0">
                  <c:v>1610</c:v>
                </c:pt>
                <c:pt idx="2">
                  <c:v>1800</c:v>
                </c:pt>
                <c:pt idx="4">
                  <c:v>2200</c:v>
                </c:pt>
                <c:pt idx="5">
                  <c:v>1650</c:v>
                </c:pt>
                <c:pt idx="7">
                  <c:v>4000</c:v>
                </c:pt>
              </c:numCache>
            </c:numRef>
          </c:yVal>
          <c:smooth val="1"/>
          <c:extLst>
            <c:ext xmlns:c16="http://schemas.microsoft.com/office/drawing/2014/chart" uri="{C3380CC4-5D6E-409C-BE32-E72D297353CC}">
              <c16:uniqueId val="{00000001-F95D-4B4F-946F-C5FCF6CE38D7}"/>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4155726957014434"/>
                  <c:y val="-0.5161582763985669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Stats'!$U$13:$U$98</c:f>
              <c:numCache>
                <c:formatCode>_(* #,##0_);_(* \(#,##0\);_(* "-"??_);_(@_)</c:formatCode>
                <c:ptCount val="86"/>
                <c:pt idx="0">
                  <c:v>16200</c:v>
                </c:pt>
                <c:pt idx="1">
                  <c:v>3046</c:v>
                </c:pt>
                <c:pt idx="2">
                  <c:v>4800</c:v>
                </c:pt>
                <c:pt idx="3">
                  <c:v>4800</c:v>
                </c:pt>
                <c:pt idx="4">
                  <c:v>5000</c:v>
                </c:pt>
                <c:pt idx="5">
                  <c:v>6000</c:v>
                </c:pt>
                <c:pt idx="6">
                  <c:v>5800</c:v>
                </c:pt>
                <c:pt idx="7">
                  <c:v>4220</c:v>
                </c:pt>
                <c:pt idx="8">
                  <c:v>2400</c:v>
                </c:pt>
                <c:pt idx="9">
                  <c:v>4400</c:v>
                </c:pt>
                <c:pt idx="10">
                  <c:v>4800</c:v>
                </c:pt>
                <c:pt idx="11">
                  <c:v>5292</c:v>
                </c:pt>
                <c:pt idx="12">
                  <c:v>4500</c:v>
                </c:pt>
                <c:pt idx="13">
                  <c:v>6000</c:v>
                </c:pt>
                <c:pt idx="14">
                  <c:v>4800</c:v>
                </c:pt>
                <c:pt idx="15">
                  <c:v>6820</c:v>
                </c:pt>
                <c:pt idx="16">
                  <c:v>5400</c:v>
                </c:pt>
                <c:pt idx="17">
                  <c:v>6000</c:v>
                </c:pt>
                <c:pt idx="18">
                  <c:v>8025</c:v>
                </c:pt>
                <c:pt idx="19">
                  <c:v>12280</c:v>
                </c:pt>
                <c:pt idx="20">
                  <c:v>5984</c:v>
                </c:pt>
                <c:pt idx="21">
                  <c:v>12000</c:v>
                </c:pt>
                <c:pt idx="22">
                  <c:v>12000</c:v>
                </c:pt>
                <c:pt idx="23">
                  <c:v>12000</c:v>
                </c:pt>
                <c:pt idx="24">
                  <c:v>12000</c:v>
                </c:pt>
                <c:pt idx="25">
                  <c:v>12000</c:v>
                </c:pt>
                <c:pt idx="26">
                  <c:v>12000</c:v>
                </c:pt>
                <c:pt idx="27">
                  <c:v>8025</c:v>
                </c:pt>
                <c:pt idx="28">
                  <c:v>7680</c:v>
                </c:pt>
                <c:pt idx="29">
                  <c:v>12000</c:v>
                </c:pt>
                <c:pt idx="30">
                  <c:v>8025</c:v>
                </c:pt>
                <c:pt idx="31">
                  <c:v>4800</c:v>
                </c:pt>
                <c:pt idx="32">
                  <c:v>8025</c:v>
                </c:pt>
                <c:pt idx="33">
                  <c:v>1450</c:v>
                </c:pt>
                <c:pt idx="34">
                  <c:v>9180</c:v>
                </c:pt>
                <c:pt idx="35">
                  <c:v>9000</c:v>
                </c:pt>
                <c:pt idx="36">
                  <c:v>13300</c:v>
                </c:pt>
                <c:pt idx="37">
                  <c:v>14100</c:v>
                </c:pt>
                <c:pt idx="38">
                  <c:v>13640</c:v>
                </c:pt>
                <c:pt idx="39">
                  <c:v>12000</c:v>
                </c:pt>
                <c:pt idx="40">
                  <c:v>13600</c:v>
                </c:pt>
                <c:pt idx="41">
                  <c:v>13640</c:v>
                </c:pt>
                <c:pt idx="42">
                  <c:v>13640</c:v>
                </c:pt>
                <c:pt idx="43">
                  <c:v>13640</c:v>
                </c:pt>
                <c:pt idx="44">
                  <c:v>14400</c:v>
                </c:pt>
                <c:pt idx="45">
                  <c:v>9370</c:v>
                </c:pt>
                <c:pt idx="46">
                  <c:v>9370</c:v>
                </c:pt>
                <c:pt idx="47">
                  <c:v>14000</c:v>
                </c:pt>
                <c:pt idx="48">
                  <c:v>13029</c:v>
                </c:pt>
                <c:pt idx="49">
                  <c:v>13029</c:v>
                </c:pt>
                <c:pt idx="50">
                  <c:v>12000</c:v>
                </c:pt>
                <c:pt idx="51">
                  <c:v>12000</c:v>
                </c:pt>
                <c:pt idx="52">
                  <c:v>12000</c:v>
                </c:pt>
                <c:pt idx="53">
                  <c:v>16800</c:v>
                </c:pt>
                <c:pt idx="54">
                  <c:v>13640</c:v>
                </c:pt>
                <c:pt idx="55">
                  <c:v>6140</c:v>
                </c:pt>
                <c:pt idx="56">
                  <c:v>23000</c:v>
                </c:pt>
                <c:pt idx="57">
                  <c:v>12000</c:v>
                </c:pt>
                <c:pt idx="58">
                  <c:v>11520</c:v>
                </c:pt>
                <c:pt idx="59">
                  <c:v>12280</c:v>
                </c:pt>
                <c:pt idx="60">
                  <c:v>15360</c:v>
                </c:pt>
                <c:pt idx="61">
                  <c:v>11250</c:v>
                </c:pt>
                <c:pt idx="62">
                  <c:v>14400</c:v>
                </c:pt>
                <c:pt idx="63">
                  <c:v>9210</c:v>
                </c:pt>
                <c:pt idx="64">
                  <c:v>13200</c:v>
                </c:pt>
                <c:pt idx="65">
                  <c:v>4000</c:v>
                </c:pt>
                <c:pt idx="66">
                  <c:v>7500</c:v>
                </c:pt>
                <c:pt idx="67">
                  <c:v>15000</c:v>
                </c:pt>
                <c:pt idx="68">
                  <c:v>18740</c:v>
                </c:pt>
                <c:pt idx="69">
                  <c:v>18740</c:v>
                </c:pt>
                <c:pt idx="70">
                  <c:v>17060</c:v>
                </c:pt>
                <c:pt idx="71">
                  <c:v>7500</c:v>
                </c:pt>
                <c:pt idx="72">
                  <c:v>17700</c:v>
                </c:pt>
                <c:pt idx="73">
                  <c:v>15000</c:v>
                </c:pt>
                <c:pt idx="74">
                  <c:v>15000</c:v>
                </c:pt>
                <c:pt idx="75">
                  <c:v>15120</c:v>
                </c:pt>
                <c:pt idx="76">
                  <c:v>17700</c:v>
                </c:pt>
                <c:pt idx="77">
                  <c:v>13029</c:v>
                </c:pt>
                <c:pt idx="78">
                  <c:v>12795</c:v>
                </c:pt>
                <c:pt idx="79">
                  <c:v>4000</c:v>
                </c:pt>
                <c:pt idx="80">
                  <c:v>4000</c:v>
                </c:pt>
                <c:pt idx="81">
                  <c:v>4000</c:v>
                </c:pt>
                <c:pt idx="82">
                  <c:v>16600</c:v>
                </c:pt>
                <c:pt idx="83">
                  <c:v>15000</c:v>
                </c:pt>
                <c:pt idx="84">
                  <c:v>15120</c:v>
                </c:pt>
              </c:numCache>
            </c:numRef>
          </c:xVal>
          <c:yVal>
            <c:numRef>
              <c:f>'Task 1 Converted AMI PDF Stats'!$AG$13:$AG$98</c:f>
              <c:numCache>
                <c:formatCode>General</c:formatCode>
                <c:ptCount val="86"/>
                <c:pt idx="15">
                  <c:v>440</c:v>
                </c:pt>
                <c:pt idx="16">
                  <c:v>1500</c:v>
                </c:pt>
                <c:pt idx="19">
                  <c:v>2000</c:v>
                </c:pt>
                <c:pt idx="22">
                  <c:v>500</c:v>
                </c:pt>
                <c:pt idx="26">
                  <c:v>800</c:v>
                </c:pt>
                <c:pt idx="27">
                  <c:v>800</c:v>
                </c:pt>
                <c:pt idx="34">
                  <c:v>1850</c:v>
                </c:pt>
                <c:pt idx="35">
                  <c:v>2000</c:v>
                </c:pt>
                <c:pt idx="37">
                  <c:v>2300</c:v>
                </c:pt>
                <c:pt idx="38">
                  <c:v>950</c:v>
                </c:pt>
                <c:pt idx="39">
                  <c:v>850</c:v>
                </c:pt>
                <c:pt idx="45">
                  <c:v>500</c:v>
                </c:pt>
                <c:pt idx="47">
                  <c:v>800</c:v>
                </c:pt>
                <c:pt idx="49">
                  <c:v>570</c:v>
                </c:pt>
                <c:pt idx="50">
                  <c:v>570</c:v>
                </c:pt>
                <c:pt idx="54">
                  <c:v>2000</c:v>
                </c:pt>
                <c:pt idx="55">
                  <c:v>1800</c:v>
                </c:pt>
                <c:pt idx="62">
                  <c:v>2100</c:v>
                </c:pt>
                <c:pt idx="64">
                  <c:v>2600</c:v>
                </c:pt>
                <c:pt idx="69">
                  <c:v>2700</c:v>
                </c:pt>
                <c:pt idx="70">
                  <c:v>700</c:v>
                </c:pt>
                <c:pt idx="81">
                  <c:v>1300</c:v>
                </c:pt>
              </c:numCache>
            </c:numRef>
          </c:yVal>
          <c:smooth val="1"/>
          <c:extLst>
            <c:ext xmlns:c16="http://schemas.microsoft.com/office/drawing/2014/chart" uri="{C3380CC4-5D6E-409C-BE32-E72D297353CC}">
              <c16:uniqueId val="{00000002-F95D-4B4F-946F-C5FCF6CE38D7}"/>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6075370072364934"/>
                  <c:y val="-0.42105887168739248"/>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Stats'!$U$99:$U$112</c:f>
              <c:numCache>
                <c:formatCode>_(* #,##0_);_(* \(#,##0\);_(* "-"??_);_(@_)</c:formatCode>
                <c:ptCount val="14"/>
                <c:pt idx="0">
                  <c:v>5800</c:v>
                </c:pt>
                <c:pt idx="1">
                  <c:v>6810</c:v>
                </c:pt>
                <c:pt idx="2">
                  <c:v>8025</c:v>
                </c:pt>
                <c:pt idx="3">
                  <c:v>12750</c:v>
                </c:pt>
                <c:pt idx="4">
                  <c:v>10800</c:v>
                </c:pt>
                <c:pt idx="5">
                  <c:v>7510</c:v>
                </c:pt>
                <c:pt idx="6">
                  <c:v>7510</c:v>
                </c:pt>
                <c:pt idx="7">
                  <c:v>10230</c:v>
                </c:pt>
                <c:pt idx="8">
                  <c:v>15360</c:v>
                </c:pt>
                <c:pt idx="9">
                  <c:v>4000</c:v>
                </c:pt>
                <c:pt idx="10">
                  <c:v>17700</c:v>
                </c:pt>
                <c:pt idx="11">
                  <c:v>15000</c:v>
                </c:pt>
                <c:pt idx="12">
                  <c:v>15840</c:v>
                </c:pt>
                <c:pt idx="13">
                  <c:v>22200</c:v>
                </c:pt>
              </c:numCache>
            </c:numRef>
          </c:xVal>
          <c:yVal>
            <c:numRef>
              <c:f>'Task 1 Converted AMI PDF Stats'!$AG$99:$AG$112</c:f>
              <c:numCache>
                <c:formatCode>General</c:formatCode>
                <c:ptCount val="14"/>
                <c:pt idx="0">
                  <c:v>550</c:v>
                </c:pt>
                <c:pt idx="1">
                  <c:v>1100</c:v>
                </c:pt>
                <c:pt idx="2">
                  <c:v>400</c:v>
                </c:pt>
                <c:pt idx="3">
                  <c:v>500</c:v>
                </c:pt>
                <c:pt idx="4">
                  <c:v>800</c:v>
                </c:pt>
                <c:pt idx="6">
                  <c:v>500</c:v>
                </c:pt>
                <c:pt idx="7">
                  <c:v>300</c:v>
                </c:pt>
                <c:pt idx="8">
                  <c:v>1600</c:v>
                </c:pt>
                <c:pt idx="9">
                  <c:v>1300</c:v>
                </c:pt>
                <c:pt idx="10">
                  <c:v>1300</c:v>
                </c:pt>
                <c:pt idx="11">
                  <c:v>1650</c:v>
                </c:pt>
                <c:pt idx="12">
                  <c:v>1800</c:v>
                </c:pt>
                <c:pt idx="13">
                  <c:v>2500</c:v>
                </c:pt>
              </c:numCache>
            </c:numRef>
          </c:yVal>
          <c:smooth val="1"/>
          <c:extLst>
            <c:ext xmlns:c16="http://schemas.microsoft.com/office/drawing/2014/chart" uri="{C3380CC4-5D6E-409C-BE32-E72D297353CC}">
              <c16:uniqueId val="{00000003-F95D-4B4F-946F-C5FCF6CE38D7}"/>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3758203131051148"/>
                  <c:y val="-0.3214248027219269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Stats'!$U$113:$U$276</c:f>
              <c:numCache>
                <c:formatCode>_(* #,##0_);_(* \(#,##0\);_(* "-"??_);_(@_)</c:formatCode>
                <c:ptCount val="164"/>
                <c:pt idx="0">
                  <c:v>7295.1589110902505</c:v>
                </c:pt>
                <c:pt idx="1">
                  <c:v>3500.0670510929326</c:v>
                </c:pt>
                <c:pt idx="2">
                  <c:v>5600.107281748692</c:v>
                </c:pt>
                <c:pt idx="3">
                  <c:v>2200</c:v>
                </c:pt>
                <c:pt idx="4">
                  <c:v>2200</c:v>
                </c:pt>
                <c:pt idx="5">
                  <c:v>2800</c:v>
                </c:pt>
                <c:pt idx="6">
                  <c:v>2680</c:v>
                </c:pt>
                <c:pt idx="7">
                  <c:v>1300</c:v>
                </c:pt>
                <c:pt idx="8">
                  <c:v>1000</c:v>
                </c:pt>
                <c:pt idx="9">
                  <c:v>4800</c:v>
                </c:pt>
                <c:pt idx="10">
                  <c:v>4570</c:v>
                </c:pt>
                <c:pt idx="11">
                  <c:v>811</c:v>
                </c:pt>
                <c:pt idx="12">
                  <c:v>4570</c:v>
                </c:pt>
                <c:pt idx="13">
                  <c:v>1600</c:v>
                </c:pt>
                <c:pt idx="14">
                  <c:v>1600</c:v>
                </c:pt>
                <c:pt idx="15">
                  <c:v>1600</c:v>
                </c:pt>
                <c:pt idx="16">
                  <c:v>4693.5765052970364</c:v>
                </c:pt>
                <c:pt idx="17">
                  <c:v>2700</c:v>
                </c:pt>
                <c:pt idx="18">
                  <c:v>2660</c:v>
                </c:pt>
                <c:pt idx="19">
                  <c:v>4400</c:v>
                </c:pt>
                <c:pt idx="20">
                  <c:v>2805</c:v>
                </c:pt>
                <c:pt idx="21">
                  <c:v>2660</c:v>
                </c:pt>
                <c:pt idx="22">
                  <c:v>2322</c:v>
                </c:pt>
                <c:pt idx="23">
                  <c:v>1300</c:v>
                </c:pt>
                <c:pt idx="24">
                  <c:v>2680</c:v>
                </c:pt>
                <c:pt idx="25">
                  <c:v>2500</c:v>
                </c:pt>
                <c:pt idx="26">
                  <c:v>2700</c:v>
                </c:pt>
                <c:pt idx="27">
                  <c:v>4290</c:v>
                </c:pt>
                <c:pt idx="28">
                  <c:v>3270</c:v>
                </c:pt>
                <c:pt idx="29">
                  <c:v>5364.087434625184</c:v>
                </c:pt>
                <c:pt idx="30">
                  <c:v>1020</c:v>
                </c:pt>
                <c:pt idx="31">
                  <c:v>3700</c:v>
                </c:pt>
                <c:pt idx="32">
                  <c:v>2070</c:v>
                </c:pt>
                <c:pt idx="33">
                  <c:v>2951</c:v>
                </c:pt>
                <c:pt idx="34">
                  <c:v>7398</c:v>
                </c:pt>
                <c:pt idx="35">
                  <c:v>2700</c:v>
                </c:pt>
                <c:pt idx="36">
                  <c:v>3500</c:v>
                </c:pt>
                <c:pt idx="37">
                  <c:v>1290</c:v>
                </c:pt>
                <c:pt idx="38">
                  <c:v>5000</c:v>
                </c:pt>
                <c:pt idx="39">
                  <c:v>2070</c:v>
                </c:pt>
                <c:pt idx="40">
                  <c:v>2322</c:v>
                </c:pt>
                <c:pt idx="41">
                  <c:v>4680</c:v>
                </c:pt>
                <c:pt idx="42">
                  <c:v>2400</c:v>
                </c:pt>
                <c:pt idx="43">
                  <c:v>1260</c:v>
                </c:pt>
                <c:pt idx="44">
                  <c:v>2700</c:v>
                </c:pt>
                <c:pt idx="45">
                  <c:v>2660</c:v>
                </c:pt>
                <c:pt idx="46">
                  <c:v>4352</c:v>
                </c:pt>
                <c:pt idx="47">
                  <c:v>1100</c:v>
                </c:pt>
                <c:pt idx="48">
                  <c:v>1770</c:v>
                </c:pt>
                <c:pt idx="49">
                  <c:v>5000</c:v>
                </c:pt>
                <c:pt idx="50">
                  <c:v>3000</c:v>
                </c:pt>
                <c:pt idx="51">
                  <c:v>3483</c:v>
                </c:pt>
                <c:pt idx="52">
                  <c:v>5344</c:v>
                </c:pt>
                <c:pt idx="53">
                  <c:v>2610</c:v>
                </c:pt>
                <c:pt idx="54">
                  <c:v>4500</c:v>
                </c:pt>
                <c:pt idx="55">
                  <c:v>5320</c:v>
                </c:pt>
                <c:pt idx="56">
                  <c:v>5200</c:v>
                </c:pt>
                <c:pt idx="57">
                  <c:v>3400</c:v>
                </c:pt>
                <c:pt idx="58">
                  <c:v>4600</c:v>
                </c:pt>
                <c:pt idx="59">
                  <c:v>4087</c:v>
                </c:pt>
                <c:pt idx="60">
                  <c:v>9000</c:v>
                </c:pt>
                <c:pt idx="61">
                  <c:v>4400</c:v>
                </c:pt>
                <c:pt idx="62">
                  <c:v>5200</c:v>
                </c:pt>
                <c:pt idx="63">
                  <c:v>6000</c:v>
                </c:pt>
                <c:pt idx="64">
                  <c:v>1450</c:v>
                </c:pt>
                <c:pt idx="65">
                  <c:v>3520</c:v>
                </c:pt>
                <c:pt idx="66">
                  <c:v>4050</c:v>
                </c:pt>
                <c:pt idx="67">
                  <c:v>7200</c:v>
                </c:pt>
                <c:pt idx="68">
                  <c:v>6000</c:v>
                </c:pt>
                <c:pt idx="69">
                  <c:v>8240</c:v>
                </c:pt>
                <c:pt idx="70">
                  <c:v>4890</c:v>
                </c:pt>
                <c:pt idx="71">
                  <c:v>6000</c:v>
                </c:pt>
                <c:pt idx="72">
                  <c:v>4000</c:v>
                </c:pt>
                <c:pt idx="73">
                  <c:v>4340</c:v>
                </c:pt>
                <c:pt idx="74">
                  <c:v>3000</c:v>
                </c:pt>
                <c:pt idx="75">
                  <c:v>5800</c:v>
                </c:pt>
                <c:pt idx="76">
                  <c:v>385</c:v>
                </c:pt>
                <c:pt idx="77">
                  <c:v>5000</c:v>
                </c:pt>
                <c:pt idx="78">
                  <c:v>2820</c:v>
                </c:pt>
                <c:pt idx="79">
                  <c:v>4400</c:v>
                </c:pt>
                <c:pt idx="80">
                  <c:v>4400</c:v>
                </c:pt>
                <c:pt idx="81">
                  <c:v>6246</c:v>
                </c:pt>
                <c:pt idx="82">
                  <c:v>6260</c:v>
                </c:pt>
                <c:pt idx="83">
                  <c:v>6600</c:v>
                </c:pt>
                <c:pt idx="84">
                  <c:v>9600</c:v>
                </c:pt>
                <c:pt idx="85">
                  <c:v>5760</c:v>
                </c:pt>
                <c:pt idx="86">
                  <c:v>4800</c:v>
                </c:pt>
                <c:pt idx="87">
                  <c:v>5984</c:v>
                </c:pt>
                <c:pt idx="88">
                  <c:v>5911</c:v>
                </c:pt>
                <c:pt idx="89">
                  <c:v>7200</c:v>
                </c:pt>
                <c:pt idx="90">
                  <c:v>4025</c:v>
                </c:pt>
                <c:pt idx="91">
                  <c:v>3012</c:v>
                </c:pt>
                <c:pt idx="92">
                  <c:v>4610</c:v>
                </c:pt>
                <c:pt idx="93">
                  <c:v>4600</c:v>
                </c:pt>
                <c:pt idx="94">
                  <c:v>3300</c:v>
                </c:pt>
                <c:pt idx="95">
                  <c:v>5700</c:v>
                </c:pt>
                <c:pt idx="96">
                  <c:v>7170</c:v>
                </c:pt>
                <c:pt idx="97">
                  <c:v>4025</c:v>
                </c:pt>
                <c:pt idx="98">
                  <c:v>7700</c:v>
                </c:pt>
                <c:pt idx="99">
                  <c:v>5110</c:v>
                </c:pt>
                <c:pt idx="100">
                  <c:v>4025</c:v>
                </c:pt>
                <c:pt idx="101">
                  <c:v>11265</c:v>
                </c:pt>
                <c:pt idx="102">
                  <c:v>6700</c:v>
                </c:pt>
                <c:pt idx="103">
                  <c:v>7200</c:v>
                </c:pt>
                <c:pt idx="104">
                  <c:v>6820</c:v>
                </c:pt>
                <c:pt idx="105">
                  <c:v>13892.986455679227</c:v>
                </c:pt>
                <c:pt idx="106">
                  <c:v>6000</c:v>
                </c:pt>
                <c:pt idx="107">
                  <c:v>13410.21858656296</c:v>
                </c:pt>
                <c:pt idx="108">
                  <c:v>3480</c:v>
                </c:pt>
                <c:pt idx="109">
                  <c:v>9051.8975459299982</c:v>
                </c:pt>
                <c:pt idx="110">
                  <c:v>6140</c:v>
                </c:pt>
                <c:pt idx="112">
                  <c:v>6000</c:v>
                </c:pt>
                <c:pt idx="113">
                  <c:v>4600</c:v>
                </c:pt>
                <c:pt idx="114">
                  <c:v>13640</c:v>
                </c:pt>
                <c:pt idx="115">
                  <c:v>10942</c:v>
                </c:pt>
                <c:pt idx="116">
                  <c:v>6820</c:v>
                </c:pt>
                <c:pt idx="118">
                  <c:v>5800</c:v>
                </c:pt>
                <c:pt idx="119">
                  <c:v>6222.3414241652135</c:v>
                </c:pt>
                <c:pt idx="120">
                  <c:v>6820</c:v>
                </c:pt>
                <c:pt idx="121">
                  <c:v>4050</c:v>
                </c:pt>
                <c:pt idx="122">
                  <c:v>3750</c:v>
                </c:pt>
                <c:pt idx="123">
                  <c:v>4025</c:v>
                </c:pt>
                <c:pt idx="124">
                  <c:v>4000</c:v>
                </c:pt>
                <c:pt idx="125">
                  <c:v>2180</c:v>
                </c:pt>
                <c:pt idx="126">
                  <c:v>13400</c:v>
                </c:pt>
                <c:pt idx="127">
                  <c:v>5712</c:v>
                </c:pt>
                <c:pt idx="128">
                  <c:v>6600</c:v>
                </c:pt>
                <c:pt idx="129">
                  <c:v>4000</c:v>
                </c:pt>
                <c:pt idx="130">
                  <c:v>4000</c:v>
                </c:pt>
                <c:pt idx="131">
                  <c:v>11040</c:v>
                </c:pt>
                <c:pt idx="132">
                  <c:v>18506.101649456887</c:v>
                </c:pt>
                <c:pt idx="133">
                  <c:v>18740</c:v>
                </c:pt>
                <c:pt idx="134">
                  <c:v>4340</c:v>
                </c:pt>
                <c:pt idx="135">
                  <c:v>4640</c:v>
                </c:pt>
                <c:pt idx="136">
                  <c:v>8800</c:v>
                </c:pt>
                <c:pt idx="137">
                  <c:v>7230</c:v>
                </c:pt>
                <c:pt idx="138">
                  <c:v>15019.444816950516</c:v>
                </c:pt>
                <c:pt idx="139">
                  <c:v>6120</c:v>
                </c:pt>
                <c:pt idx="140">
                  <c:v>8000</c:v>
                </c:pt>
                <c:pt idx="141">
                  <c:v>4410</c:v>
                </c:pt>
                <c:pt idx="142">
                  <c:v>8850</c:v>
                </c:pt>
                <c:pt idx="143">
                  <c:v>8340</c:v>
                </c:pt>
                <c:pt idx="144">
                  <c:v>4400</c:v>
                </c:pt>
                <c:pt idx="145">
                  <c:v>17433.284162531847</c:v>
                </c:pt>
                <c:pt idx="146">
                  <c:v>8000</c:v>
                </c:pt>
                <c:pt idx="147">
                  <c:v>8850</c:v>
                </c:pt>
                <c:pt idx="148">
                  <c:v>8850</c:v>
                </c:pt>
                <c:pt idx="149">
                  <c:v>6119</c:v>
                </c:pt>
                <c:pt idx="150">
                  <c:v>5685</c:v>
                </c:pt>
                <c:pt idx="151">
                  <c:v>8000</c:v>
                </c:pt>
                <c:pt idx="152">
                  <c:v>11250</c:v>
                </c:pt>
                <c:pt idx="155">
                  <c:v>8800</c:v>
                </c:pt>
                <c:pt idx="156">
                  <c:v>23065.575968888294</c:v>
                </c:pt>
                <c:pt idx="157">
                  <c:v>8554</c:v>
                </c:pt>
                <c:pt idx="158">
                  <c:v>1800</c:v>
                </c:pt>
                <c:pt idx="159">
                  <c:v>2000</c:v>
                </c:pt>
                <c:pt idx="160">
                  <c:v>2000</c:v>
                </c:pt>
                <c:pt idx="161">
                  <c:v>9200</c:v>
                </c:pt>
                <c:pt idx="162">
                  <c:v>10000</c:v>
                </c:pt>
                <c:pt idx="163">
                  <c:v>10000</c:v>
                </c:pt>
              </c:numCache>
            </c:numRef>
          </c:xVal>
          <c:yVal>
            <c:numRef>
              <c:f>'Task 1 Converted AMI PDF Stats'!$AG$113:$AG$276</c:f>
              <c:numCache>
                <c:formatCode>General</c:formatCode>
                <c:ptCount val="164"/>
                <c:pt idx="1">
                  <c:v>1000</c:v>
                </c:pt>
                <c:pt idx="16">
                  <c:v>1000</c:v>
                </c:pt>
                <c:pt idx="29">
                  <c:v>1000</c:v>
                </c:pt>
                <c:pt idx="58">
                  <c:v>300</c:v>
                </c:pt>
                <c:pt idx="67">
                  <c:v>800</c:v>
                </c:pt>
                <c:pt idx="68">
                  <c:v>550</c:v>
                </c:pt>
                <c:pt idx="72">
                  <c:v>1200</c:v>
                </c:pt>
                <c:pt idx="74">
                  <c:v>1537</c:v>
                </c:pt>
                <c:pt idx="90">
                  <c:v>2375</c:v>
                </c:pt>
                <c:pt idx="97">
                  <c:v>2400</c:v>
                </c:pt>
                <c:pt idx="99">
                  <c:v>3300</c:v>
                </c:pt>
                <c:pt idx="101">
                  <c:v>1700</c:v>
                </c:pt>
                <c:pt idx="105">
                  <c:v>800</c:v>
                </c:pt>
                <c:pt idx="106">
                  <c:v>450</c:v>
                </c:pt>
                <c:pt idx="107">
                  <c:v>2000</c:v>
                </c:pt>
                <c:pt idx="108">
                  <c:v>1100</c:v>
                </c:pt>
                <c:pt idx="109">
                  <c:v>1850</c:v>
                </c:pt>
                <c:pt idx="110">
                  <c:v>1450</c:v>
                </c:pt>
                <c:pt idx="111">
                  <c:v>1350</c:v>
                </c:pt>
                <c:pt idx="112">
                  <c:v>2000</c:v>
                </c:pt>
                <c:pt idx="114">
                  <c:v>180</c:v>
                </c:pt>
                <c:pt idx="116">
                  <c:v>2000</c:v>
                </c:pt>
                <c:pt idx="117">
                  <c:v>2000</c:v>
                </c:pt>
                <c:pt idx="119">
                  <c:v>3000</c:v>
                </c:pt>
                <c:pt idx="120">
                  <c:v>2500</c:v>
                </c:pt>
                <c:pt idx="123">
                  <c:v>2400</c:v>
                </c:pt>
                <c:pt idx="126">
                  <c:v>2500</c:v>
                </c:pt>
                <c:pt idx="132">
                  <c:v>1800</c:v>
                </c:pt>
                <c:pt idx="133">
                  <c:v>1800</c:v>
                </c:pt>
                <c:pt idx="134">
                  <c:v>4900</c:v>
                </c:pt>
                <c:pt idx="137">
                  <c:v>4500</c:v>
                </c:pt>
                <c:pt idx="138">
                  <c:v>2000</c:v>
                </c:pt>
                <c:pt idx="141">
                  <c:v>4500</c:v>
                </c:pt>
                <c:pt idx="145">
                  <c:v>2000</c:v>
                </c:pt>
                <c:pt idx="146">
                  <c:v>4200</c:v>
                </c:pt>
                <c:pt idx="150">
                  <c:v>2000</c:v>
                </c:pt>
                <c:pt idx="151">
                  <c:v>2400</c:v>
                </c:pt>
                <c:pt idx="152">
                  <c:v>2400</c:v>
                </c:pt>
                <c:pt idx="154">
                  <c:v>3000</c:v>
                </c:pt>
                <c:pt idx="156">
                  <c:v>2900</c:v>
                </c:pt>
              </c:numCache>
            </c:numRef>
          </c:yVal>
          <c:smooth val="1"/>
          <c:extLst>
            <c:ext xmlns:c16="http://schemas.microsoft.com/office/drawing/2014/chart" uri="{C3380CC4-5D6E-409C-BE32-E72D297353CC}">
              <c16:uniqueId val="{00000004-F95D-4B4F-946F-C5FCF6CE38D7}"/>
            </c:ext>
          </c:extLst>
        </c:ser>
        <c:ser>
          <c:idx val="6"/>
          <c:order val="5"/>
          <c:tx>
            <c:v>FRC</c:v>
          </c:tx>
          <c:spPr>
            <a:ln w="19050">
              <a:noFill/>
            </a:ln>
          </c:spPr>
          <c:marker>
            <c:symbol val="plus"/>
            <c:size val="5"/>
            <c:spPr>
              <a:solidFill>
                <a:srgbClr val="993300"/>
              </a:solidFill>
              <a:ln>
                <a:solidFill>
                  <a:srgbClr val="FFCC99"/>
                </a:solidFill>
                <a:prstDash val="solid"/>
              </a:ln>
            </c:spPr>
          </c:marker>
          <c:xVal>
            <c:numRef>
              <c:f>'Task 1 Converted AMI PDF Stats'!$U$283</c:f>
              <c:numCache>
                <c:formatCode>_(* #,##0_);_(* \(#,##0\);_(* "-"??_);_(@_)</c:formatCode>
                <c:ptCount val="1"/>
                <c:pt idx="0">
                  <c:v>14600</c:v>
                </c:pt>
              </c:numCache>
            </c:numRef>
          </c:xVal>
          <c:yVal>
            <c:numRef>
              <c:f>'Task 1 Converted AMI PDF Stats'!$AG$283</c:f>
              <c:numCache>
                <c:formatCode>General</c:formatCode>
                <c:ptCount val="1"/>
                <c:pt idx="0">
                  <c:v>4238</c:v>
                </c:pt>
              </c:numCache>
            </c:numRef>
          </c:yVal>
          <c:smooth val="1"/>
          <c:extLst>
            <c:ext xmlns:c16="http://schemas.microsoft.com/office/drawing/2014/chart" uri="{C3380CC4-5D6E-409C-BE32-E72D297353CC}">
              <c16:uniqueId val="{00000005-F95D-4B4F-946F-C5FCF6CE38D7}"/>
            </c:ext>
          </c:extLst>
        </c:ser>
        <c:ser>
          <c:idx val="5"/>
          <c:order val="6"/>
          <c:spPr>
            <a:ln w="19050">
              <a:noFill/>
            </a:ln>
          </c:spPr>
          <c:marker>
            <c:symbol val="circle"/>
            <c:size val="6"/>
            <c:spPr>
              <a:solidFill>
                <a:srgbClr val="993300"/>
              </a:solidFill>
              <a:ln>
                <a:solidFill>
                  <a:srgbClr val="993300"/>
                </a:solidFill>
                <a:prstDash val="solid"/>
              </a:ln>
            </c:spPr>
          </c:marker>
          <c:xVal>
            <c:numRef>
              <c:f>'Task 1 Converted AMI PDF Stats'!$U$284:$U$294</c:f>
              <c:numCache>
                <c:formatCode>_(* #,##0_);_(* \(#,##0\);_(* "-"??_);_(@_)</c:formatCode>
                <c:ptCount val="11"/>
                <c:pt idx="0">
                  <c:v>7295.1589110902505</c:v>
                </c:pt>
                <c:pt idx="1">
                  <c:v>3500.0670510929326</c:v>
                </c:pt>
                <c:pt idx="2">
                  <c:v>5600.107281748692</c:v>
                </c:pt>
                <c:pt idx="3">
                  <c:v>6222.3414241652135</c:v>
                </c:pt>
                <c:pt idx="4">
                  <c:v>4693.5765052970364</c:v>
                </c:pt>
                <c:pt idx="5">
                  <c:v>5364.087434625184</c:v>
                </c:pt>
                <c:pt idx="6">
                  <c:v>6140</c:v>
                </c:pt>
                <c:pt idx="7">
                  <c:v>4050</c:v>
                </c:pt>
                <c:pt idx="8">
                  <c:v>13400</c:v>
                </c:pt>
                <c:pt idx="9">
                  <c:v>6246</c:v>
                </c:pt>
                <c:pt idx="10">
                  <c:v>5760</c:v>
                </c:pt>
              </c:numCache>
            </c:numRef>
          </c:xVal>
          <c:yVal>
            <c:numRef>
              <c:f>'Task 1 Converted AMI PDF Stats'!$AG$284:$AG$294</c:f>
              <c:numCache>
                <c:formatCode>General</c:formatCode>
                <c:ptCount val="11"/>
                <c:pt idx="1">
                  <c:v>1000</c:v>
                </c:pt>
                <c:pt idx="3">
                  <c:v>3000</c:v>
                </c:pt>
                <c:pt idx="4">
                  <c:v>1000</c:v>
                </c:pt>
                <c:pt idx="5">
                  <c:v>1000</c:v>
                </c:pt>
                <c:pt idx="6">
                  <c:v>1450</c:v>
                </c:pt>
                <c:pt idx="8">
                  <c:v>2500</c:v>
                </c:pt>
              </c:numCache>
            </c:numRef>
          </c:yVal>
          <c:smooth val="1"/>
          <c:extLst>
            <c:ext xmlns:c16="http://schemas.microsoft.com/office/drawing/2014/chart" uri="{C3380CC4-5D6E-409C-BE32-E72D297353CC}">
              <c16:uniqueId val="{00000006-F95D-4B4F-946F-C5FCF6CE38D7}"/>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Stats'!$U$295:$U$298</c:f>
              <c:numCache>
                <c:formatCode>_(* #,##0_);_(* \(#,##0\);_(* "-"??_);_(@_)</c:formatCode>
                <c:ptCount val="4"/>
                <c:pt idx="0">
                  <c:v>15360</c:v>
                </c:pt>
                <c:pt idx="1">
                  <c:v>7510</c:v>
                </c:pt>
                <c:pt idx="2">
                  <c:v>7510</c:v>
                </c:pt>
                <c:pt idx="3">
                  <c:v>10230</c:v>
                </c:pt>
              </c:numCache>
            </c:numRef>
          </c:xVal>
          <c:yVal>
            <c:numRef>
              <c:f>'Task 1 Converted AMI PDF Stats'!$AG$295:$AG$298</c:f>
              <c:numCache>
                <c:formatCode>General</c:formatCode>
                <c:ptCount val="4"/>
                <c:pt idx="0">
                  <c:v>1600</c:v>
                </c:pt>
                <c:pt idx="2">
                  <c:v>500</c:v>
                </c:pt>
                <c:pt idx="3">
                  <c:v>300</c:v>
                </c:pt>
              </c:numCache>
            </c:numRef>
          </c:yVal>
          <c:smooth val="1"/>
          <c:extLst>
            <c:ext xmlns:c16="http://schemas.microsoft.com/office/drawing/2014/chart" uri="{C3380CC4-5D6E-409C-BE32-E72D297353CC}">
              <c16:uniqueId val="{00000007-F95D-4B4F-946F-C5FCF6CE38D7}"/>
            </c:ext>
          </c:extLst>
        </c:ser>
        <c:dLbls>
          <c:showLegendKey val="0"/>
          <c:showVal val="0"/>
          <c:showCatName val="0"/>
          <c:showSerName val="0"/>
          <c:showPercent val="0"/>
          <c:showBubbleSize val="0"/>
        </c:dLbls>
        <c:axId val="570101408"/>
        <c:axId val="1"/>
      </c:scatterChart>
      <c:valAx>
        <c:axId val="570101408"/>
        <c:scaling>
          <c:orientation val="minMax"/>
          <c:min val="0"/>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Installed Power</a:t>
                </a:r>
              </a:p>
            </c:rich>
          </c:tx>
          <c:layout>
            <c:manualLayout>
              <c:xMode val="edge"/>
              <c:yMode val="edge"/>
              <c:x val="0.36182019977802443"/>
              <c:y val="0.94453507340946163"/>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Cruise Range (nm)</a:t>
                </a:r>
              </a:p>
            </c:rich>
          </c:tx>
          <c:layout>
            <c:manualLayout>
              <c:xMode val="edge"/>
              <c:yMode val="edge"/>
              <c:x val="1.4428412874583796E-2"/>
              <c:y val="0.38499184339314846"/>
            </c:manualLayout>
          </c:layout>
          <c:overlay val="0"/>
          <c:spPr>
            <a:noFill/>
            <a:ln w="25400">
              <a:noFill/>
            </a:ln>
          </c:spPr>
        </c:title>
        <c:numFmt formatCode="General"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101408"/>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ayout>
        <c:manualLayout>
          <c:xMode val="edge"/>
          <c:yMode val="edge"/>
          <c:x val="0.76470588235294112"/>
          <c:y val="0.44861337683523655"/>
          <c:w val="0.21309655937846839"/>
          <c:h val="0.4453507340946166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Cruise Range vs Volumetric Froude No</a:t>
            </a:r>
          </a:p>
        </c:rich>
      </c:tx>
      <c:layout>
        <c:manualLayout>
          <c:xMode val="edge"/>
          <c:yMode val="edge"/>
          <c:x val="0.3318534961154273"/>
          <c:y val="1.9575856443719411E-2"/>
        </c:manualLayout>
      </c:layout>
      <c:overlay val="0"/>
      <c:spPr>
        <a:noFill/>
        <a:ln w="25400">
          <a:noFill/>
        </a:ln>
      </c:spPr>
    </c:title>
    <c:autoTitleDeleted val="0"/>
    <c:plotArea>
      <c:layout>
        <c:manualLayout>
          <c:layoutTarget val="inner"/>
          <c:xMode val="edge"/>
          <c:yMode val="edge"/>
          <c:x val="8.4350721420643732E-2"/>
          <c:y val="7.3409461663947795E-2"/>
          <c:w val="0.67702552719200892"/>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6511223768340975"/>
                  <c:y val="-0.11582981839462098"/>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Stats'!$J$5:$J$279</c:f>
              <c:numCache>
                <c:formatCode>0.0</c:formatCode>
                <c:ptCount val="275"/>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xVal>
          <c:yVal>
            <c:numRef>
              <c:f>'Task 1 Converted AMI PDF Stats'!$AG$5:$AG$279</c:f>
              <c:numCache>
                <c:formatCode>General</c:formatCode>
                <c:ptCount val="275"/>
                <c:pt idx="0">
                  <c:v>1610</c:v>
                </c:pt>
                <c:pt idx="2">
                  <c:v>1800</c:v>
                </c:pt>
                <c:pt idx="4">
                  <c:v>2200</c:v>
                </c:pt>
                <c:pt idx="5">
                  <c:v>1650</c:v>
                </c:pt>
                <c:pt idx="7">
                  <c:v>4000</c:v>
                </c:pt>
                <c:pt idx="23">
                  <c:v>440</c:v>
                </c:pt>
                <c:pt idx="24">
                  <c:v>1500</c:v>
                </c:pt>
                <c:pt idx="27">
                  <c:v>2000</c:v>
                </c:pt>
                <c:pt idx="30">
                  <c:v>500</c:v>
                </c:pt>
                <c:pt idx="34">
                  <c:v>800</c:v>
                </c:pt>
                <c:pt idx="35">
                  <c:v>800</c:v>
                </c:pt>
                <c:pt idx="42">
                  <c:v>1850</c:v>
                </c:pt>
                <c:pt idx="43">
                  <c:v>2000</c:v>
                </c:pt>
                <c:pt idx="45">
                  <c:v>2300</c:v>
                </c:pt>
                <c:pt idx="46">
                  <c:v>950</c:v>
                </c:pt>
                <c:pt idx="47">
                  <c:v>850</c:v>
                </c:pt>
                <c:pt idx="53">
                  <c:v>500</c:v>
                </c:pt>
                <c:pt idx="55">
                  <c:v>800</c:v>
                </c:pt>
                <c:pt idx="57">
                  <c:v>570</c:v>
                </c:pt>
                <c:pt idx="58">
                  <c:v>570</c:v>
                </c:pt>
                <c:pt idx="62">
                  <c:v>2000</c:v>
                </c:pt>
                <c:pt idx="63">
                  <c:v>1800</c:v>
                </c:pt>
                <c:pt idx="70">
                  <c:v>2100</c:v>
                </c:pt>
                <c:pt idx="72">
                  <c:v>2600</c:v>
                </c:pt>
                <c:pt idx="77">
                  <c:v>2700</c:v>
                </c:pt>
                <c:pt idx="78">
                  <c:v>700</c:v>
                </c:pt>
                <c:pt idx="89">
                  <c:v>1300</c:v>
                </c:pt>
                <c:pt idx="94">
                  <c:v>550</c:v>
                </c:pt>
                <c:pt idx="95">
                  <c:v>1100</c:v>
                </c:pt>
                <c:pt idx="96">
                  <c:v>400</c:v>
                </c:pt>
                <c:pt idx="97">
                  <c:v>500</c:v>
                </c:pt>
                <c:pt idx="98">
                  <c:v>800</c:v>
                </c:pt>
                <c:pt idx="100">
                  <c:v>500</c:v>
                </c:pt>
                <c:pt idx="101">
                  <c:v>300</c:v>
                </c:pt>
                <c:pt idx="102">
                  <c:v>1600</c:v>
                </c:pt>
                <c:pt idx="103">
                  <c:v>1300</c:v>
                </c:pt>
                <c:pt idx="104">
                  <c:v>1300</c:v>
                </c:pt>
                <c:pt idx="105">
                  <c:v>1650</c:v>
                </c:pt>
                <c:pt idx="106">
                  <c:v>1800</c:v>
                </c:pt>
                <c:pt idx="107">
                  <c:v>2500</c:v>
                </c:pt>
                <c:pt idx="109">
                  <c:v>1000</c:v>
                </c:pt>
                <c:pt idx="124">
                  <c:v>1000</c:v>
                </c:pt>
                <c:pt idx="137">
                  <c:v>1000</c:v>
                </c:pt>
                <c:pt idx="166">
                  <c:v>300</c:v>
                </c:pt>
                <c:pt idx="175">
                  <c:v>800</c:v>
                </c:pt>
                <c:pt idx="176">
                  <c:v>550</c:v>
                </c:pt>
                <c:pt idx="180">
                  <c:v>1200</c:v>
                </c:pt>
                <c:pt idx="182">
                  <c:v>1537</c:v>
                </c:pt>
                <c:pt idx="198">
                  <c:v>2375</c:v>
                </c:pt>
                <c:pt idx="205">
                  <c:v>2400</c:v>
                </c:pt>
                <c:pt idx="207">
                  <c:v>3300</c:v>
                </c:pt>
                <c:pt idx="209">
                  <c:v>1700</c:v>
                </c:pt>
                <c:pt idx="213">
                  <c:v>800</c:v>
                </c:pt>
                <c:pt idx="214">
                  <c:v>450</c:v>
                </c:pt>
                <c:pt idx="215">
                  <c:v>2000</c:v>
                </c:pt>
                <c:pt idx="216">
                  <c:v>1100</c:v>
                </c:pt>
                <c:pt idx="217">
                  <c:v>1850</c:v>
                </c:pt>
                <c:pt idx="218">
                  <c:v>1450</c:v>
                </c:pt>
                <c:pt idx="219">
                  <c:v>1350</c:v>
                </c:pt>
                <c:pt idx="220">
                  <c:v>2000</c:v>
                </c:pt>
                <c:pt idx="222">
                  <c:v>180</c:v>
                </c:pt>
                <c:pt idx="224">
                  <c:v>2000</c:v>
                </c:pt>
                <c:pt idx="225">
                  <c:v>2000</c:v>
                </c:pt>
                <c:pt idx="227">
                  <c:v>3000</c:v>
                </c:pt>
                <c:pt idx="228">
                  <c:v>2500</c:v>
                </c:pt>
                <c:pt idx="231">
                  <c:v>2400</c:v>
                </c:pt>
                <c:pt idx="234">
                  <c:v>2500</c:v>
                </c:pt>
                <c:pt idx="240">
                  <c:v>1800</c:v>
                </c:pt>
                <c:pt idx="241">
                  <c:v>1800</c:v>
                </c:pt>
                <c:pt idx="242">
                  <c:v>4900</c:v>
                </c:pt>
                <c:pt idx="245">
                  <c:v>4500</c:v>
                </c:pt>
                <c:pt idx="246">
                  <c:v>2000</c:v>
                </c:pt>
                <c:pt idx="249">
                  <c:v>4500</c:v>
                </c:pt>
                <c:pt idx="253">
                  <c:v>2000</c:v>
                </c:pt>
                <c:pt idx="254">
                  <c:v>4200</c:v>
                </c:pt>
                <c:pt idx="258">
                  <c:v>2000</c:v>
                </c:pt>
                <c:pt idx="259">
                  <c:v>2400</c:v>
                </c:pt>
                <c:pt idx="260">
                  <c:v>2400</c:v>
                </c:pt>
                <c:pt idx="262">
                  <c:v>3000</c:v>
                </c:pt>
                <c:pt idx="264">
                  <c:v>2900</c:v>
                </c:pt>
              </c:numCache>
            </c:numRef>
          </c:yVal>
          <c:smooth val="1"/>
          <c:extLst>
            <c:ext xmlns:c16="http://schemas.microsoft.com/office/drawing/2014/chart" uri="{C3380CC4-5D6E-409C-BE32-E72D297353CC}">
              <c16:uniqueId val="{00000000-577E-465E-A10B-6701BF68F58A}"/>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7933942653068022"/>
                  <c:y val="-0.31101862800115004"/>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xVal>
          <c:yVal>
            <c:numRef>
              <c:f>'Task 1 Converted AMI PDF Stats'!$AG$5:$AG$12</c:f>
              <c:numCache>
                <c:formatCode>General</c:formatCode>
                <c:ptCount val="8"/>
                <c:pt idx="0">
                  <c:v>1610</c:v>
                </c:pt>
                <c:pt idx="2">
                  <c:v>1800</c:v>
                </c:pt>
                <c:pt idx="4">
                  <c:v>2200</c:v>
                </c:pt>
                <c:pt idx="5">
                  <c:v>1650</c:v>
                </c:pt>
                <c:pt idx="7">
                  <c:v>4000</c:v>
                </c:pt>
              </c:numCache>
            </c:numRef>
          </c:yVal>
          <c:smooth val="1"/>
          <c:extLst>
            <c:ext xmlns:c16="http://schemas.microsoft.com/office/drawing/2014/chart" uri="{C3380CC4-5D6E-409C-BE32-E72D297353CC}">
              <c16:uniqueId val="{00000001-577E-465E-A10B-6701BF68F58A}"/>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8266313373296292"/>
                  <c:y val="-0.44137882212791957"/>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xVal>
          <c:yVal>
            <c:numRef>
              <c:f>'Task 1 Converted AMI PDF Stats'!$AG$13:$AG$98</c:f>
              <c:numCache>
                <c:formatCode>General</c:formatCode>
                <c:ptCount val="86"/>
                <c:pt idx="15">
                  <c:v>440</c:v>
                </c:pt>
                <c:pt idx="16">
                  <c:v>1500</c:v>
                </c:pt>
                <c:pt idx="19">
                  <c:v>2000</c:v>
                </c:pt>
                <c:pt idx="22">
                  <c:v>500</c:v>
                </c:pt>
                <c:pt idx="26">
                  <c:v>800</c:v>
                </c:pt>
                <c:pt idx="27">
                  <c:v>800</c:v>
                </c:pt>
                <c:pt idx="34">
                  <c:v>1850</c:v>
                </c:pt>
                <c:pt idx="35">
                  <c:v>2000</c:v>
                </c:pt>
                <c:pt idx="37">
                  <c:v>2300</c:v>
                </c:pt>
                <c:pt idx="38">
                  <c:v>950</c:v>
                </c:pt>
                <c:pt idx="39">
                  <c:v>850</c:v>
                </c:pt>
                <c:pt idx="45">
                  <c:v>500</c:v>
                </c:pt>
                <c:pt idx="47">
                  <c:v>800</c:v>
                </c:pt>
                <c:pt idx="49">
                  <c:v>570</c:v>
                </c:pt>
                <c:pt idx="50">
                  <c:v>570</c:v>
                </c:pt>
                <c:pt idx="54">
                  <c:v>2000</c:v>
                </c:pt>
                <c:pt idx="55">
                  <c:v>1800</c:v>
                </c:pt>
                <c:pt idx="62">
                  <c:v>2100</c:v>
                </c:pt>
                <c:pt idx="64">
                  <c:v>2600</c:v>
                </c:pt>
                <c:pt idx="69">
                  <c:v>2700</c:v>
                </c:pt>
                <c:pt idx="70">
                  <c:v>700</c:v>
                </c:pt>
                <c:pt idx="81">
                  <c:v>1300</c:v>
                </c:pt>
              </c:numCache>
            </c:numRef>
          </c:yVal>
          <c:smooth val="1"/>
          <c:extLst>
            <c:ext xmlns:c16="http://schemas.microsoft.com/office/drawing/2014/chart" uri="{C3380CC4-5D6E-409C-BE32-E72D297353CC}">
              <c16:uniqueId val="{00000002-577E-465E-A10B-6701BF68F58A}"/>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5519340829109782"/>
                  <c:y val="-0.36936262162067068"/>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xVal>
          <c:yVal>
            <c:numRef>
              <c:f>'Task 1 Converted AMI PDF Stats'!$AG$99:$AG$112</c:f>
              <c:numCache>
                <c:formatCode>General</c:formatCode>
                <c:ptCount val="14"/>
                <c:pt idx="0">
                  <c:v>550</c:v>
                </c:pt>
                <c:pt idx="1">
                  <c:v>1100</c:v>
                </c:pt>
                <c:pt idx="2">
                  <c:v>400</c:v>
                </c:pt>
                <c:pt idx="3">
                  <c:v>500</c:v>
                </c:pt>
                <c:pt idx="4">
                  <c:v>800</c:v>
                </c:pt>
                <c:pt idx="6">
                  <c:v>500</c:v>
                </c:pt>
                <c:pt idx="7">
                  <c:v>300</c:v>
                </c:pt>
                <c:pt idx="8">
                  <c:v>1600</c:v>
                </c:pt>
                <c:pt idx="9">
                  <c:v>1300</c:v>
                </c:pt>
                <c:pt idx="10">
                  <c:v>1300</c:v>
                </c:pt>
                <c:pt idx="11">
                  <c:v>1650</c:v>
                </c:pt>
                <c:pt idx="12">
                  <c:v>1800</c:v>
                </c:pt>
                <c:pt idx="13">
                  <c:v>2500</c:v>
                </c:pt>
              </c:numCache>
            </c:numRef>
          </c:yVal>
          <c:smooth val="1"/>
          <c:extLst>
            <c:ext xmlns:c16="http://schemas.microsoft.com/office/drawing/2014/chart" uri="{C3380CC4-5D6E-409C-BE32-E72D297353CC}">
              <c16:uniqueId val="{00000003-577E-465E-A10B-6701BF68F58A}"/>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6599844012976859"/>
                  <c:y val="-3.3067817733163085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xVal>
          <c:yVal>
            <c:numRef>
              <c:f>'Task 1 Converted AMI PDF Stats'!$AG$113:$AG$276</c:f>
              <c:numCache>
                <c:formatCode>General</c:formatCode>
                <c:ptCount val="164"/>
                <c:pt idx="1">
                  <c:v>1000</c:v>
                </c:pt>
                <c:pt idx="16">
                  <c:v>1000</c:v>
                </c:pt>
                <c:pt idx="29">
                  <c:v>1000</c:v>
                </c:pt>
                <c:pt idx="58">
                  <c:v>300</c:v>
                </c:pt>
                <c:pt idx="67">
                  <c:v>800</c:v>
                </c:pt>
                <c:pt idx="68">
                  <c:v>550</c:v>
                </c:pt>
                <c:pt idx="72">
                  <c:v>1200</c:v>
                </c:pt>
                <c:pt idx="74">
                  <c:v>1537</c:v>
                </c:pt>
                <c:pt idx="90">
                  <c:v>2375</c:v>
                </c:pt>
                <c:pt idx="97">
                  <c:v>2400</c:v>
                </c:pt>
                <c:pt idx="99">
                  <c:v>3300</c:v>
                </c:pt>
                <c:pt idx="101">
                  <c:v>1700</c:v>
                </c:pt>
                <c:pt idx="105">
                  <c:v>800</c:v>
                </c:pt>
                <c:pt idx="106">
                  <c:v>450</c:v>
                </c:pt>
                <c:pt idx="107">
                  <c:v>2000</c:v>
                </c:pt>
                <c:pt idx="108">
                  <c:v>1100</c:v>
                </c:pt>
                <c:pt idx="109">
                  <c:v>1850</c:v>
                </c:pt>
                <c:pt idx="110">
                  <c:v>1450</c:v>
                </c:pt>
                <c:pt idx="111">
                  <c:v>1350</c:v>
                </c:pt>
                <c:pt idx="112">
                  <c:v>2000</c:v>
                </c:pt>
                <c:pt idx="114">
                  <c:v>180</c:v>
                </c:pt>
                <c:pt idx="116">
                  <c:v>2000</c:v>
                </c:pt>
                <c:pt idx="117">
                  <c:v>2000</c:v>
                </c:pt>
                <c:pt idx="119">
                  <c:v>3000</c:v>
                </c:pt>
                <c:pt idx="120">
                  <c:v>2500</c:v>
                </c:pt>
                <c:pt idx="123">
                  <c:v>2400</c:v>
                </c:pt>
                <c:pt idx="126">
                  <c:v>2500</c:v>
                </c:pt>
                <c:pt idx="132">
                  <c:v>1800</c:v>
                </c:pt>
                <c:pt idx="133">
                  <c:v>1800</c:v>
                </c:pt>
                <c:pt idx="134">
                  <c:v>4900</c:v>
                </c:pt>
                <c:pt idx="137">
                  <c:v>4500</c:v>
                </c:pt>
                <c:pt idx="138">
                  <c:v>2000</c:v>
                </c:pt>
                <c:pt idx="141">
                  <c:v>4500</c:v>
                </c:pt>
                <c:pt idx="145">
                  <c:v>2000</c:v>
                </c:pt>
                <c:pt idx="146">
                  <c:v>4200</c:v>
                </c:pt>
                <c:pt idx="150">
                  <c:v>2000</c:v>
                </c:pt>
                <c:pt idx="151">
                  <c:v>2400</c:v>
                </c:pt>
                <c:pt idx="152">
                  <c:v>2400</c:v>
                </c:pt>
                <c:pt idx="154">
                  <c:v>3000</c:v>
                </c:pt>
                <c:pt idx="156">
                  <c:v>2900</c:v>
                </c:pt>
              </c:numCache>
            </c:numRef>
          </c:yVal>
          <c:smooth val="1"/>
          <c:extLst>
            <c:ext xmlns:c16="http://schemas.microsoft.com/office/drawing/2014/chart" uri="{C3380CC4-5D6E-409C-BE32-E72D297353CC}">
              <c16:uniqueId val="{00000004-577E-465E-A10B-6701BF68F58A}"/>
            </c:ext>
          </c:extLst>
        </c:ser>
        <c:ser>
          <c:idx val="6"/>
          <c:order val="5"/>
          <c:tx>
            <c:v>FRC</c:v>
          </c:tx>
          <c:spPr>
            <a:ln w="19050">
              <a:noFill/>
            </a:ln>
          </c:spPr>
          <c:marker>
            <c:symbol val="plus"/>
            <c:size val="5"/>
            <c:spPr>
              <a:solidFill>
                <a:srgbClr val="993300"/>
              </a:solidFill>
              <a:ln>
                <a:solidFill>
                  <a:srgbClr val="FFCC99"/>
                </a:solidFill>
                <a:prstDash val="solid"/>
              </a:ln>
            </c:spPr>
          </c:marker>
          <c:xVal>
            <c:numRef>
              <c:f>'Task 1 Converted AMI PDF Stats'!$J$283</c:f>
              <c:numCache>
                <c:formatCode>0.0</c:formatCode>
                <c:ptCount val="1"/>
                <c:pt idx="0">
                  <c:v>134.1</c:v>
                </c:pt>
              </c:numCache>
            </c:numRef>
          </c:xVal>
          <c:yVal>
            <c:numRef>
              <c:f>'Task 1 Converted AMI PDF Stats'!$AG$283</c:f>
              <c:numCache>
                <c:formatCode>General</c:formatCode>
                <c:ptCount val="1"/>
                <c:pt idx="0">
                  <c:v>4238</c:v>
                </c:pt>
              </c:numCache>
            </c:numRef>
          </c:yVal>
          <c:smooth val="1"/>
          <c:extLst>
            <c:ext xmlns:c16="http://schemas.microsoft.com/office/drawing/2014/chart" uri="{C3380CC4-5D6E-409C-BE32-E72D297353CC}">
              <c16:uniqueId val="{00000005-577E-465E-A10B-6701BF68F58A}"/>
            </c:ext>
          </c:extLst>
        </c:ser>
        <c:ser>
          <c:idx val="5"/>
          <c:order val="6"/>
          <c:spPr>
            <a:ln w="19050">
              <a:noFill/>
            </a:ln>
          </c:spPr>
          <c:marker>
            <c:symbol val="circle"/>
            <c:size val="6"/>
            <c:spPr>
              <a:solidFill>
                <a:srgbClr val="993300"/>
              </a:solidFill>
              <a:ln>
                <a:solidFill>
                  <a:srgbClr val="993300"/>
                </a:solidFill>
                <a:prstDash val="solid"/>
              </a:ln>
            </c:spPr>
          </c:marker>
          <c:x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xVal>
          <c:yVal>
            <c:numRef>
              <c:f>'Task 1 Converted AMI PDF Stats'!$AG$284:$AG$294</c:f>
              <c:numCache>
                <c:formatCode>General</c:formatCode>
                <c:ptCount val="11"/>
                <c:pt idx="1">
                  <c:v>1000</c:v>
                </c:pt>
                <c:pt idx="3">
                  <c:v>3000</c:v>
                </c:pt>
                <c:pt idx="4">
                  <c:v>1000</c:v>
                </c:pt>
                <c:pt idx="5">
                  <c:v>1000</c:v>
                </c:pt>
                <c:pt idx="6">
                  <c:v>1450</c:v>
                </c:pt>
                <c:pt idx="8">
                  <c:v>2500</c:v>
                </c:pt>
              </c:numCache>
            </c:numRef>
          </c:yVal>
          <c:smooth val="1"/>
          <c:extLst>
            <c:ext xmlns:c16="http://schemas.microsoft.com/office/drawing/2014/chart" uri="{C3380CC4-5D6E-409C-BE32-E72D297353CC}">
              <c16:uniqueId val="{00000006-577E-465E-A10B-6701BF68F58A}"/>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Stats'!$J$295:$J$298</c:f>
              <c:numCache>
                <c:formatCode>0.0</c:formatCode>
                <c:ptCount val="4"/>
                <c:pt idx="0">
                  <c:v>170.60160000000002</c:v>
                </c:pt>
                <c:pt idx="1">
                  <c:v>157.47840000000002</c:v>
                </c:pt>
                <c:pt idx="2">
                  <c:v>166.66463999999999</c:v>
                </c:pt>
                <c:pt idx="3">
                  <c:v>147.636</c:v>
                </c:pt>
              </c:numCache>
            </c:numRef>
          </c:xVal>
          <c:yVal>
            <c:numRef>
              <c:f>'Task 1 Converted AMI PDF Stats'!$AG$295:$AG$298</c:f>
              <c:numCache>
                <c:formatCode>General</c:formatCode>
                <c:ptCount val="4"/>
                <c:pt idx="0">
                  <c:v>1600</c:v>
                </c:pt>
                <c:pt idx="2">
                  <c:v>500</c:v>
                </c:pt>
                <c:pt idx="3">
                  <c:v>300</c:v>
                </c:pt>
              </c:numCache>
            </c:numRef>
          </c:yVal>
          <c:smooth val="1"/>
          <c:extLst>
            <c:ext xmlns:c16="http://schemas.microsoft.com/office/drawing/2014/chart" uri="{C3380CC4-5D6E-409C-BE32-E72D297353CC}">
              <c16:uniqueId val="{00000007-577E-465E-A10B-6701BF68F58A}"/>
            </c:ext>
          </c:extLst>
        </c:ser>
        <c:dLbls>
          <c:showLegendKey val="0"/>
          <c:showVal val="0"/>
          <c:showCatName val="0"/>
          <c:showSerName val="0"/>
          <c:showPercent val="0"/>
          <c:showBubbleSize val="0"/>
        </c:dLbls>
        <c:axId val="570105672"/>
        <c:axId val="1"/>
      </c:scatterChart>
      <c:valAx>
        <c:axId val="570105672"/>
        <c:scaling>
          <c:orientation val="minMax"/>
          <c:min val="0"/>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Installed Power</a:t>
                </a:r>
              </a:p>
            </c:rich>
          </c:tx>
          <c:layout>
            <c:manualLayout>
              <c:xMode val="edge"/>
              <c:yMode val="edge"/>
              <c:x val="0.36625971143174252"/>
              <c:y val="0.94453507340946163"/>
            </c:manualLayout>
          </c:layout>
          <c:overlay val="0"/>
          <c:spPr>
            <a:noFill/>
            <a:ln w="25400">
              <a:noFill/>
            </a:ln>
          </c:spPr>
        </c:title>
        <c:numFmt formatCode="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Cruise Range (nm)</a:t>
                </a:r>
              </a:p>
            </c:rich>
          </c:tx>
          <c:layout>
            <c:manualLayout>
              <c:xMode val="edge"/>
              <c:yMode val="edge"/>
              <c:x val="1.4428412874583796E-2"/>
              <c:y val="0.38499184339314846"/>
            </c:manualLayout>
          </c:layout>
          <c:overlay val="0"/>
          <c:spPr>
            <a:noFill/>
            <a:ln w="25400">
              <a:noFill/>
            </a:ln>
          </c:spPr>
        </c:title>
        <c:numFmt formatCode="General" sourceLinked="1"/>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105672"/>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ayout>
        <c:manualLayout>
          <c:xMode val="edge"/>
          <c:yMode val="edge"/>
          <c:x val="0.76914539400665927"/>
          <c:y val="0.44861337683523655"/>
          <c:w val="0.21309655937846839"/>
          <c:h val="0.4453507340946166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Depth vs Beam</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Data'!$K$2:$K$15</c:f>
              <c:numCache>
                <c:formatCode>0.00</c:formatCode>
                <c:ptCount val="14"/>
                <c:pt idx="0">
                  <c:v>4.2672518897829796</c:v>
                </c:pt>
                <c:pt idx="1">
                  <c:v>6.9088840120295902</c:v>
                </c:pt>
                <c:pt idx="2">
                  <c:v>7.6200926603267503</c:v>
                </c:pt>
                <c:pt idx="3" formatCode="0.0">
                  <c:v>8.7478663740551106</c:v>
                </c:pt>
                <c:pt idx="5">
                  <c:v>7.7724945135332799</c:v>
                </c:pt>
                <c:pt idx="6">
                  <c:v>7.6200926603267503</c:v>
                </c:pt>
                <c:pt idx="7">
                  <c:v>8.5000777249451307</c:v>
                </c:pt>
                <c:pt idx="8">
                  <c:v>7.9248963667398202</c:v>
                </c:pt>
                <c:pt idx="9">
                  <c:v>8.1992197025115807</c:v>
                </c:pt>
                <c:pt idx="10">
                  <c:v>7.9248963667398202</c:v>
                </c:pt>
                <c:pt idx="11">
                  <c:v>7.9248963667398202</c:v>
                </c:pt>
                <c:pt idx="12">
                  <c:v>8.0772982199463499</c:v>
                </c:pt>
                <c:pt idx="13" formatCode="0.0">
                  <c:v>7.1933674713484503</c:v>
                </c:pt>
              </c:numCache>
            </c:numRef>
          </c:xVal>
          <c:yVal>
            <c:numRef>
              <c:f>'Comp Data'!$N$2:$N$15</c:f>
              <c:numCache>
                <c:formatCode>0.00</c:formatCode>
                <c:ptCount val="14"/>
                <c:pt idx="0">
                  <c:v>2.5512070226773953</c:v>
                </c:pt>
                <c:pt idx="1">
                  <c:v>4.1402503454442003</c:v>
                </c:pt>
                <c:pt idx="2">
                  <c:v>4.8768593026091196</c:v>
                </c:pt>
                <c:pt idx="3">
                  <c:v>4.9784605380801397</c:v>
                </c:pt>
                <c:pt idx="5">
                  <c:v>4.8768593026091196</c:v>
                </c:pt>
                <c:pt idx="6">
                  <c:v>4.5720555961960496</c:v>
                </c:pt>
                <c:pt idx="7">
                  <c:v>5.7900529444037998</c:v>
                </c:pt>
                <c:pt idx="8">
                  <c:v>4.8768593026091196</c:v>
                </c:pt>
                <c:pt idx="9">
                  <c:v>4.2159108399439003</c:v>
                </c:pt>
                <c:pt idx="10">
                  <c:v>4.8768593026091196</c:v>
                </c:pt>
                <c:pt idx="11">
                  <c:v>4.8768593026091196</c:v>
                </c:pt>
                <c:pt idx="12">
                  <c:v>4.8768593026091196</c:v>
                </c:pt>
                <c:pt idx="13">
                  <c:v>5.2511582540843698</c:v>
                </c:pt>
              </c:numCache>
            </c:numRef>
          </c:yVal>
          <c:smooth val="0"/>
          <c:extLst>
            <c:ext xmlns:c16="http://schemas.microsoft.com/office/drawing/2014/chart" uri="{C3380CC4-5D6E-409C-BE32-E72D297353CC}">
              <c16:uniqueId val="{00000000-20FA-4E89-99DD-599755C79051}"/>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Data'!$K$17:$K$29</c:f>
              <c:numCache>
                <c:formatCode>General</c:formatCode>
                <c:ptCount val="13"/>
                <c:pt idx="0">
                  <c:v>10.89</c:v>
                </c:pt>
                <c:pt idx="1">
                  <c:v>10</c:v>
                </c:pt>
                <c:pt idx="2">
                  <c:v>10.6</c:v>
                </c:pt>
                <c:pt idx="3">
                  <c:v>11.5</c:v>
                </c:pt>
                <c:pt idx="4" formatCode="0.00">
                  <c:v>11.5</c:v>
                </c:pt>
                <c:pt idx="5" formatCode="0.00">
                  <c:v>11.6</c:v>
                </c:pt>
                <c:pt idx="6">
                  <c:v>13.1</c:v>
                </c:pt>
                <c:pt idx="7" formatCode="0.00">
                  <c:v>6.6447207998049302</c:v>
                </c:pt>
                <c:pt idx="8" formatCode="0.00">
                  <c:v>6.9708607656669104</c:v>
                </c:pt>
                <c:pt idx="9" formatCode="0.00">
                  <c:v>7.4372104364789102</c:v>
                </c:pt>
                <c:pt idx="10" formatCode="0.00">
                  <c:v>9.7537186052182392</c:v>
                </c:pt>
                <c:pt idx="11" formatCode="0.00">
                  <c:v>6.0960741282614004</c:v>
                </c:pt>
                <c:pt idx="12" formatCode="0.00">
                  <c:v>14.5861273673088</c:v>
                </c:pt>
              </c:numCache>
            </c:numRef>
          </c:xVal>
          <c:yVal>
            <c:numRef>
              <c:f>'Comp Data'!$N$17:$N$29</c:f>
              <c:numCache>
                <c:formatCode>General</c:formatCode>
                <c:ptCount val="13"/>
                <c:pt idx="0">
                  <c:v>6.81</c:v>
                </c:pt>
                <c:pt idx="1">
                  <c:v>5.5</c:v>
                </c:pt>
                <c:pt idx="2">
                  <c:v>5.5</c:v>
                </c:pt>
                <c:pt idx="3">
                  <c:v>7.3</c:v>
                </c:pt>
                <c:pt idx="4" formatCode="0.00">
                  <c:v>9.5</c:v>
                </c:pt>
                <c:pt idx="5" formatCode="0.00">
                  <c:v>9.5</c:v>
                </c:pt>
                <c:pt idx="6">
                  <c:v>8.25</c:v>
                </c:pt>
                <c:pt idx="7" formatCode="0.00">
                  <c:v>3.5265788831992202</c:v>
                </c:pt>
                <c:pt idx="8" formatCode="0.00">
                  <c:v>5.7485979029505003</c:v>
                </c:pt>
                <c:pt idx="9" formatCode="0.00">
                  <c:v>3.9411119239209902</c:v>
                </c:pt>
                <c:pt idx="10" formatCode="0.00">
                  <c:v>6.0198732016581298</c:v>
                </c:pt>
                <c:pt idx="11" formatCode="0.00">
                  <c:v>3.6576444769568401</c:v>
                </c:pt>
                <c:pt idx="12" formatCode="0.00">
                  <c:v>8.7631065593757604</c:v>
                </c:pt>
              </c:numCache>
            </c:numRef>
          </c:yVal>
          <c:smooth val="0"/>
          <c:extLst>
            <c:ext xmlns:c16="http://schemas.microsoft.com/office/drawing/2014/chart" uri="{C3380CC4-5D6E-409C-BE32-E72D297353CC}">
              <c16:uniqueId val="{00000001-20FA-4E89-99DD-599755C79051}"/>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Data'!$K$31:$K$38</c:f>
              <c:numCache>
                <c:formatCode>General</c:formatCode>
                <c:ptCount val="8"/>
                <c:pt idx="0">
                  <c:v>8.6</c:v>
                </c:pt>
                <c:pt idx="1">
                  <c:v>9.6</c:v>
                </c:pt>
                <c:pt idx="2">
                  <c:v>8.9</c:v>
                </c:pt>
                <c:pt idx="3">
                  <c:v>9</c:v>
                </c:pt>
                <c:pt idx="4">
                  <c:v>8.9</c:v>
                </c:pt>
                <c:pt idx="5">
                  <c:v>10.5</c:v>
                </c:pt>
                <c:pt idx="6">
                  <c:v>10</c:v>
                </c:pt>
                <c:pt idx="7">
                  <c:v>11.9</c:v>
                </c:pt>
              </c:numCache>
            </c:numRef>
          </c:xVal>
          <c:yVal>
            <c:numRef>
              <c:f>'Comp Data'!$N$31:$N$38</c:f>
              <c:numCache>
                <c:formatCode>General</c:formatCode>
                <c:ptCount val="8"/>
                <c:pt idx="0">
                  <c:v>4.8</c:v>
                </c:pt>
                <c:pt idx="1">
                  <c:v>7.3</c:v>
                </c:pt>
                <c:pt idx="2">
                  <c:v>7.2</c:v>
                </c:pt>
                <c:pt idx="3">
                  <c:v>5.5</c:v>
                </c:pt>
                <c:pt idx="4">
                  <c:v>4.8</c:v>
                </c:pt>
                <c:pt idx="5">
                  <c:v>7.6</c:v>
                </c:pt>
                <c:pt idx="6">
                  <c:v>7.4</c:v>
                </c:pt>
                <c:pt idx="7">
                  <c:v>7.5</c:v>
                </c:pt>
              </c:numCache>
            </c:numRef>
          </c:yVal>
          <c:smooth val="0"/>
          <c:extLst>
            <c:ext xmlns:c16="http://schemas.microsoft.com/office/drawing/2014/chart" uri="{C3380CC4-5D6E-409C-BE32-E72D297353CC}">
              <c16:uniqueId val="{00000002-20FA-4E89-99DD-599755C79051}"/>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65000"/>
                  </a:schemeClr>
                </a:solidFill>
              </a:ln>
              <a:effectLst/>
            </c:spPr>
          </c:marker>
          <c:xVal>
            <c:numRef>
              <c:f>'Comp Data'!$K$40:$K$51</c:f>
              <c:numCache>
                <c:formatCode>0.00</c:formatCode>
                <c:ptCount val="12"/>
                <c:pt idx="0">
                  <c:v>9.4489148988051692</c:v>
                </c:pt>
                <c:pt idx="1">
                  <c:v>9.7537186052182392</c:v>
                </c:pt>
                <c:pt idx="2">
                  <c:v>8.3821019263594199</c:v>
                </c:pt>
                <c:pt idx="3">
                  <c:v>9.4611070470616898</c:v>
                </c:pt>
                <c:pt idx="4">
                  <c:v>10.210924164837801</c:v>
                </c:pt>
                <c:pt idx="5">
                  <c:v>10.515727871250901</c:v>
                </c:pt>
                <c:pt idx="6">
                  <c:v>11.1497195805901</c:v>
                </c:pt>
                <c:pt idx="7">
                  <c:v>10.3938063886857</c:v>
                </c:pt>
                <c:pt idx="8">
                  <c:v>10.3938063886857</c:v>
                </c:pt>
                <c:pt idx="9" formatCode="General">
                  <c:v>9.73</c:v>
                </c:pt>
                <c:pt idx="11">
                  <c:v>13.75</c:v>
                </c:pt>
              </c:numCache>
            </c:numRef>
          </c:xVal>
          <c:yVal>
            <c:numRef>
              <c:f>'Comp Data'!$N$40:$N$51</c:f>
              <c:numCache>
                <c:formatCode>0.00</c:formatCode>
                <c:ptCount val="12"/>
                <c:pt idx="0">
                  <c:v>6.4862228724701296</c:v>
                </c:pt>
                <c:pt idx="1">
                  <c:v>6.4862228724701296</c:v>
                </c:pt>
                <c:pt idx="2">
                  <c:v>5.9436722750548601</c:v>
                </c:pt>
                <c:pt idx="3">
                  <c:v>6.0869300170690099</c:v>
                </c:pt>
                <c:pt idx="4">
                  <c:v>6.0198732016581298</c:v>
                </c:pt>
                <c:pt idx="5">
                  <c:v>6.0198732016581298</c:v>
                </c:pt>
                <c:pt idx="6">
                  <c:v>6.25152401853207</c:v>
                </c:pt>
                <c:pt idx="7">
                  <c:v>6.8916118019995096</c:v>
                </c:pt>
                <c:pt idx="8">
                  <c:v>6.8916118019995096</c:v>
                </c:pt>
                <c:pt idx="9" formatCode="General">
                  <c:v>5.6</c:v>
                </c:pt>
                <c:pt idx="10">
                  <c:v>6.4923189465983899</c:v>
                </c:pt>
                <c:pt idx="11">
                  <c:v>8.5</c:v>
                </c:pt>
              </c:numCache>
            </c:numRef>
          </c:yVal>
          <c:smooth val="0"/>
          <c:extLst>
            <c:ext xmlns:c16="http://schemas.microsoft.com/office/drawing/2014/chart" uri="{C3380CC4-5D6E-409C-BE32-E72D297353CC}">
              <c16:uniqueId val="{00000003-20FA-4E89-99DD-599755C79051}"/>
            </c:ext>
          </c:extLst>
        </c:ser>
        <c:ser>
          <c:idx val="4"/>
          <c:order val="4"/>
          <c:tx>
            <c:v>Design</c:v>
          </c:tx>
          <c:spPr>
            <a:ln w="19050" cap="rnd">
              <a:noFill/>
              <a:round/>
            </a:ln>
            <a:effectLst/>
          </c:spPr>
          <c:marker>
            <c:symbol val="plus"/>
            <c:size val="13"/>
            <c:spPr>
              <a:noFill/>
              <a:ln w="38100" cmpd="sng">
                <a:solidFill>
                  <a:srgbClr val="00B050"/>
                </a:solidFill>
                <a:prstDash val="solid"/>
              </a:ln>
              <a:effectLst/>
            </c:spPr>
          </c:marker>
          <c:xVal>
            <c:numRef>
              <c:f>Inputs!$C$7</c:f>
              <c:numCache>
                <c:formatCode>General</c:formatCode>
                <c:ptCount val="1"/>
                <c:pt idx="0">
                  <c:v>14.01</c:v>
                </c:pt>
              </c:numCache>
            </c:numRef>
          </c:xVal>
          <c:yVal>
            <c:numRef>
              <c:f>Inputs!$C$8</c:f>
              <c:numCache>
                <c:formatCode>General</c:formatCode>
                <c:ptCount val="1"/>
                <c:pt idx="0">
                  <c:v>9.7899999999999991</c:v>
                </c:pt>
              </c:numCache>
            </c:numRef>
          </c:yVal>
          <c:smooth val="0"/>
          <c:extLst>
            <c:ext xmlns:c16="http://schemas.microsoft.com/office/drawing/2014/chart" uri="{C3380CC4-5D6E-409C-BE32-E72D297353CC}">
              <c16:uniqueId val="{00000004-20FA-4E89-99DD-599755C79051}"/>
            </c:ext>
          </c:extLst>
        </c:ser>
        <c:ser>
          <c:idx val="5"/>
          <c:order val="5"/>
          <c:tx>
            <c:v>G&amp;C Data</c:v>
          </c:tx>
          <c:spPr>
            <a:ln w="25400" cap="rnd">
              <a:noFill/>
              <a:round/>
            </a:ln>
            <a:effectLst/>
          </c:spPr>
          <c:marker>
            <c:symbol val="diamond"/>
            <c:size val="6"/>
            <c:spPr>
              <a:solidFill>
                <a:schemeClr val="bg1"/>
              </a:solidFill>
              <a:ln w="15875">
                <a:solidFill>
                  <a:schemeClr val="tx1"/>
                </a:solidFill>
              </a:ln>
              <a:effectLst/>
            </c:spPr>
          </c:marker>
          <c:xVal>
            <c:numRef>
              <c:f>Sheet3!$B$3:$Q$3</c:f>
              <c:numCache>
                <c:formatCode>0.00_)</c:formatCode>
                <c:ptCount val="16"/>
                <c:pt idx="0" formatCode="0.00">
                  <c:v>8.3821019263594234</c:v>
                </c:pt>
                <c:pt idx="1">
                  <c:v>9.4489148988051692</c:v>
                </c:pt>
                <c:pt idx="2" formatCode="0.00">
                  <c:v>10.3938063886857</c:v>
                </c:pt>
                <c:pt idx="3" formatCode="0.00">
                  <c:v>10.3938063886857</c:v>
                </c:pt>
                <c:pt idx="4">
                  <c:v>9.7537186052182392</c:v>
                </c:pt>
                <c:pt idx="5">
                  <c:v>11.1497195805901</c:v>
                </c:pt>
                <c:pt idx="6" formatCode="0.00">
                  <c:v>9.7537186052182392</c:v>
                </c:pt>
                <c:pt idx="7">
                  <c:v>10.210924164837801</c:v>
                </c:pt>
                <c:pt idx="8">
                  <c:v>10.515727871250901</c:v>
                </c:pt>
                <c:pt idx="9">
                  <c:v>8.5000777249451307</c:v>
                </c:pt>
                <c:pt idx="10" formatCode="0.00">
                  <c:v>9.4611070470616898</c:v>
                </c:pt>
                <c:pt idx="11">
                  <c:v>11.7959034381858</c:v>
                </c:pt>
                <c:pt idx="12">
                  <c:v>13.7771275298708</c:v>
                </c:pt>
                <c:pt idx="13">
                  <c:v>16.8</c:v>
                </c:pt>
                <c:pt idx="14">
                  <c:v>17.98</c:v>
                </c:pt>
                <c:pt idx="15">
                  <c:v>14.9658619848817</c:v>
                </c:pt>
              </c:numCache>
            </c:numRef>
          </c:xVal>
          <c:yVal>
            <c:numRef>
              <c:f>Sheet3!$B$5:$Q$5</c:f>
              <c:numCache>
                <c:formatCode>0.00</c:formatCode>
                <c:ptCount val="16"/>
                <c:pt idx="0">
                  <c:v>4.3736156831667099</c:v>
                </c:pt>
                <c:pt idx="1">
                  <c:v>6.4862228724701296</c:v>
                </c:pt>
                <c:pt idx="2">
                  <c:v>6.8916118019995096</c:v>
                </c:pt>
                <c:pt idx="3">
                  <c:v>6.8916118019995096</c:v>
                </c:pt>
                <c:pt idx="4">
                  <c:v>6.4862228724701296</c:v>
                </c:pt>
                <c:pt idx="5">
                  <c:v>6.25152401853207</c:v>
                </c:pt>
                <c:pt idx="6">
                  <c:v>6.0198732016581298</c:v>
                </c:pt>
                <c:pt idx="7">
                  <c:v>6.0198732016581298</c:v>
                </c:pt>
                <c:pt idx="8">
                  <c:v>6.0198732016581298</c:v>
                </c:pt>
                <c:pt idx="9">
                  <c:v>5.7900529444037998</c:v>
                </c:pt>
                <c:pt idx="10">
                  <c:v>6.0869300170690099</c:v>
                </c:pt>
                <c:pt idx="11">
                  <c:v>8.9002682272616394</c:v>
                </c:pt>
                <c:pt idx="12">
                  <c:v>9.1441111923920992</c:v>
                </c:pt>
                <c:pt idx="13">
                  <c:v>9.8000000000000007</c:v>
                </c:pt>
                <c:pt idx="14" formatCode="0.00_)">
                  <c:v>12.75</c:v>
                </c:pt>
                <c:pt idx="15">
                  <c:v>9.2965130455986298</c:v>
                </c:pt>
              </c:numCache>
            </c:numRef>
          </c:yVal>
          <c:smooth val="0"/>
          <c:extLst>
            <c:ext xmlns:c16="http://schemas.microsoft.com/office/drawing/2014/chart" uri="{C3380CC4-5D6E-409C-BE32-E72D297353CC}">
              <c16:uniqueId val="{00000005-20FA-4E89-99DD-599755C79051}"/>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r>
                  <a:rPr lang="en-US"/>
                  <a:t>Beam (m)</a:t>
                </a:r>
              </a:p>
            </c:rich>
          </c:tx>
          <c:overlay val="0"/>
          <c:spPr>
            <a:noFill/>
            <a:ln>
              <a:noFill/>
            </a:ln>
            <a:effectLst/>
          </c:spPr>
          <c:txPr>
            <a:bodyPr rot="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alpha val="98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r>
                  <a:rPr lang="en-US"/>
                  <a:t>Depth (m)</a:t>
                </a:r>
              </a:p>
            </c:rich>
          </c:tx>
          <c:overlay val="0"/>
          <c:spPr>
            <a:noFill/>
            <a:ln>
              <a:noFill/>
            </a:ln>
            <a:effectLst/>
          </c:spPr>
          <c:txPr>
            <a:bodyPr rot="-5400000" spcFirstLastPara="0" vertOverflow="ellipsis" vert="horz" wrap="square" anchor="ctr" anchorCtr="1"/>
            <a:lstStyle/>
            <a:p>
              <a:pPr defTabSz="914400">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9050">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Displacement vs Length</a:t>
            </a:r>
          </a:p>
        </c:rich>
      </c:tx>
      <c:layout>
        <c:manualLayout>
          <c:xMode val="edge"/>
          <c:yMode val="edge"/>
          <c:x val="0.39400665926748057"/>
          <c:y val="1.9575856443719411E-2"/>
        </c:manualLayout>
      </c:layout>
      <c:overlay val="0"/>
      <c:spPr>
        <a:noFill/>
        <a:ln w="25400">
          <a:noFill/>
        </a:ln>
      </c:spPr>
    </c:title>
    <c:autoTitleDeleted val="0"/>
    <c:plotArea>
      <c:layout>
        <c:manualLayout>
          <c:layoutTarget val="inner"/>
          <c:xMode val="edge"/>
          <c:yMode val="edge"/>
          <c:x val="7.5471698113207544E-2"/>
          <c:y val="7.01468189233279E-2"/>
          <c:w val="0.68368479467258603"/>
          <c:h val="0.82218597063621535"/>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109188970671565"/>
                  <c:y val="0.3027410678305578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Stats'!$J$5:$J$276</c:f>
              <c:numCache>
                <c:formatCode>0.0</c:formatCode>
                <c:ptCount val="272"/>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xVal>
          <c:y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yVal>
          <c:smooth val="1"/>
          <c:extLst>
            <c:ext xmlns:c16="http://schemas.microsoft.com/office/drawing/2014/chart" uri="{C3380CC4-5D6E-409C-BE32-E72D297353CC}">
              <c16:uniqueId val="{00000000-B87E-40E2-ACF9-D0FD76212373}"/>
            </c:ext>
          </c:extLst>
        </c:ser>
        <c:ser>
          <c:idx val="4"/>
          <c:order val="1"/>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092395375355367"/>
                  <c:y val="0.22280632068537021"/>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xVal>
          <c:y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yVal>
          <c:smooth val="1"/>
          <c:extLst>
            <c:ext xmlns:c16="http://schemas.microsoft.com/office/drawing/2014/chart" uri="{C3380CC4-5D6E-409C-BE32-E72D297353CC}">
              <c16:uniqueId val="{00000001-B87E-40E2-ACF9-D0FD76212373}"/>
            </c:ext>
          </c:extLst>
        </c:ser>
        <c:ser>
          <c:idx val="3"/>
          <c:order val="2"/>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18184387600863128"/>
                  <c:y val="7.6896199482688027E-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xVal>
          <c:y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yVal>
          <c:smooth val="1"/>
          <c:extLst>
            <c:ext xmlns:c16="http://schemas.microsoft.com/office/drawing/2014/chart" uri="{C3380CC4-5D6E-409C-BE32-E72D297353CC}">
              <c16:uniqueId val="{00000002-B87E-40E2-ACF9-D0FD76212373}"/>
            </c:ext>
          </c:extLst>
        </c:ser>
        <c:ser>
          <c:idx val="2"/>
          <c:order val="3"/>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264313218980728"/>
                  <c:y val="-8.2424883060580045E-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xVal>
          <c:y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yVal>
          <c:smooth val="1"/>
          <c:extLst>
            <c:ext xmlns:c16="http://schemas.microsoft.com/office/drawing/2014/chart" uri="{C3380CC4-5D6E-409C-BE32-E72D297353CC}">
              <c16:uniqueId val="{00000003-B87E-40E2-ACF9-D0FD76212373}"/>
            </c:ext>
          </c:extLst>
        </c:ser>
        <c:ser>
          <c:idx val="1"/>
          <c:order val="4"/>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331487593849797"/>
                  <c:y val="3.846700584034575E-2"/>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xVal>
          <c:y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yVal>
          <c:smooth val="1"/>
          <c:extLst>
            <c:ext xmlns:c16="http://schemas.microsoft.com/office/drawing/2014/chart" uri="{C3380CC4-5D6E-409C-BE32-E72D297353CC}">
              <c16:uniqueId val="{00000004-B87E-40E2-ACF9-D0FD76212373}"/>
            </c:ext>
          </c:extLst>
        </c:ser>
        <c:ser>
          <c:idx val="5"/>
          <c:order val="5"/>
          <c:tx>
            <c:v>FRC</c:v>
          </c:tx>
          <c:spPr>
            <a:ln w="19050">
              <a:noFill/>
            </a:ln>
          </c:spPr>
          <c:marker>
            <c:symbol val="plus"/>
            <c:size val="5"/>
            <c:spPr>
              <a:solidFill>
                <a:srgbClr val="993300"/>
              </a:solidFill>
              <a:ln>
                <a:solidFill>
                  <a:srgbClr val="FFCC99"/>
                </a:solidFill>
                <a:prstDash val="solid"/>
              </a:ln>
            </c:spPr>
          </c:marker>
          <c:xVal>
            <c:numRef>
              <c:f>'Task 1 Converted AMI PDF Stats'!$J$283</c:f>
              <c:numCache>
                <c:formatCode>0.0</c:formatCode>
                <c:ptCount val="1"/>
                <c:pt idx="0">
                  <c:v>134.1</c:v>
                </c:pt>
              </c:numCache>
            </c:numRef>
          </c:xVal>
          <c:yVal>
            <c:numRef>
              <c:f>'Task 1 Converted AMI PDF Stats'!$I$283</c:f>
              <c:numCache>
                <c:formatCode>0</c:formatCode>
                <c:ptCount val="1"/>
                <c:pt idx="0">
                  <c:v>325</c:v>
                </c:pt>
              </c:numCache>
            </c:numRef>
          </c:yVal>
          <c:smooth val="1"/>
          <c:extLst>
            <c:ext xmlns:c16="http://schemas.microsoft.com/office/drawing/2014/chart" uri="{C3380CC4-5D6E-409C-BE32-E72D297353CC}">
              <c16:uniqueId val="{00000005-B87E-40E2-ACF9-D0FD76212373}"/>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xVal>
          <c:yVal>
            <c:numRef>
              <c:f>'Task 1 Converted AMI PDF Stats'!$I$284:$I$294</c:f>
              <c:numCache>
                <c:formatCode>0</c:formatCode>
                <c:ptCount val="11"/>
                <c:pt idx="3">
                  <c:v>265.73303571428573</c:v>
                </c:pt>
                <c:pt idx="6">
                  <c:v>245</c:v>
                </c:pt>
                <c:pt idx="7">
                  <c:v>279</c:v>
                </c:pt>
                <c:pt idx="8">
                  <c:v>334</c:v>
                </c:pt>
                <c:pt idx="9">
                  <c:v>168</c:v>
                </c:pt>
                <c:pt idx="10">
                  <c:v>180</c:v>
                </c:pt>
              </c:numCache>
            </c:numRef>
          </c:yVal>
          <c:smooth val="1"/>
          <c:extLst>
            <c:ext xmlns:c16="http://schemas.microsoft.com/office/drawing/2014/chart" uri="{C3380CC4-5D6E-409C-BE32-E72D297353CC}">
              <c16:uniqueId val="{00000006-B87E-40E2-ACF9-D0FD76212373}"/>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Stats'!$J$295:$J$298</c:f>
              <c:numCache>
                <c:formatCode>0.0</c:formatCode>
                <c:ptCount val="4"/>
                <c:pt idx="0">
                  <c:v>170.60160000000002</c:v>
                </c:pt>
                <c:pt idx="1">
                  <c:v>157.47840000000002</c:v>
                </c:pt>
                <c:pt idx="2">
                  <c:v>166.66463999999999</c:v>
                </c:pt>
                <c:pt idx="3">
                  <c:v>147.636</c:v>
                </c:pt>
              </c:numCache>
            </c:numRef>
          </c:xVal>
          <c:yVal>
            <c:numRef>
              <c:f>'Task 1 Converted AMI PDF Stats'!$I$295:$I$298</c:f>
              <c:numCache>
                <c:formatCode>0</c:formatCode>
                <c:ptCount val="4"/>
                <c:pt idx="0">
                  <c:v>307</c:v>
                </c:pt>
                <c:pt idx="1">
                  <c:v>248</c:v>
                </c:pt>
                <c:pt idx="2">
                  <c:v>270</c:v>
                </c:pt>
                <c:pt idx="3">
                  <c:v>300</c:v>
                </c:pt>
              </c:numCache>
            </c:numRef>
          </c:yVal>
          <c:smooth val="1"/>
          <c:extLst>
            <c:ext xmlns:c16="http://schemas.microsoft.com/office/drawing/2014/chart" uri="{C3380CC4-5D6E-409C-BE32-E72D297353CC}">
              <c16:uniqueId val="{00000007-B87E-40E2-ACF9-D0FD76212373}"/>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Stats'!$J$299:$J$300</c:f>
              <c:numCache>
                <c:formatCode>0.0</c:formatCode>
                <c:ptCount val="2"/>
                <c:pt idx="0">
                  <c:v>147.30792</c:v>
                </c:pt>
              </c:numCache>
            </c:numRef>
          </c:xVal>
          <c:yVal>
            <c:numRef>
              <c:f>'Task 1 Converted AMI PDF Stats'!$I$299:$I$300</c:f>
              <c:numCache>
                <c:formatCode>0</c:formatCode>
                <c:ptCount val="2"/>
                <c:pt idx="0">
                  <c:v>260</c:v>
                </c:pt>
              </c:numCache>
            </c:numRef>
          </c:yVal>
          <c:smooth val="1"/>
          <c:extLst>
            <c:ext xmlns:c16="http://schemas.microsoft.com/office/drawing/2014/chart" uri="{C3380CC4-5D6E-409C-BE32-E72D297353CC}">
              <c16:uniqueId val="{00000008-B87E-40E2-ACF9-D0FD76212373}"/>
            </c:ext>
          </c:extLst>
        </c:ser>
        <c:dLbls>
          <c:showLegendKey val="0"/>
          <c:showVal val="0"/>
          <c:showCatName val="0"/>
          <c:showSerName val="0"/>
          <c:showPercent val="0"/>
          <c:showBubbleSize val="0"/>
        </c:dLbls>
        <c:axId val="570090584"/>
        <c:axId val="1"/>
      </c:scatterChart>
      <c:valAx>
        <c:axId val="570090584"/>
        <c:scaling>
          <c:orientation val="minMax"/>
          <c:max val="220"/>
          <c:min val="6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 (ft)</a:t>
                </a:r>
              </a:p>
            </c:rich>
          </c:tx>
          <c:layout>
            <c:manualLayout>
              <c:xMode val="edge"/>
              <c:yMode val="edge"/>
              <c:x val="0.3995560488346282"/>
              <c:y val="0.94290375203915167"/>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majorUnit val="20"/>
      </c:valAx>
      <c:valAx>
        <c:axId val="1"/>
        <c:scaling>
          <c:orientation val="minMax"/>
          <c:max val="600"/>
          <c:min val="0"/>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Dsipl (LT)</a:t>
                </a:r>
              </a:p>
            </c:rich>
          </c:tx>
          <c:layout>
            <c:manualLayout>
              <c:xMode val="edge"/>
              <c:yMode val="edge"/>
              <c:x val="1.3318534961154272E-2"/>
              <c:y val="0.43066884176182707"/>
            </c:manualLayout>
          </c:layout>
          <c:overlay val="0"/>
          <c:spPr>
            <a:noFill/>
            <a:ln w="25400">
              <a:noFill/>
            </a:ln>
          </c:spPr>
        </c:title>
        <c:numFmt formatCode="0"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9058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914539400665927"/>
          <c:y val="0.48450244698205547"/>
          <c:w val="0.22530521642619306"/>
          <c:h val="0.4257748776508972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vs Length</a:t>
            </a:r>
          </a:p>
        </c:rich>
      </c:tx>
      <c:layout>
        <c:manualLayout>
          <c:xMode val="edge"/>
          <c:yMode val="edge"/>
          <c:x val="0.42508324084350724"/>
          <c:y val="1.9575856443719411E-2"/>
        </c:manualLayout>
      </c:layout>
      <c:overlay val="0"/>
      <c:spPr>
        <a:noFill/>
        <a:ln w="25400">
          <a:noFill/>
        </a:ln>
      </c:spPr>
    </c:title>
    <c:autoTitleDeleted val="0"/>
    <c:plotArea>
      <c:layout>
        <c:manualLayout>
          <c:layoutTarget val="inner"/>
          <c:xMode val="edge"/>
          <c:yMode val="edge"/>
          <c:x val="8.990011098779134E-2"/>
          <c:y val="7.01468189233279E-2"/>
          <c:w val="0.66703662597114322"/>
          <c:h val="0.82218597063621535"/>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246633227817056"/>
                  <c:y val="-2.1884864244351987E-3"/>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Stats'!$J$5:$J$276</c:f>
              <c:numCache>
                <c:formatCode>0.0</c:formatCode>
                <c:ptCount val="272"/>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xVal>
          <c:yVal>
            <c:numRef>
              <c:f>'Task 1 Converted AMI PDF Stats'!$U$5:$U$276</c:f>
              <c:numCache>
                <c:formatCode>_(* #,##0_);_(* \(#,##0\);_(* "-"??_);_(@_)</c:formatCode>
                <c:ptCount val="272"/>
                <c:pt idx="0">
                  <c:v>15998.390773769612</c:v>
                </c:pt>
                <c:pt idx="2">
                  <c:v>12337.401099637924</c:v>
                </c:pt>
                <c:pt idx="3">
                  <c:v>8582.539895400294</c:v>
                </c:pt>
                <c:pt idx="4">
                  <c:v>16184</c:v>
                </c:pt>
                <c:pt idx="6">
                  <c:v>12605.605471369183</c:v>
                </c:pt>
                <c:pt idx="7">
                  <c:v>14751.240445219257</c:v>
                </c:pt>
                <c:pt idx="8">
                  <c:v>16200</c:v>
                </c:pt>
                <c:pt idx="9">
                  <c:v>3046</c:v>
                </c:pt>
                <c:pt idx="10">
                  <c:v>4800</c:v>
                </c:pt>
                <c:pt idx="11">
                  <c:v>4800</c:v>
                </c:pt>
                <c:pt idx="12">
                  <c:v>5000</c:v>
                </c:pt>
                <c:pt idx="13">
                  <c:v>6000</c:v>
                </c:pt>
                <c:pt idx="14">
                  <c:v>5800</c:v>
                </c:pt>
                <c:pt idx="15">
                  <c:v>4220</c:v>
                </c:pt>
                <c:pt idx="16">
                  <c:v>2400</c:v>
                </c:pt>
                <c:pt idx="17">
                  <c:v>4400</c:v>
                </c:pt>
                <c:pt idx="18">
                  <c:v>4800</c:v>
                </c:pt>
                <c:pt idx="19">
                  <c:v>5292</c:v>
                </c:pt>
                <c:pt idx="20">
                  <c:v>4500</c:v>
                </c:pt>
                <c:pt idx="21">
                  <c:v>6000</c:v>
                </c:pt>
                <c:pt idx="22">
                  <c:v>4800</c:v>
                </c:pt>
                <c:pt idx="23">
                  <c:v>6820</c:v>
                </c:pt>
                <c:pt idx="24">
                  <c:v>5400</c:v>
                </c:pt>
                <c:pt idx="25">
                  <c:v>6000</c:v>
                </c:pt>
                <c:pt idx="26">
                  <c:v>8025</c:v>
                </c:pt>
                <c:pt idx="27">
                  <c:v>12280</c:v>
                </c:pt>
                <c:pt idx="28">
                  <c:v>5984</c:v>
                </c:pt>
                <c:pt idx="29">
                  <c:v>12000</c:v>
                </c:pt>
                <c:pt idx="30">
                  <c:v>12000</c:v>
                </c:pt>
                <c:pt idx="31">
                  <c:v>12000</c:v>
                </c:pt>
                <c:pt idx="32">
                  <c:v>12000</c:v>
                </c:pt>
                <c:pt idx="33">
                  <c:v>12000</c:v>
                </c:pt>
                <c:pt idx="34">
                  <c:v>12000</c:v>
                </c:pt>
                <c:pt idx="35">
                  <c:v>8025</c:v>
                </c:pt>
                <c:pt idx="36">
                  <c:v>7680</c:v>
                </c:pt>
                <c:pt idx="37">
                  <c:v>12000</c:v>
                </c:pt>
                <c:pt idx="38">
                  <c:v>8025</c:v>
                </c:pt>
                <c:pt idx="39">
                  <c:v>4800</c:v>
                </c:pt>
                <c:pt idx="40">
                  <c:v>8025</c:v>
                </c:pt>
                <c:pt idx="41">
                  <c:v>1450</c:v>
                </c:pt>
                <c:pt idx="42">
                  <c:v>9180</c:v>
                </c:pt>
                <c:pt idx="43">
                  <c:v>9000</c:v>
                </c:pt>
                <c:pt idx="44">
                  <c:v>13300</c:v>
                </c:pt>
                <c:pt idx="45">
                  <c:v>14100</c:v>
                </c:pt>
                <c:pt idx="46">
                  <c:v>13640</c:v>
                </c:pt>
                <c:pt idx="47">
                  <c:v>12000</c:v>
                </c:pt>
                <c:pt idx="48">
                  <c:v>13600</c:v>
                </c:pt>
                <c:pt idx="49">
                  <c:v>13640</c:v>
                </c:pt>
                <c:pt idx="50">
                  <c:v>13640</c:v>
                </c:pt>
                <c:pt idx="51">
                  <c:v>13640</c:v>
                </c:pt>
                <c:pt idx="52">
                  <c:v>14400</c:v>
                </c:pt>
                <c:pt idx="53">
                  <c:v>9370</c:v>
                </c:pt>
                <c:pt idx="54">
                  <c:v>9370</c:v>
                </c:pt>
                <c:pt idx="55">
                  <c:v>14000</c:v>
                </c:pt>
                <c:pt idx="56">
                  <c:v>13029</c:v>
                </c:pt>
                <c:pt idx="57">
                  <c:v>13029</c:v>
                </c:pt>
                <c:pt idx="58">
                  <c:v>12000</c:v>
                </c:pt>
                <c:pt idx="59">
                  <c:v>12000</c:v>
                </c:pt>
                <c:pt idx="60">
                  <c:v>12000</c:v>
                </c:pt>
                <c:pt idx="61">
                  <c:v>16800</c:v>
                </c:pt>
                <c:pt idx="62">
                  <c:v>13640</c:v>
                </c:pt>
                <c:pt idx="63">
                  <c:v>6140</c:v>
                </c:pt>
                <c:pt idx="64">
                  <c:v>23000</c:v>
                </c:pt>
                <c:pt idx="65">
                  <c:v>12000</c:v>
                </c:pt>
                <c:pt idx="66">
                  <c:v>11520</c:v>
                </c:pt>
                <c:pt idx="67">
                  <c:v>12280</c:v>
                </c:pt>
                <c:pt idx="68">
                  <c:v>15360</c:v>
                </c:pt>
                <c:pt idx="69">
                  <c:v>11250</c:v>
                </c:pt>
                <c:pt idx="70">
                  <c:v>14400</c:v>
                </c:pt>
                <c:pt idx="71">
                  <c:v>9210</c:v>
                </c:pt>
                <c:pt idx="72">
                  <c:v>13200</c:v>
                </c:pt>
                <c:pt idx="73">
                  <c:v>4000</c:v>
                </c:pt>
                <c:pt idx="74">
                  <c:v>7500</c:v>
                </c:pt>
                <c:pt idx="75">
                  <c:v>15000</c:v>
                </c:pt>
                <c:pt idx="76">
                  <c:v>18740</c:v>
                </c:pt>
                <c:pt idx="77">
                  <c:v>18740</c:v>
                </c:pt>
                <c:pt idx="78">
                  <c:v>17060</c:v>
                </c:pt>
                <c:pt idx="79">
                  <c:v>7500</c:v>
                </c:pt>
                <c:pt idx="80">
                  <c:v>17700</c:v>
                </c:pt>
                <c:pt idx="81">
                  <c:v>15000</c:v>
                </c:pt>
                <c:pt idx="82">
                  <c:v>15000</c:v>
                </c:pt>
                <c:pt idx="83">
                  <c:v>15120</c:v>
                </c:pt>
                <c:pt idx="84">
                  <c:v>17700</c:v>
                </c:pt>
                <c:pt idx="85">
                  <c:v>13029</c:v>
                </c:pt>
                <c:pt idx="86">
                  <c:v>12795</c:v>
                </c:pt>
                <c:pt idx="87">
                  <c:v>4000</c:v>
                </c:pt>
                <c:pt idx="88">
                  <c:v>4000</c:v>
                </c:pt>
                <c:pt idx="89">
                  <c:v>4000</c:v>
                </c:pt>
                <c:pt idx="90">
                  <c:v>16600</c:v>
                </c:pt>
                <c:pt idx="91">
                  <c:v>15000</c:v>
                </c:pt>
                <c:pt idx="92">
                  <c:v>15120</c:v>
                </c:pt>
                <c:pt idx="94">
                  <c:v>5800</c:v>
                </c:pt>
                <c:pt idx="95">
                  <c:v>6810</c:v>
                </c:pt>
                <c:pt idx="96">
                  <c:v>8025</c:v>
                </c:pt>
                <c:pt idx="97">
                  <c:v>12750</c:v>
                </c:pt>
                <c:pt idx="98">
                  <c:v>10800</c:v>
                </c:pt>
                <c:pt idx="99">
                  <c:v>7510</c:v>
                </c:pt>
                <c:pt idx="100">
                  <c:v>7510</c:v>
                </c:pt>
                <c:pt idx="101">
                  <c:v>10230</c:v>
                </c:pt>
                <c:pt idx="102">
                  <c:v>15360</c:v>
                </c:pt>
                <c:pt idx="103">
                  <c:v>4000</c:v>
                </c:pt>
                <c:pt idx="104">
                  <c:v>17700</c:v>
                </c:pt>
                <c:pt idx="105">
                  <c:v>15000</c:v>
                </c:pt>
                <c:pt idx="106">
                  <c:v>15840</c:v>
                </c:pt>
                <c:pt idx="107">
                  <c:v>22200</c:v>
                </c:pt>
                <c:pt idx="108">
                  <c:v>7295.1589110902505</c:v>
                </c:pt>
                <c:pt idx="109">
                  <c:v>3500.0670510929326</c:v>
                </c:pt>
                <c:pt idx="110">
                  <c:v>5600.107281748692</c:v>
                </c:pt>
                <c:pt idx="111">
                  <c:v>2200</c:v>
                </c:pt>
                <c:pt idx="112">
                  <c:v>2200</c:v>
                </c:pt>
                <c:pt idx="113">
                  <c:v>2800</c:v>
                </c:pt>
                <c:pt idx="114">
                  <c:v>2680</c:v>
                </c:pt>
                <c:pt idx="115">
                  <c:v>1300</c:v>
                </c:pt>
                <c:pt idx="116">
                  <c:v>1000</c:v>
                </c:pt>
                <c:pt idx="117">
                  <c:v>4800</c:v>
                </c:pt>
                <c:pt idx="118">
                  <c:v>4570</c:v>
                </c:pt>
                <c:pt idx="119">
                  <c:v>811</c:v>
                </c:pt>
                <c:pt idx="120">
                  <c:v>4570</c:v>
                </c:pt>
                <c:pt idx="121">
                  <c:v>1600</c:v>
                </c:pt>
                <c:pt idx="122">
                  <c:v>1600</c:v>
                </c:pt>
                <c:pt idx="123">
                  <c:v>1600</c:v>
                </c:pt>
                <c:pt idx="124">
                  <c:v>4693.5765052970364</c:v>
                </c:pt>
                <c:pt idx="125">
                  <c:v>2700</c:v>
                </c:pt>
                <c:pt idx="126">
                  <c:v>2660</c:v>
                </c:pt>
                <c:pt idx="127">
                  <c:v>4400</c:v>
                </c:pt>
                <c:pt idx="128">
                  <c:v>2805</c:v>
                </c:pt>
                <c:pt idx="129">
                  <c:v>2660</c:v>
                </c:pt>
                <c:pt idx="130">
                  <c:v>2322</c:v>
                </c:pt>
                <c:pt idx="131">
                  <c:v>1300</c:v>
                </c:pt>
                <c:pt idx="132">
                  <c:v>2680</c:v>
                </c:pt>
                <c:pt idx="133">
                  <c:v>2500</c:v>
                </c:pt>
                <c:pt idx="134">
                  <c:v>2700</c:v>
                </c:pt>
                <c:pt idx="135">
                  <c:v>4290</c:v>
                </c:pt>
                <c:pt idx="136">
                  <c:v>3270</c:v>
                </c:pt>
                <c:pt idx="137">
                  <c:v>5364.087434625184</c:v>
                </c:pt>
                <c:pt idx="138">
                  <c:v>1020</c:v>
                </c:pt>
                <c:pt idx="139">
                  <c:v>3700</c:v>
                </c:pt>
                <c:pt idx="140">
                  <c:v>2070</c:v>
                </c:pt>
                <c:pt idx="141">
                  <c:v>2951</c:v>
                </c:pt>
                <c:pt idx="142">
                  <c:v>7398</c:v>
                </c:pt>
                <c:pt idx="143">
                  <c:v>2700</c:v>
                </c:pt>
                <c:pt idx="144">
                  <c:v>3500</c:v>
                </c:pt>
                <c:pt idx="145">
                  <c:v>1290</c:v>
                </c:pt>
                <c:pt idx="146">
                  <c:v>5000</c:v>
                </c:pt>
                <c:pt idx="147">
                  <c:v>2070</c:v>
                </c:pt>
                <c:pt idx="148">
                  <c:v>2322</c:v>
                </c:pt>
                <c:pt idx="149">
                  <c:v>4680</c:v>
                </c:pt>
                <c:pt idx="150">
                  <c:v>2400</c:v>
                </c:pt>
                <c:pt idx="151">
                  <c:v>1260</c:v>
                </c:pt>
                <c:pt idx="152">
                  <c:v>2700</c:v>
                </c:pt>
                <c:pt idx="153">
                  <c:v>2660</c:v>
                </c:pt>
                <c:pt idx="154">
                  <c:v>4352</c:v>
                </c:pt>
                <c:pt idx="155">
                  <c:v>1100</c:v>
                </c:pt>
                <c:pt idx="156">
                  <c:v>1770</c:v>
                </c:pt>
                <c:pt idx="157">
                  <c:v>5000</c:v>
                </c:pt>
                <c:pt idx="158">
                  <c:v>3000</c:v>
                </c:pt>
                <c:pt idx="159">
                  <c:v>3483</c:v>
                </c:pt>
                <c:pt idx="160">
                  <c:v>5344</c:v>
                </c:pt>
                <c:pt idx="161">
                  <c:v>2610</c:v>
                </c:pt>
                <c:pt idx="162">
                  <c:v>4500</c:v>
                </c:pt>
                <c:pt idx="163">
                  <c:v>5320</c:v>
                </c:pt>
                <c:pt idx="164">
                  <c:v>5200</c:v>
                </c:pt>
                <c:pt idx="165">
                  <c:v>3400</c:v>
                </c:pt>
                <c:pt idx="166">
                  <c:v>4600</c:v>
                </c:pt>
                <c:pt idx="167">
                  <c:v>4087</c:v>
                </c:pt>
                <c:pt idx="168">
                  <c:v>9000</c:v>
                </c:pt>
                <c:pt idx="169">
                  <c:v>4400</c:v>
                </c:pt>
                <c:pt idx="170">
                  <c:v>5200</c:v>
                </c:pt>
                <c:pt idx="171">
                  <c:v>6000</c:v>
                </c:pt>
                <c:pt idx="172">
                  <c:v>1450</c:v>
                </c:pt>
                <c:pt idx="173">
                  <c:v>3520</c:v>
                </c:pt>
                <c:pt idx="174">
                  <c:v>4050</c:v>
                </c:pt>
                <c:pt idx="175">
                  <c:v>7200</c:v>
                </c:pt>
                <c:pt idx="176">
                  <c:v>6000</c:v>
                </c:pt>
                <c:pt idx="177">
                  <c:v>8240</c:v>
                </c:pt>
                <c:pt idx="178">
                  <c:v>4890</c:v>
                </c:pt>
                <c:pt idx="179">
                  <c:v>6000</c:v>
                </c:pt>
                <c:pt idx="180">
                  <c:v>4000</c:v>
                </c:pt>
                <c:pt idx="181">
                  <c:v>4340</c:v>
                </c:pt>
                <c:pt idx="182">
                  <c:v>3000</c:v>
                </c:pt>
                <c:pt idx="183">
                  <c:v>5800</c:v>
                </c:pt>
                <c:pt idx="184">
                  <c:v>385</c:v>
                </c:pt>
                <c:pt idx="185">
                  <c:v>5000</c:v>
                </c:pt>
                <c:pt idx="186">
                  <c:v>2820</c:v>
                </c:pt>
                <c:pt idx="187">
                  <c:v>4400</c:v>
                </c:pt>
                <c:pt idx="188">
                  <c:v>4400</c:v>
                </c:pt>
                <c:pt idx="189">
                  <c:v>6246</c:v>
                </c:pt>
                <c:pt idx="190">
                  <c:v>6260</c:v>
                </c:pt>
                <c:pt idx="191">
                  <c:v>6600</c:v>
                </c:pt>
                <c:pt idx="192">
                  <c:v>9600</c:v>
                </c:pt>
                <c:pt idx="193">
                  <c:v>5760</c:v>
                </c:pt>
                <c:pt idx="194">
                  <c:v>4800</c:v>
                </c:pt>
                <c:pt idx="195">
                  <c:v>5984</c:v>
                </c:pt>
                <c:pt idx="196">
                  <c:v>5911</c:v>
                </c:pt>
                <c:pt idx="197">
                  <c:v>7200</c:v>
                </c:pt>
                <c:pt idx="198">
                  <c:v>4025</c:v>
                </c:pt>
                <c:pt idx="199">
                  <c:v>3012</c:v>
                </c:pt>
                <c:pt idx="200">
                  <c:v>4610</c:v>
                </c:pt>
                <c:pt idx="201">
                  <c:v>4600</c:v>
                </c:pt>
                <c:pt idx="202">
                  <c:v>3300</c:v>
                </c:pt>
                <c:pt idx="203">
                  <c:v>5700</c:v>
                </c:pt>
                <c:pt idx="204">
                  <c:v>7170</c:v>
                </c:pt>
                <c:pt idx="205">
                  <c:v>4025</c:v>
                </c:pt>
                <c:pt idx="206">
                  <c:v>7700</c:v>
                </c:pt>
                <c:pt idx="207">
                  <c:v>5110</c:v>
                </c:pt>
                <c:pt idx="208">
                  <c:v>4025</c:v>
                </c:pt>
                <c:pt idx="209">
                  <c:v>11265</c:v>
                </c:pt>
                <c:pt idx="210">
                  <c:v>6700</c:v>
                </c:pt>
                <c:pt idx="211">
                  <c:v>7200</c:v>
                </c:pt>
                <c:pt idx="212">
                  <c:v>6820</c:v>
                </c:pt>
                <c:pt idx="213">
                  <c:v>13892.986455679227</c:v>
                </c:pt>
                <c:pt idx="214">
                  <c:v>6000</c:v>
                </c:pt>
                <c:pt idx="215">
                  <c:v>13410.21858656296</c:v>
                </c:pt>
                <c:pt idx="216">
                  <c:v>3480</c:v>
                </c:pt>
                <c:pt idx="217">
                  <c:v>9051.8975459299982</c:v>
                </c:pt>
                <c:pt idx="218">
                  <c:v>6140</c:v>
                </c:pt>
                <c:pt idx="220">
                  <c:v>6000</c:v>
                </c:pt>
                <c:pt idx="221">
                  <c:v>4600</c:v>
                </c:pt>
                <c:pt idx="222">
                  <c:v>13640</c:v>
                </c:pt>
                <c:pt idx="223">
                  <c:v>10942</c:v>
                </c:pt>
                <c:pt idx="224">
                  <c:v>6820</c:v>
                </c:pt>
                <c:pt idx="226">
                  <c:v>5800</c:v>
                </c:pt>
                <c:pt idx="227">
                  <c:v>6222.3414241652135</c:v>
                </c:pt>
                <c:pt idx="228">
                  <c:v>6820</c:v>
                </c:pt>
                <c:pt idx="229">
                  <c:v>4050</c:v>
                </c:pt>
                <c:pt idx="230">
                  <c:v>3750</c:v>
                </c:pt>
                <c:pt idx="231">
                  <c:v>4025</c:v>
                </c:pt>
                <c:pt idx="232">
                  <c:v>4000</c:v>
                </c:pt>
                <c:pt idx="233">
                  <c:v>2180</c:v>
                </c:pt>
                <c:pt idx="234">
                  <c:v>13400</c:v>
                </c:pt>
                <c:pt idx="235">
                  <c:v>5712</c:v>
                </c:pt>
                <c:pt idx="236">
                  <c:v>6600</c:v>
                </c:pt>
                <c:pt idx="237">
                  <c:v>4000</c:v>
                </c:pt>
                <c:pt idx="238">
                  <c:v>4000</c:v>
                </c:pt>
                <c:pt idx="239">
                  <c:v>11040</c:v>
                </c:pt>
                <c:pt idx="240">
                  <c:v>18506.101649456887</c:v>
                </c:pt>
                <c:pt idx="241">
                  <c:v>18740</c:v>
                </c:pt>
                <c:pt idx="242">
                  <c:v>4340</c:v>
                </c:pt>
                <c:pt idx="243">
                  <c:v>4640</c:v>
                </c:pt>
                <c:pt idx="244">
                  <c:v>8800</c:v>
                </c:pt>
                <c:pt idx="245">
                  <c:v>7230</c:v>
                </c:pt>
                <c:pt idx="246">
                  <c:v>15019.444816950516</c:v>
                </c:pt>
                <c:pt idx="247">
                  <c:v>6120</c:v>
                </c:pt>
                <c:pt idx="248">
                  <c:v>8000</c:v>
                </c:pt>
                <c:pt idx="249">
                  <c:v>4410</c:v>
                </c:pt>
                <c:pt idx="250">
                  <c:v>8850</c:v>
                </c:pt>
                <c:pt idx="251">
                  <c:v>8340</c:v>
                </c:pt>
                <c:pt idx="252">
                  <c:v>4400</c:v>
                </c:pt>
                <c:pt idx="253">
                  <c:v>17433.284162531847</c:v>
                </c:pt>
                <c:pt idx="254">
                  <c:v>8000</c:v>
                </c:pt>
                <c:pt idx="255">
                  <c:v>8850</c:v>
                </c:pt>
                <c:pt idx="256">
                  <c:v>8850</c:v>
                </c:pt>
                <c:pt idx="257">
                  <c:v>6119</c:v>
                </c:pt>
                <c:pt idx="258">
                  <c:v>5685</c:v>
                </c:pt>
                <c:pt idx="259">
                  <c:v>8000</c:v>
                </c:pt>
                <c:pt idx="260">
                  <c:v>11250</c:v>
                </c:pt>
                <c:pt idx="263">
                  <c:v>8800</c:v>
                </c:pt>
                <c:pt idx="264">
                  <c:v>23065.575968888294</c:v>
                </c:pt>
                <c:pt idx="265">
                  <c:v>8554</c:v>
                </c:pt>
                <c:pt idx="266">
                  <c:v>1800</c:v>
                </c:pt>
                <c:pt idx="267">
                  <c:v>2000</c:v>
                </c:pt>
                <c:pt idx="268">
                  <c:v>2000</c:v>
                </c:pt>
                <c:pt idx="269">
                  <c:v>9200</c:v>
                </c:pt>
                <c:pt idx="270">
                  <c:v>10000</c:v>
                </c:pt>
                <c:pt idx="271">
                  <c:v>10000</c:v>
                </c:pt>
              </c:numCache>
            </c:numRef>
          </c:yVal>
          <c:smooth val="1"/>
          <c:extLst>
            <c:ext xmlns:c16="http://schemas.microsoft.com/office/drawing/2014/chart" uri="{C3380CC4-5D6E-409C-BE32-E72D297353CC}">
              <c16:uniqueId val="{00000000-082A-4373-8E2B-2D0EC6350407}"/>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3319458517527314"/>
                  <c:y val="-0.34269649217961351"/>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xVal>
          <c:yVal>
            <c:numRef>
              <c:f>'Task 1 Converted AMI PDF Stats'!$U$5:$U$12</c:f>
              <c:numCache>
                <c:formatCode>_(* #,##0_);_(* \(#,##0\);_(* "-"??_);_(@_)</c:formatCode>
                <c:ptCount val="8"/>
                <c:pt idx="0">
                  <c:v>15998.390773769612</c:v>
                </c:pt>
                <c:pt idx="2">
                  <c:v>12337.401099637924</c:v>
                </c:pt>
                <c:pt idx="3">
                  <c:v>8582.539895400294</c:v>
                </c:pt>
                <c:pt idx="4">
                  <c:v>16184</c:v>
                </c:pt>
                <c:pt idx="6">
                  <c:v>12605.605471369183</c:v>
                </c:pt>
                <c:pt idx="7">
                  <c:v>14751.240445219257</c:v>
                </c:pt>
              </c:numCache>
            </c:numRef>
          </c:yVal>
          <c:smooth val="1"/>
          <c:extLst>
            <c:ext xmlns:c16="http://schemas.microsoft.com/office/drawing/2014/chart" uri="{C3380CC4-5D6E-409C-BE32-E72D297353CC}">
              <c16:uniqueId val="{00000001-082A-4373-8E2B-2D0EC6350407}"/>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3292116698420617"/>
                  <c:y val="-0.2588705604508065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xVal>
          <c:yVal>
            <c:numRef>
              <c:f>'Task 1 Converted AMI PDF Stats'!$U$13:$U$98</c:f>
              <c:numCache>
                <c:formatCode>_(* #,##0_);_(* \(#,##0\);_(* "-"??_);_(@_)</c:formatCode>
                <c:ptCount val="86"/>
                <c:pt idx="0">
                  <c:v>16200</c:v>
                </c:pt>
                <c:pt idx="1">
                  <c:v>3046</c:v>
                </c:pt>
                <c:pt idx="2">
                  <c:v>4800</c:v>
                </c:pt>
                <c:pt idx="3">
                  <c:v>4800</c:v>
                </c:pt>
                <c:pt idx="4">
                  <c:v>5000</c:v>
                </c:pt>
                <c:pt idx="5">
                  <c:v>6000</c:v>
                </c:pt>
                <c:pt idx="6">
                  <c:v>5800</c:v>
                </c:pt>
                <c:pt idx="7">
                  <c:v>4220</c:v>
                </c:pt>
                <c:pt idx="8">
                  <c:v>2400</c:v>
                </c:pt>
                <c:pt idx="9">
                  <c:v>4400</c:v>
                </c:pt>
                <c:pt idx="10">
                  <c:v>4800</c:v>
                </c:pt>
                <c:pt idx="11">
                  <c:v>5292</c:v>
                </c:pt>
                <c:pt idx="12">
                  <c:v>4500</c:v>
                </c:pt>
                <c:pt idx="13">
                  <c:v>6000</c:v>
                </c:pt>
                <c:pt idx="14">
                  <c:v>4800</c:v>
                </c:pt>
                <c:pt idx="15">
                  <c:v>6820</c:v>
                </c:pt>
                <c:pt idx="16">
                  <c:v>5400</c:v>
                </c:pt>
                <c:pt idx="17">
                  <c:v>6000</c:v>
                </c:pt>
                <c:pt idx="18">
                  <c:v>8025</c:v>
                </c:pt>
                <c:pt idx="19">
                  <c:v>12280</c:v>
                </c:pt>
                <c:pt idx="20">
                  <c:v>5984</c:v>
                </c:pt>
                <c:pt idx="21">
                  <c:v>12000</c:v>
                </c:pt>
                <c:pt idx="22">
                  <c:v>12000</c:v>
                </c:pt>
                <c:pt idx="23">
                  <c:v>12000</c:v>
                </c:pt>
                <c:pt idx="24">
                  <c:v>12000</c:v>
                </c:pt>
                <c:pt idx="25">
                  <c:v>12000</c:v>
                </c:pt>
                <c:pt idx="26">
                  <c:v>12000</c:v>
                </c:pt>
                <c:pt idx="27">
                  <c:v>8025</c:v>
                </c:pt>
                <c:pt idx="28">
                  <c:v>7680</c:v>
                </c:pt>
                <c:pt idx="29">
                  <c:v>12000</c:v>
                </c:pt>
                <c:pt idx="30">
                  <c:v>8025</c:v>
                </c:pt>
                <c:pt idx="31">
                  <c:v>4800</c:v>
                </c:pt>
                <c:pt idx="32">
                  <c:v>8025</c:v>
                </c:pt>
                <c:pt idx="33">
                  <c:v>1450</c:v>
                </c:pt>
                <c:pt idx="34">
                  <c:v>9180</c:v>
                </c:pt>
                <c:pt idx="35">
                  <c:v>9000</c:v>
                </c:pt>
                <c:pt idx="36">
                  <c:v>13300</c:v>
                </c:pt>
                <c:pt idx="37">
                  <c:v>14100</c:v>
                </c:pt>
                <c:pt idx="38">
                  <c:v>13640</c:v>
                </c:pt>
                <c:pt idx="39">
                  <c:v>12000</c:v>
                </c:pt>
                <c:pt idx="40">
                  <c:v>13600</c:v>
                </c:pt>
                <c:pt idx="41">
                  <c:v>13640</c:v>
                </c:pt>
                <c:pt idx="42">
                  <c:v>13640</c:v>
                </c:pt>
                <c:pt idx="43">
                  <c:v>13640</c:v>
                </c:pt>
                <c:pt idx="44">
                  <c:v>14400</c:v>
                </c:pt>
                <c:pt idx="45">
                  <c:v>9370</c:v>
                </c:pt>
                <c:pt idx="46">
                  <c:v>9370</c:v>
                </c:pt>
                <c:pt idx="47">
                  <c:v>14000</c:v>
                </c:pt>
                <c:pt idx="48">
                  <c:v>13029</c:v>
                </c:pt>
                <c:pt idx="49">
                  <c:v>13029</c:v>
                </c:pt>
                <c:pt idx="50">
                  <c:v>12000</c:v>
                </c:pt>
                <c:pt idx="51">
                  <c:v>12000</c:v>
                </c:pt>
                <c:pt idx="52">
                  <c:v>12000</c:v>
                </c:pt>
                <c:pt idx="53">
                  <c:v>16800</c:v>
                </c:pt>
                <c:pt idx="54">
                  <c:v>13640</c:v>
                </c:pt>
                <c:pt idx="55">
                  <c:v>6140</c:v>
                </c:pt>
                <c:pt idx="56">
                  <c:v>23000</c:v>
                </c:pt>
                <c:pt idx="57">
                  <c:v>12000</c:v>
                </c:pt>
                <c:pt idx="58">
                  <c:v>11520</c:v>
                </c:pt>
                <c:pt idx="59">
                  <c:v>12280</c:v>
                </c:pt>
                <c:pt idx="60">
                  <c:v>15360</c:v>
                </c:pt>
                <c:pt idx="61">
                  <c:v>11250</c:v>
                </c:pt>
                <c:pt idx="62">
                  <c:v>14400</c:v>
                </c:pt>
                <c:pt idx="63">
                  <c:v>9210</c:v>
                </c:pt>
                <c:pt idx="64">
                  <c:v>13200</c:v>
                </c:pt>
                <c:pt idx="65">
                  <c:v>4000</c:v>
                </c:pt>
                <c:pt idx="66">
                  <c:v>7500</c:v>
                </c:pt>
                <c:pt idx="67">
                  <c:v>15000</c:v>
                </c:pt>
                <c:pt idx="68">
                  <c:v>18740</c:v>
                </c:pt>
                <c:pt idx="69">
                  <c:v>18740</c:v>
                </c:pt>
                <c:pt idx="70">
                  <c:v>17060</c:v>
                </c:pt>
                <c:pt idx="71">
                  <c:v>7500</c:v>
                </c:pt>
                <c:pt idx="72">
                  <c:v>17700</c:v>
                </c:pt>
                <c:pt idx="73">
                  <c:v>15000</c:v>
                </c:pt>
                <c:pt idx="74">
                  <c:v>15000</c:v>
                </c:pt>
                <c:pt idx="75">
                  <c:v>15120</c:v>
                </c:pt>
                <c:pt idx="76">
                  <c:v>17700</c:v>
                </c:pt>
                <c:pt idx="77">
                  <c:v>13029</c:v>
                </c:pt>
                <c:pt idx="78">
                  <c:v>12795</c:v>
                </c:pt>
                <c:pt idx="79">
                  <c:v>4000</c:v>
                </c:pt>
                <c:pt idx="80">
                  <c:v>4000</c:v>
                </c:pt>
                <c:pt idx="81">
                  <c:v>4000</c:v>
                </c:pt>
                <c:pt idx="82">
                  <c:v>16600</c:v>
                </c:pt>
                <c:pt idx="83">
                  <c:v>15000</c:v>
                </c:pt>
                <c:pt idx="84">
                  <c:v>15120</c:v>
                </c:pt>
              </c:numCache>
            </c:numRef>
          </c:yVal>
          <c:smooth val="1"/>
          <c:extLst>
            <c:ext xmlns:c16="http://schemas.microsoft.com/office/drawing/2014/chart" uri="{C3380CC4-5D6E-409C-BE32-E72D297353CC}">
              <c16:uniqueId val="{00000002-082A-4373-8E2B-2D0EC6350407}"/>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19624958185450359"/>
                  <c:y val="-0.12950508824914481"/>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xVal>
          <c:yVal>
            <c:numRef>
              <c:f>'Task 1 Converted AMI PDF Stats'!$U$99:$U$112</c:f>
              <c:numCache>
                <c:formatCode>_(* #,##0_);_(* \(#,##0\);_(* "-"??_);_(@_)</c:formatCode>
                <c:ptCount val="14"/>
                <c:pt idx="0">
                  <c:v>5800</c:v>
                </c:pt>
                <c:pt idx="1">
                  <c:v>6810</c:v>
                </c:pt>
                <c:pt idx="2">
                  <c:v>8025</c:v>
                </c:pt>
                <c:pt idx="3">
                  <c:v>12750</c:v>
                </c:pt>
                <c:pt idx="4">
                  <c:v>10800</c:v>
                </c:pt>
                <c:pt idx="5">
                  <c:v>7510</c:v>
                </c:pt>
                <c:pt idx="6">
                  <c:v>7510</c:v>
                </c:pt>
                <c:pt idx="7">
                  <c:v>10230</c:v>
                </c:pt>
                <c:pt idx="8">
                  <c:v>15360</c:v>
                </c:pt>
                <c:pt idx="9">
                  <c:v>4000</c:v>
                </c:pt>
                <c:pt idx="10">
                  <c:v>17700</c:v>
                </c:pt>
                <c:pt idx="11">
                  <c:v>15000</c:v>
                </c:pt>
                <c:pt idx="12">
                  <c:v>15840</c:v>
                </c:pt>
                <c:pt idx="13">
                  <c:v>22200</c:v>
                </c:pt>
              </c:numCache>
            </c:numRef>
          </c:yVal>
          <c:smooth val="1"/>
          <c:extLst>
            <c:ext xmlns:c16="http://schemas.microsoft.com/office/drawing/2014/chart" uri="{C3380CC4-5D6E-409C-BE32-E72D297353CC}">
              <c16:uniqueId val="{00000003-082A-4373-8E2B-2D0EC6350407}"/>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1539813968638322"/>
                  <c:y val="-0.17640445779719238"/>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xVal>
          <c:yVal>
            <c:numRef>
              <c:f>'Task 1 Converted AMI PDF Stats'!$U$113:$U$276</c:f>
              <c:numCache>
                <c:formatCode>_(* #,##0_);_(* \(#,##0\);_(* "-"??_);_(@_)</c:formatCode>
                <c:ptCount val="164"/>
                <c:pt idx="0">
                  <c:v>7295.1589110902505</c:v>
                </c:pt>
                <c:pt idx="1">
                  <c:v>3500.0670510929326</c:v>
                </c:pt>
                <c:pt idx="2">
                  <c:v>5600.107281748692</c:v>
                </c:pt>
                <c:pt idx="3">
                  <c:v>2200</c:v>
                </c:pt>
                <c:pt idx="4">
                  <c:v>2200</c:v>
                </c:pt>
                <c:pt idx="5">
                  <c:v>2800</c:v>
                </c:pt>
                <c:pt idx="6">
                  <c:v>2680</c:v>
                </c:pt>
                <c:pt idx="7">
                  <c:v>1300</c:v>
                </c:pt>
                <c:pt idx="8">
                  <c:v>1000</c:v>
                </c:pt>
                <c:pt idx="9">
                  <c:v>4800</c:v>
                </c:pt>
                <c:pt idx="10">
                  <c:v>4570</c:v>
                </c:pt>
                <c:pt idx="11">
                  <c:v>811</c:v>
                </c:pt>
                <c:pt idx="12">
                  <c:v>4570</c:v>
                </c:pt>
                <c:pt idx="13">
                  <c:v>1600</c:v>
                </c:pt>
                <c:pt idx="14">
                  <c:v>1600</c:v>
                </c:pt>
                <c:pt idx="15">
                  <c:v>1600</c:v>
                </c:pt>
                <c:pt idx="16">
                  <c:v>4693.5765052970364</c:v>
                </c:pt>
                <c:pt idx="17">
                  <c:v>2700</c:v>
                </c:pt>
                <c:pt idx="18">
                  <c:v>2660</c:v>
                </c:pt>
                <c:pt idx="19">
                  <c:v>4400</c:v>
                </c:pt>
                <c:pt idx="20">
                  <c:v>2805</c:v>
                </c:pt>
                <c:pt idx="21">
                  <c:v>2660</c:v>
                </c:pt>
                <c:pt idx="22">
                  <c:v>2322</c:v>
                </c:pt>
                <c:pt idx="23">
                  <c:v>1300</c:v>
                </c:pt>
                <c:pt idx="24">
                  <c:v>2680</c:v>
                </c:pt>
                <c:pt idx="25">
                  <c:v>2500</c:v>
                </c:pt>
                <c:pt idx="26">
                  <c:v>2700</c:v>
                </c:pt>
                <c:pt idx="27">
                  <c:v>4290</c:v>
                </c:pt>
                <c:pt idx="28">
                  <c:v>3270</c:v>
                </c:pt>
                <c:pt idx="29">
                  <c:v>5364.087434625184</c:v>
                </c:pt>
                <c:pt idx="30">
                  <c:v>1020</c:v>
                </c:pt>
                <c:pt idx="31">
                  <c:v>3700</c:v>
                </c:pt>
                <c:pt idx="32">
                  <c:v>2070</c:v>
                </c:pt>
                <c:pt idx="33">
                  <c:v>2951</c:v>
                </c:pt>
                <c:pt idx="34">
                  <c:v>7398</c:v>
                </c:pt>
                <c:pt idx="35">
                  <c:v>2700</c:v>
                </c:pt>
                <c:pt idx="36">
                  <c:v>3500</c:v>
                </c:pt>
                <c:pt idx="37">
                  <c:v>1290</c:v>
                </c:pt>
                <c:pt idx="38">
                  <c:v>5000</c:v>
                </c:pt>
                <c:pt idx="39">
                  <c:v>2070</c:v>
                </c:pt>
                <c:pt idx="40">
                  <c:v>2322</c:v>
                </c:pt>
                <c:pt idx="41">
                  <c:v>4680</c:v>
                </c:pt>
                <c:pt idx="42">
                  <c:v>2400</c:v>
                </c:pt>
                <c:pt idx="43">
                  <c:v>1260</c:v>
                </c:pt>
                <c:pt idx="44">
                  <c:v>2700</c:v>
                </c:pt>
                <c:pt idx="45">
                  <c:v>2660</c:v>
                </c:pt>
                <c:pt idx="46">
                  <c:v>4352</c:v>
                </c:pt>
                <c:pt idx="47">
                  <c:v>1100</c:v>
                </c:pt>
                <c:pt idx="48">
                  <c:v>1770</c:v>
                </c:pt>
                <c:pt idx="49">
                  <c:v>5000</c:v>
                </c:pt>
                <c:pt idx="50">
                  <c:v>3000</c:v>
                </c:pt>
                <c:pt idx="51">
                  <c:v>3483</c:v>
                </c:pt>
                <c:pt idx="52">
                  <c:v>5344</c:v>
                </c:pt>
                <c:pt idx="53">
                  <c:v>2610</c:v>
                </c:pt>
                <c:pt idx="54">
                  <c:v>4500</c:v>
                </c:pt>
                <c:pt idx="55">
                  <c:v>5320</c:v>
                </c:pt>
                <c:pt idx="56">
                  <c:v>5200</c:v>
                </c:pt>
                <c:pt idx="57">
                  <c:v>3400</c:v>
                </c:pt>
                <c:pt idx="58">
                  <c:v>4600</c:v>
                </c:pt>
                <c:pt idx="59">
                  <c:v>4087</c:v>
                </c:pt>
                <c:pt idx="60">
                  <c:v>9000</c:v>
                </c:pt>
                <c:pt idx="61">
                  <c:v>4400</c:v>
                </c:pt>
                <c:pt idx="62">
                  <c:v>5200</c:v>
                </c:pt>
                <c:pt idx="63">
                  <c:v>6000</c:v>
                </c:pt>
                <c:pt idx="64">
                  <c:v>1450</c:v>
                </c:pt>
                <c:pt idx="65">
                  <c:v>3520</c:v>
                </c:pt>
                <c:pt idx="66">
                  <c:v>4050</c:v>
                </c:pt>
                <c:pt idx="67">
                  <c:v>7200</c:v>
                </c:pt>
                <c:pt idx="68">
                  <c:v>6000</c:v>
                </c:pt>
                <c:pt idx="69">
                  <c:v>8240</c:v>
                </c:pt>
                <c:pt idx="70">
                  <c:v>4890</c:v>
                </c:pt>
                <c:pt idx="71">
                  <c:v>6000</c:v>
                </c:pt>
                <c:pt idx="72">
                  <c:v>4000</c:v>
                </c:pt>
                <c:pt idx="73">
                  <c:v>4340</c:v>
                </c:pt>
                <c:pt idx="74">
                  <c:v>3000</c:v>
                </c:pt>
                <c:pt idx="75">
                  <c:v>5800</c:v>
                </c:pt>
                <c:pt idx="76">
                  <c:v>385</c:v>
                </c:pt>
                <c:pt idx="77">
                  <c:v>5000</c:v>
                </c:pt>
                <c:pt idx="78">
                  <c:v>2820</c:v>
                </c:pt>
                <c:pt idx="79">
                  <c:v>4400</c:v>
                </c:pt>
                <c:pt idx="80">
                  <c:v>4400</c:v>
                </c:pt>
                <c:pt idx="81">
                  <c:v>6246</c:v>
                </c:pt>
                <c:pt idx="82">
                  <c:v>6260</c:v>
                </c:pt>
                <c:pt idx="83">
                  <c:v>6600</c:v>
                </c:pt>
                <c:pt idx="84">
                  <c:v>9600</c:v>
                </c:pt>
                <c:pt idx="85">
                  <c:v>5760</c:v>
                </c:pt>
                <c:pt idx="86">
                  <c:v>4800</c:v>
                </c:pt>
                <c:pt idx="87">
                  <c:v>5984</c:v>
                </c:pt>
                <c:pt idx="88">
                  <c:v>5911</c:v>
                </c:pt>
                <c:pt idx="89">
                  <c:v>7200</c:v>
                </c:pt>
                <c:pt idx="90">
                  <c:v>4025</c:v>
                </c:pt>
                <c:pt idx="91">
                  <c:v>3012</c:v>
                </c:pt>
                <c:pt idx="92">
                  <c:v>4610</c:v>
                </c:pt>
                <c:pt idx="93">
                  <c:v>4600</c:v>
                </c:pt>
                <c:pt idx="94">
                  <c:v>3300</c:v>
                </c:pt>
                <c:pt idx="95">
                  <c:v>5700</c:v>
                </c:pt>
                <c:pt idx="96">
                  <c:v>7170</c:v>
                </c:pt>
                <c:pt idx="97">
                  <c:v>4025</c:v>
                </c:pt>
                <c:pt idx="98">
                  <c:v>7700</c:v>
                </c:pt>
                <c:pt idx="99">
                  <c:v>5110</c:v>
                </c:pt>
                <c:pt idx="100">
                  <c:v>4025</c:v>
                </c:pt>
                <c:pt idx="101">
                  <c:v>11265</c:v>
                </c:pt>
                <c:pt idx="102">
                  <c:v>6700</c:v>
                </c:pt>
                <c:pt idx="103">
                  <c:v>7200</c:v>
                </c:pt>
                <c:pt idx="104">
                  <c:v>6820</c:v>
                </c:pt>
                <c:pt idx="105">
                  <c:v>13892.986455679227</c:v>
                </c:pt>
                <c:pt idx="106">
                  <c:v>6000</c:v>
                </c:pt>
                <c:pt idx="107">
                  <c:v>13410.21858656296</c:v>
                </c:pt>
                <c:pt idx="108">
                  <c:v>3480</c:v>
                </c:pt>
                <c:pt idx="109">
                  <c:v>9051.8975459299982</c:v>
                </c:pt>
                <c:pt idx="110">
                  <c:v>6140</c:v>
                </c:pt>
                <c:pt idx="112">
                  <c:v>6000</c:v>
                </c:pt>
                <c:pt idx="113">
                  <c:v>4600</c:v>
                </c:pt>
                <c:pt idx="114">
                  <c:v>13640</c:v>
                </c:pt>
                <c:pt idx="115">
                  <c:v>10942</c:v>
                </c:pt>
                <c:pt idx="116">
                  <c:v>6820</c:v>
                </c:pt>
                <c:pt idx="118">
                  <c:v>5800</c:v>
                </c:pt>
                <c:pt idx="119">
                  <c:v>6222.3414241652135</c:v>
                </c:pt>
                <c:pt idx="120">
                  <c:v>6820</c:v>
                </c:pt>
                <c:pt idx="121">
                  <c:v>4050</c:v>
                </c:pt>
                <c:pt idx="122">
                  <c:v>3750</c:v>
                </c:pt>
                <c:pt idx="123">
                  <c:v>4025</c:v>
                </c:pt>
                <c:pt idx="124">
                  <c:v>4000</c:v>
                </c:pt>
                <c:pt idx="125">
                  <c:v>2180</c:v>
                </c:pt>
                <c:pt idx="126">
                  <c:v>13400</c:v>
                </c:pt>
                <c:pt idx="127">
                  <c:v>5712</c:v>
                </c:pt>
                <c:pt idx="128">
                  <c:v>6600</c:v>
                </c:pt>
                <c:pt idx="129">
                  <c:v>4000</c:v>
                </c:pt>
                <c:pt idx="130">
                  <c:v>4000</c:v>
                </c:pt>
                <c:pt idx="131">
                  <c:v>11040</c:v>
                </c:pt>
                <c:pt idx="132">
                  <c:v>18506.101649456887</c:v>
                </c:pt>
                <c:pt idx="133">
                  <c:v>18740</c:v>
                </c:pt>
                <c:pt idx="134">
                  <c:v>4340</c:v>
                </c:pt>
                <c:pt idx="135">
                  <c:v>4640</c:v>
                </c:pt>
                <c:pt idx="136">
                  <c:v>8800</c:v>
                </c:pt>
                <c:pt idx="137">
                  <c:v>7230</c:v>
                </c:pt>
                <c:pt idx="138">
                  <c:v>15019.444816950516</c:v>
                </c:pt>
                <c:pt idx="139">
                  <c:v>6120</c:v>
                </c:pt>
                <c:pt idx="140">
                  <c:v>8000</c:v>
                </c:pt>
                <c:pt idx="141">
                  <c:v>4410</c:v>
                </c:pt>
                <c:pt idx="142">
                  <c:v>8850</c:v>
                </c:pt>
                <c:pt idx="143">
                  <c:v>8340</c:v>
                </c:pt>
                <c:pt idx="144">
                  <c:v>4400</c:v>
                </c:pt>
                <c:pt idx="145">
                  <c:v>17433.284162531847</c:v>
                </c:pt>
                <c:pt idx="146">
                  <c:v>8000</c:v>
                </c:pt>
                <c:pt idx="147">
                  <c:v>8850</c:v>
                </c:pt>
                <c:pt idx="148">
                  <c:v>8850</c:v>
                </c:pt>
                <c:pt idx="149">
                  <c:v>6119</c:v>
                </c:pt>
                <c:pt idx="150">
                  <c:v>5685</c:v>
                </c:pt>
                <c:pt idx="151">
                  <c:v>8000</c:v>
                </c:pt>
                <c:pt idx="152">
                  <c:v>11250</c:v>
                </c:pt>
                <c:pt idx="155">
                  <c:v>8800</c:v>
                </c:pt>
                <c:pt idx="156">
                  <c:v>23065.575968888294</c:v>
                </c:pt>
                <c:pt idx="157">
                  <c:v>8554</c:v>
                </c:pt>
                <c:pt idx="158">
                  <c:v>1800</c:v>
                </c:pt>
                <c:pt idx="159">
                  <c:v>2000</c:v>
                </c:pt>
                <c:pt idx="160">
                  <c:v>2000</c:v>
                </c:pt>
                <c:pt idx="161">
                  <c:v>9200</c:v>
                </c:pt>
                <c:pt idx="162">
                  <c:v>10000</c:v>
                </c:pt>
                <c:pt idx="163">
                  <c:v>10000</c:v>
                </c:pt>
              </c:numCache>
            </c:numRef>
          </c:yVal>
          <c:smooth val="1"/>
          <c:extLst>
            <c:ext xmlns:c16="http://schemas.microsoft.com/office/drawing/2014/chart" uri="{C3380CC4-5D6E-409C-BE32-E72D297353CC}">
              <c16:uniqueId val="{00000004-082A-4373-8E2B-2D0EC6350407}"/>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Stats'!$J$283</c:f>
              <c:numCache>
                <c:formatCode>0.0</c:formatCode>
                <c:ptCount val="1"/>
                <c:pt idx="0">
                  <c:v>134.1</c:v>
                </c:pt>
              </c:numCache>
            </c:numRef>
          </c:xVal>
          <c:yVal>
            <c:numRef>
              <c:f>'Task 1 Converted AMI PDF Stats'!$U$283</c:f>
              <c:numCache>
                <c:formatCode>_(* #,##0_);_(* \(#,##0\);_(* "-"??_);_(@_)</c:formatCode>
                <c:ptCount val="1"/>
                <c:pt idx="0">
                  <c:v>14600</c:v>
                </c:pt>
              </c:numCache>
            </c:numRef>
          </c:yVal>
          <c:smooth val="1"/>
          <c:extLst>
            <c:ext xmlns:c16="http://schemas.microsoft.com/office/drawing/2014/chart" uri="{C3380CC4-5D6E-409C-BE32-E72D297353CC}">
              <c16:uniqueId val="{00000005-082A-4373-8E2B-2D0EC6350407}"/>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xVal>
          <c:yVal>
            <c:numRef>
              <c:f>'Task 1 Converted AMI PDF Stats'!$U$284:$U$294</c:f>
              <c:numCache>
                <c:formatCode>_(* #,##0_);_(* \(#,##0\);_(* "-"??_);_(@_)</c:formatCode>
                <c:ptCount val="11"/>
                <c:pt idx="0">
                  <c:v>7295.1589110902505</c:v>
                </c:pt>
                <c:pt idx="1">
                  <c:v>3500.0670510929326</c:v>
                </c:pt>
                <c:pt idx="2">
                  <c:v>5600.107281748692</c:v>
                </c:pt>
                <c:pt idx="3">
                  <c:v>6222.3414241652135</c:v>
                </c:pt>
                <c:pt idx="4">
                  <c:v>4693.5765052970364</c:v>
                </c:pt>
                <c:pt idx="5">
                  <c:v>5364.087434625184</c:v>
                </c:pt>
                <c:pt idx="6">
                  <c:v>6140</c:v>
                </c:pt>
                <c:pt idx="7">
                  <c:v>4050</c:v>
                </c:pt>
                <c:pt idx="8">
                  <c:v>13400</c:v>
                </c:pt>
                <c:pt idx="9">
                  <c:v>6246</c:v>
                </c:pt>
                <c:pt idx="10">
                  <c:v>5760</c:v>
                </c:pt>
              </c:numCache>
            </c:numRef>
          </c:yVal>
          <c:smooth val="1"/>
          <c:extLst>
            <c:ext xmlns:c16="http://schemas.microsoft.com/office/drawing/2014/chart" uri="{C3380CC4-5D6E-409C-BE32-E72D297353CC}">
              <c16:uniqueId val="{00000006-082A-4373-8E2B-2D0EC6350407}"/>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Stats'!$J$295:$J$298</c:f>
              <c:numCache>
                <c:formatCode>0.0</c:formatCode>
                <c:ptCount val="4"/>
                <c:pt idx="0">
                  <c:v>170.60160000000002</c:v>
                </c:pt>
                <c:pt idx="1">
                  <c:v>157.47840000000002</c:v>
                </c:pt>
                <c:pt idx="2">
                  <c:v>166.66463999999999</c:v>
                </c:pt>
                <c:pt idx="3">
                  <c:v>147.636</c:v>
                </c:pt>
              </c:numCache>
            </c:numRef>
          </c:xVal>
          <c:yVal>
            <c:numRef>
              <c:f>'Task 1 Converted AMI PDF Stats'!$U$295:$U$298</c:f>
              <c:numCache>
                <c:formatCode>_(* #,##0_);_(* \(#,##0\);_(* "-"??_);_(@_)</c:formatCode>
                <c:ptCount val="4"/>
                <c:pt idx="0">
                  <c:v>15360</c:v>
                </c:pt>
                <c:pt idx="1">
                  <c:v>7510</c:v>
                </c:pt>
                <c:pt idx="2">
                  <c:v>7510</c:v>
                </c:pt>
                <c:pt idx="3">
                  <c:v>10230</c:v>
                </c:pt>
              </c:numCache>
            </c:numRef>
          </c:yVal>
          <c:smooth val="1"/>
          <c:extLst>
            <c:ext xmlns:c16="http://schemas.microsoft.com/office/drawing/2014/chart" uri="{C3380CC4-5D6E-409C-BE32-E72D297353CC}">
              <c16:uniqueId val="{00000007-082A-4373-8E2B-2D0EC6350407}"/>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Stats'!$J$299:$J$300</c:f>
              <c:numCache>
                <c:formatCode>0.0</c:formatCode>
                <c:ptCount val="2"/>
                <c:pt idx="0">
                  <c:v>147.30792</c:v>
                </c:pt>
              </c:numCache>
            </c:numRef>
          </c:xVal>
          <c:yVal>
            <c:numRef>
              <c:f>'Task 1 Converted AMI PDF Stats'!$U$299:$U$300</c:f>
              <c:numCache>
                <c:formatCode>_(* #,##0_);_(* \(#,##0\);_(* "-"??_);_(@_)</c:formatCode>
                <c:ptCount val="2"/>
                <c:pt idx="0">
                  <c:v>9370</c:v>
                </c:pt>
              </c:numCache>
            </c:numRef>
          </c:yVal>
          <c:smooth val="1"/>
          <c:extLst>
            <c:ext xmlns:c16="http://schemas.microsoft.com/office/drawing/2014/chart" uri="{C3380CC4-5D6E-409C-BE32-E72D297353CC}">
              <c16:uniqueId val="{00000008-082A-4373-8E2B-2D0EC6350407}"/>
            </c:ext>
          </c:extLst>
        </c:ser>
        <c:dLbls>
          <c:showLegendKey val="0"/>
          <c:showVal val="0"/>
          <c:showCatName val="0"/>
          <c:showSerName val="0"/>
          <c:showPercent val="0"/>
          <c:showBubbleSize val="0"/>
        </c:dLbls>
        <c:axId val="570107968"/>
        <c:axId val="1"/>
      </c:scatterChart>
      <c:valAx>
        <c:axId val="570107968"/>
        <c:scaling>
          <c:orientation val="minMax"/>
          <c:max val="220"/>
          <c:min val="6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 (ft)</a:t>
                </a:r>
              </a:p>
            </c:rich>
          </c:tx>
          <c:layout>
            <c:manualLayout>
              <c:xMode val="edge"/>
              <c:yMode val="edge"/>
              <c:x val="0.40510543840177582"/>
              <c:y val="0.94290375203915167"/>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Power (hp)</a:t>
                </a:r>
              </a:p>
            </c:rich>
          </c:tx>
          <c:layout>
            <c:manualLayout>
              <c:xMode val="edge"/>
              <c:yMode val="edge"/>
              <c:x val="1.2208657047724751E-2"/>
              <c:y val="0.42251223491027734"/>
            </c:manualLayout>
          </c:layout>
          <c:overlay val="0"/>
          <c:spPr>
            <a:noFill/>
            <a:ln w="25400">
              <a:noFill/>
            </a:ln>
          </c:spPr>
        </c:title>
        <c:numFmt formatCode="General"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107968"/>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8246392896781358"/>
          <c:y val="0.48776508972267535"/>
          <c:w val="0.21309655937846839"/>
          <c:h val="0.41109298531810773"/>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Length/Beam vs Length</a:t>
            </a:r>
          </a:p>
        </c:rich>
      </c:tx>
      <c:layout>
        <c:manualLayout>
          <c:xMode val="edge"/>
          <c:yMode val="edge"/>
          <c:x val="0.39511653718091011"/>
          <c:y val="1.9575856443719411E-2"/>
        </c:manualLayout>
      </c:layout>
      <c:overlay val="0"/>
      <c:spPr>
        <a:noFill/>
        <a:ln w="25400">
          <a:noFill/>
        </a:ln>
      </c:spPr>
    </c:title>
    <c:autoTitleDeleted val="0"/>
    <c:plotArea>
      <c:layout>
        <c:manualLayout>
          <c:layoutTarget val="inner"/>
          <c:xMode val="edge"/>
          <c:yMode val="edge"/>
          <c:x val="8.2130965593784688E-2"/>
          <c:y val="7.01468189233279E-2"/>
          <c:w val="0.6859045504994451"/>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8690167536493163"/>
                  <c:y val="0.18292199063244219"/>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Stats'!$J$5:$J$276</c:f>
              <c:numCache>
                <c:formatCode>0.0</c:formatCode>
                <c:ptCount val="272"/>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xVal>
          <c:yVal>
            <c:numRef>
              <c:f>'Task 1 Converted AMI PDF Stats'!$R$5:$R$276</c:f>
              <c:numCache>
                <c:formatCode>0.00</c:formatCode>
                <c:ptCount val="272"/>
                <c:pt idx="0">
                  <c:v>5.7241379310344822</c:v>
                </c:pt>
                <c:pt idx="1">
                  <c:v>6.666666666666667</c:v>
                </c:pt>
                <c:pt idx="2">
                  <c:v>6.3058823529411772</c:v>
                </c:pt>
                <c:pt idx="3">
                  <c:v>7.125</c:v>
                </c:pt>
                <c:pt idx="4">
                  <c:v>5.6470588235294121</c:v>
                </c:pt>
                <c:pt idx="5">
                  <c:v>4.8782608695652181</c:v>
                </c:pt>
                <c:pt idx="6">
                  <c:v>6.8705882352941181</c:v>
                </c:pt>
                <c:pt idx="7">
                  <c:v>7.3411764705882359</c:v>
                </c:pt>
                <c:pt idx="8">
                  <c:v>4.5454545454545459</c:v>
                </c:pt>
                <c:pt idx="9">
                  <c:v>4.3859649122807012</c:v>
                </c:pt>
                <c:pt idx="10">
                  <c:v>4.2857142857142865</c:v>
                </c:pt>
                <c:pt idx="11">
                  <c:v>4.2857142857142865</c:v>
                </c:pt>
                <c:pt idx="12">
                  <c:v>4.1803278688524594</c:v>
                </c:pt>
                <c:pt idx="13">
                  <c:v>5.07936507936508</c:v>
                </c:pt>
                <c:pt idx="14">
                  <c:v>4.4202898550724639</c:v>
                </c:pt>
                <c:pt idx="15">
                  <c:v>7.1851851851851842</c:v>
                </c:pt>
                <c:pt idx="16">
                  <c:v>7.1851851851851842</c:v>
                </c:pt>
                <c:pt idx="17">
                  <c:v>7.1851851851851842</c:v>
                </c:pt>
                <c:pt idx="18">
                  <c:v>7.1851851851851842</c:v>
                </c:pt>
                <c:pt idx="19">
                  <c:v>4.7761194029850742</c:v>
                </c:pt>
                <c:pt idx="20">
                  <c:v>4.7681159420289854</c:v>
                </c:pt>
                <c:pt idx="21">
                  <c:v>5.36231884057971</c:v>
                </c:pt>
                <c:pt idx="22">
                  <c:v>7.5925925925925908</c:v>
                </c:pt>
                <c:pt idx="23">
                  <c:v>5.887096774193548</c:v>
                </c:pt>
                <c:pt idx="24">
                  <c:v>5.4545454545454541</c:v>
                </c:pt>
                <c:pt idx="25">
                  <c:v>5.1971830985915499</c:v>
                </c:pt>
                <c:pt idx="26">
                  <c:v>5.1791044776119408</c:v>
                </c:pt>
                <c:pt idx="27">
                  <c:v>6.6180257510729605</c:v>
                </c:pt>
                <c:pt idx="28">
                  <c:v>5.8208955223880592</c:v>
                </c:pt>
                <c:pt idx="29">
                  <c:v>5.9027777777777768</c:v>
                </c:pt>
                <c:pt idx="30">
                  <c:v>5.906779661016949</c:v>
                </c:pt>
                <c:pt idx="31">
                  <c:v>6.0714285714285712</c:v>
                </c:pt>
                <c:pt idx="32">
                  <c:v>5.0789473684210531</c:v>
                </c:pt>
                <c:pt idx="33">
                  <c:v>5.0789473684210531</c:v>
                </c:pt>
                <c:pt idx="34">
                  <c:v>5.0789473684210531</c:v>
                </c:pt>
                <c:pt idx="35">
                  <c:v>5.6764705882352944</c:v>
                </c:pt>
                <c:pt idx="36">
                  <c:v>5.125</c:v>
                </c:pt>
                <c:pt idx="37">
                  <c:v>5.0789473684210531</c:v>
                </c:pt>
                <c:pt idx="38">
                  <c:v>5.0789473684210531</c:v>
                </c:pt>
                <c:pt idx="39">
                  <c:v>7.1093749999999991</c:v>
                </c:pt>
                <c:pt idx="40">
                  <c:v>4.8421052631578947</c:v>
                </c:pt>
                <c:pt idx="41">
                  <c:v>6.9117647058823524</c:v>
                </c:pt>
                <c:pt idx="42">
                  <c:v>6.1408450704225368</c:v>
                </c:pt>
                <c:pt idx="43">
                  <c:v>6.4142857142857137</c:v>
                </c:pt>
                <c:pt idx="44">
                  <c:v>6.8630136986301373</c:v>
                </c:pt>
                <c:pt idx="45">
                  <c:v>4.9873417721518987</c:v>
                </c:pt>
                <c:pt idx="46">
                  <c:v>6.4142857142857137</c:v>
                </c:pt>
                <c:pt idx="47">
                  <c:v>6.619718309859155</c:v>
                </c:pt>
                <c:pt idx="48">
                  <c:v>6.4285714285714279</c:v>
                </c:pt>
                <c:pt idx="49">
                  <c:v>6.4142857142857137</c:v>
                </c:pt>
                <c:pt idx="50">
                  <c:v>6.4142857142857137</c:v>
                </c:pt>
                <c:pt idx="51">
                  <c:v>6.4142857142857137</c:v>
                </c:pt>
                <c:pt idx="52">
                  <c:v>5.3571428571428568</c:v>
                </c:pt>
                <c:pt idx="53">
                  <c:v>6.4043478260869566</c:v>
                </c:pt>
                <c:pt idx="54">
                  <c:v>6.4142857142857137</c:v>
                </c:pt>
                <c:pt idx="55">
                  <c:v>6.7142857142857135</c:v>
                </c:pt>
                <c:pt idx="56">
                  <c:v>6.7142857142857135</c:v>
                </c:pt>
                <c:pt idx="57">
                  <c:v>6.7043478260869565</c:v>
                </c:pt>
                <c:pt idx="58">
                  <c:v>6.7142857142857135</c:v>
                </c:pt>
                <c:pt idx="59">
                  <c:v>6.7142857142857135</c:v>
                </c:pt>
                <c:pt idx="60">
                  <c:v>6.0675675675675667</c:v>
                </c:pt>
                <c:pt idx="61">
                  <c:v>7.3561643835616444</c:v>
                </c:pt>
                <c:pt idx="62">
                  <c:v>6.1351351351351342</c:v>
                </c:pt>
                <c:pt idx="63">
                  <c:v>6.4142857142857137</c:v>
                </c:pt>
                <c:pt idx="64">
                  <c:v>6.8767123287671232</c:v>
                </c:pt>
                <c:pt idx="65">
                  <c:v>6.8767123287671232</c:v>
                </c:pt>
                <c:pt idx="66">
                  <c:v>6.64</c:v>
                </c:pt>
                <c:pt idx="67">
                  <c:v>6.619718309859155</c:v>
                </c:pt>
                <c:pt idx="68">
                  <c:v>6.9014084507042268</c:v>
                </c:pt>
                <c:pt idx="69">
                  <c:v>7.5466666666666669</c:v>
                </c:pt>
                <c:pt idx="70">
                  <c:v>5.2717391304347831</c:v>
                </c:pt>
                <c:pt idx="71">
                  <c:v>7.6447368421052628</c:v>
                </c:pt>
                <c:pt idx="72">
                  <c:v>7.384615384615385</c:v>
                </c:pt>
                <c:pt idx="73">
                  <c:v>8.1666666666666661</c:v>
                </c:pt>
                <c:pt idx="74">
                  <c:v>7.6447368421052628</c:v>
                </c:pt>
                <c:pt idx="75">
                  <c:v>6.9146341463414647</c:v>
                </c:pt>
                <c:pt idx="76">
                  <c:v>6.8292682926829285</c:v>
                </c:pt>
                <c:pt idx="77">
                  <c:v>6.8292682926829285</c:v>
                </c:pt>
                <c:pt idx="78">
                  <c:v>7.0250000000000004</c:v>
                </c:pt>
                <c:pt idx="79">
                  <c:v>7.6447368421052628</c:v>
                </c:pt>
                <c:pt idx="80">
                  <c:v>7.3947368421052637</c:v>
                </c:pt>
                <c:pt idx="81">
                  <c:v>6.9146341463414647</c:v>
                </c:pt>
                <c:pt idx="82">
                  <c:v>7.9743589743589745</c:v>
                </c:pt>
                <c:pt idx="83">
                  <c:v>7.6052631578947354</c:v>
                </c:pt>
                <c:pt idx="84">
                  <c:v>7.6447368421052628</c:v>
                </c:pt>
                <c:pt idx="85">
                  <c:v>7.4358974358974361</c:v>
                </c:pt>
                <c:pt idx="86">
                  <c:v>6.8636363636363633</c:v>
                </c:pt>
                <c:pt idx="87">
                  <c:v>8.7222222222222214</c:v>
                </c:pt>
                <c:pt idx="88">
                  <c:v>8.7222222222222214</c:v>
                </c:pt>
                <c:pt idx="89">
                  <c:v>8.7222222222222214</c:v>
                </c:pt>
                <c:pt idx="90">
                  <c:v>8.1184210526315788</c:v>
                </c:pt>
                <c:pt idx="91">
                  <c:v>8.1184210526315788</c:v>
                </c:pt>
                <c:pt idx="92">
                  <c:v>7.5180722891566258</c:v>
                </c:pt>
                <c:pt idx="93">
                  <c:v>6.526315789473685</c:v>
                </c:pt>
                <c:pt idx="94">
                  <c:v>5.8095238095238102</c:v>
                </c:pt>
                <c:pt idx="95">
                  <c:v>5.4999999999999991</c:v>
                </c:pt>
                <c:pt idx="96">
                  <c:v>5.0789473684210531</c:v>
                </c:pt>
                <c:pt idx="97">
                  <c:v>6.1408450704225368</c:v>
                </c:pt>
                <c:pt idx="98">
                  <c:v>5.0789473684210531</c:v>
                </c:pt>
                <c:pt idx="99">
                  <c:v>6.0000000000000009</c:v>
                </c:pt>
                <c:pt idx="100">
                  <c:v>6.1204819277108422</c:v>
                </c:pt>
                <c:pt idx="101">
                  <c:v>5.0561797752808983</c:v>
                </c:pt>
                <c:pt idx="102">
                  <c:v>6.8421052631578947</c:v>
                </c:pt>
                <c:pt idx="103">
                  <c:v>8.1666666666666661</c:v>
                </c:pt>
                <c:pt idx="104">
                  <c:v>7.384615384615385</c:v>
                </c:pt>
                <c:pt idx="105">
                  <c:v>7.4358974358974361</c:v>
                </c:pt>
                <c:pt idx="106">
                  <c:v>7.7857142857142865</c:v>
                </c:pt>
                <c:pt idx="107">
                  <c:v>7.6190476190476195</c:v>
                </c:pt>
                <c:pt idx="108">
                  <c:v>5.7706535141800241</c:v>
                </c:pt>
                <c:pt idx="109">
                  <c:v>4.5</c:v>
                </c:pt>
                <c:pt idx="110">
                  <c:v>6.0196905766526019</c:v>
                </c:pt>
                <c:pt idx="111">
                  <c:v>5.0000000000000009</c:v>
                </c:pt>
                <c:pt idx="112">
                  <c:v>4.8000000000000007</c:v>
                </c:pt>
                <c:pt idx="113">
                  <c:v>5.1724137931034484</c:v>
                </c:pt>
                <c:pt idx="114">
                  <c:v>5.5918367346938762</c:v>
                </c:pt>
                <c:pt idx="115">
                  <c:v>4.5438596491228065</c:v>
                </c:pt>
                <c:pt idx="116">
                  <c:v>6.75</c:v>
                </c:pt>
                <c:pt idx="117">
                  <c:v>4.1538461538461542</c:v>
                </c:pt>
                <c:pt idx="118">
                  <c:v>4.4642857142857153</c:v>
                </c:pt>
                <c:pt idx="119">
                  <c:v>4.709090909090909</c:v>
                </c:pt>
                <c:pt idx="120">
                  <c:v>4.4642857142857153</c:v>
                </c:pt>
                <c:pt idx="121">
                  <c:v>4.8653846153846159</c:v>
                </c:pt>
                <c:pt idx="122">
                  <c:v>4.7735849056603783</c:v>
                </c:pt>
                <c:pt idx="123">
                  <c:v>4.8653846153846159</c:v>
                </c:pt>
                <c:pt idx="124">
                  <c:v>5.1219512195121952</c:v>
                </c:pt>
                <c:pt idx="125">
                  <c:v>6.1489361702127647</c:v>
                </c:pt>
                <c:pt idx="126">
                  <c:v>4.3103448275862073</c:v>
                </c:pt>
                <c:pt idx="127">
                  <c:v>4.7619047619047628</c:v>
                </c:pt>
                <c:pt idx="128">
                  <c:v>4.4406779661016937</c:v>
                </c:pt>
                <c:pt idx="129">
                  <c:v>5.8000000000000007</c:v>
                </c:pt>
                <c:pt idx="130">
                  <c:v>4.6875</c:v>
                </c:pt>
                <c:pt idx="131">
                  <c:v>5.161290322580645</c:v>
                </c:pt>
                <c:pt idx="132">
                  <c:v>4.5689655172413799</c:v>
                </c:pt>
                <c:pt idx="133">
                  <c:v>5.5357142857142865</c:v>
                </c:pt>
                <c:pt idx="134">
                  <c:v>5.8000000000000007</c:v>
                </c:pt>
                <c:pt idx="135">
                  <c:v>4.1515151515151514</c:v>
                </c:pt>
                <c:pt idx="136">
                  <c:v>5.07936507936508</c:v>
                </c:pt>
                <c:pt idx="137">
                  <c:v>5.1219512195121952</c:v>
                </c:pt>
                <c:pt idx="138">
                  <c:v>4.5890410958904111</c:v>
                </c:pt>
                <c:pt idx="139">
                  <c:v>4.6101694915254239</c:v>
                </c:pt>
                <c:pt idx="140">
                  <c:v>5.1269841269841265</c:v>
                </c:pt>
                <c:pt idx="141">
                  <c:v>4.5689655172413799</c:v>
                </c:pt>
                <c:pt idx="142">
                  <c:v>4.3283582089552235</c:v>
                </c:pt>
                <c:pt idx="143">
                  <c:v>5.8000000000000007</c:v>
                </c:pt>
                <c:pt idx="144">
                  <c:v>5.2333333333333325</c:v>
                </c:pt>
                <c:pt idx="145">
                  <c:v>4.693548387096774</c:v>
                </c:pt>
                <c:pt idx="146">
                  <c:v>5.4137931034482767</c:v>
                </c:pt>
                <c:pt idx="147">
                  <c:v>4.6612903225806441</c:v>
                </c:pt>
                <c:pt idx="148">
                  <c:v>4.6612903225806441</c:v>
                </c:pt>
                <c:pt idx="149">
                  <c:v>4.9384615384615378</c:v>
                </c:pt>
                <c:pt idx="150">
                  <c:v>4.4666666666666668</c:v>
                </c:pt>
                <c:pt idx="151">
                  <c:v>4.765625</c:v>
                </c:pt>
                <c:pt idx="152">
                  <c:v>4.6875</c:v>
                </c:pt>
                <c:pt idx="153">
                  <c:v>4.9824561403508758</c:v>
                </c:pt>
                <c:pt idx="154">
                  <c:v>4.7571428571428562</c:v>
                </c:pt>
                <c:pt idx="155">
                  <c:v>5.0000000000000009</c:v>
                </c:pt>
                <c:pt idx="156">
                  <c:v>5.8653846153846159</c:v>
                </c:pt>
                <c:pt idx="157">
                  <c:v>5.234375</c:v>
                </c:pt>
                <c:pt idx="158">
                  <c:v>5.9615384615384617</c:v>
                </c:pt>
                <c:pt idx="159">
                  <c:v>4.9253731343283578</c:v>
                </c:pt>
                <c:pt idx="160">
                  <c:v>5.5555555555555562</c:v>
                </c:pt>
                <c:pt idx="161">
                  <c:v>5.5172413793103452</c:v>
                </c:pt>
                <c:pt idx="162">
                  <c:v>5.3442622950819674</c:v>
                </c:pt>
                <c:pt idx="163">
                  <c:v>4.7014925373134329</c:v>
                </c:pt>
                <c:pt idx="164">
                  <c:v>5.2238805970149249</c:v>
                </c:pt>
                <c:pt idx="165">
                  <c:v>5.3442622950819674</c:v>
                </c:pt>
                <c:pt idx="166">
                  <c:v>5.1793721973094167</c:v>
                </c:pt>
                <c:pt idx="167">
                  <c:v>5.2333333333333325</c:v>
                </c:pt>
                <c:pt idx="168">
                  <c:v>6.2758620689655178</c:v>
                </c:pt>
                <c:pt idx="169">
                  <c:v>6.4814814814814801</c:v>
                </c:pt>
                <c:pt idx="170">
                  <c:v>5.0151515151515156</c:v>
                </c:pt>
                <c:pt idx="171">
                  <c:v>4.7260273972602738</c:v>
                </c:pt>
                <c:pt idx="172">
                  <c:v>4.828125</c:v>
                </c:pt>
                <c:pt idx="173">
                  <c:v>4.828125</c:v>
                </c:pt>
                <c:pt idx="174">
                  <c:v>5.4090909090909101</c:v>
                </c:pt>
                <c:pt idx="175">
                  <c:v>5.9836065573770494</c:v>
                </c:pt>
                <c:pt idx="176">
                  <c:v>5.887096774193548</c:v>
                </c:pt>
                <c:pt idx="177">
                  <c:v>4.6578947368421053</c:v>
                </c:pt>
                <c:pt idx="178">
                  <c:v>3.5555555555555558</c:v>
                </c:pt>
                <c:pt idx="179">
                  <c:v>6.2413793103448283</c:v>
                </c:pt>
                <c:pt idx="180">
                  <c:v>5.3770491803278686</c:v>
                </c:pt>
                <c:pt idx="181">
                  <c:v>6.8474576271186427</c:v>
                </c:pt>
                <c:pt idx="182">
                  <c:v>3.9540229885057472</c:v>
                </c:pt>
                <c:pt idx="183">
                  <c:v>4.8461538461538458</c:v>
                </c:pt>
                <c:pt idx="184">
                  <c:v>4.2666666666666666</c:v>
                </c:pt>
                <c:pt idx="185">
                  <c:v>5.4347826086956514</c:v>
                </c:pt>
                <c:pt idx="186">
                  <c:v>3.8888888888888888</c:v>
                </c:pt>
                <c:pt idx="187">
                  <c:v>3.8888888888888888</c:v>
                </c:pt>
                <c:pt idx="188">
                  <c:v>3.8888888888888888</c:v>
                </c:pt>
                <c:pt idx="189">
                  <c:v>5.234375</c:v>
                </c:pt>
                <c:pt idx="190">
                  <c:v>3.9756097560975614</c:v>
                </c:pt>
                <c:pt idx="191">
                  <c:v>6.9999999999999991</c:v>
                </c:pt>
                <c:pt idx="192">
                  <c:v>6.2812500000000009</c:v>
                </c:pt>
                <c:pt idx="193">
                  <c:v>5.8579462326261886</c:v>
                </c:pt>
                <c:pt idx="194">
                  <c:v>6.2812500000000009</c:v>
                </c:pt>
                <c:pt idx="195">
                  <c:v>5.8208955223880592</c:v>
                </c:pt>
                <c:pt idx="196">
                  <c:v>4.9253731343283578</c:v>
                </c:pt>
                <c:pt idx="197">
                  <c:v>4.0232558139534884</c:v>
                </c:pt>
                <c:pt idx="198">
                  <c:v>5.9382716049382722</c:v>
                </c:pt>
                <c:pt idx="199">
                  <c:v>4.9420289855072461</c:v>
                </c:pt>
                <c:pt idx="200">
                  <c:v>5.208333333333333</c:v>
                </c:pt>
                <c:pt idx="201">
                  <c:v>6.1470588235294112</c:v>
                </c:pt>
                <c:pt idx="202">
                  <c:v>6.8412698412698427</c:v>
                </c:pt>
                <c:pt idx="203">
                  <c:v>5.7323943661971848</c:v>
                </c:pt>
                <c:pt idx="204">
                  <c:v>5.7357723577235769</c:v>
                </c:pt>
                <c:pt idx="205">
                  <c:v>6.4043478260869566</c:v>
                </c:pt>
                <c:pt idx="206">
                  <c:v>4.8624999999999998</c:v>
                </c:pt>
                <c:pt idx="207">
                  <c:v>5.4347826086956514</c:v>
                </c:pt>
                <c:pt idx="208">
                  <c:v>5</c:v>
                </c:pt>
                <c:pt idx="209">
                  <c:v>4.8250000000000002</c:v>
                </c:pt>
                <c:pt idx="210">
                  <c:v>6.0597014925373127</c:v>
                </c:pt>
                <c:pt idx="211">
                  <c:v>4.2558139534883725</c:v>
                </c:pt>
                <c:pt idx="212">
                  <c:v>5.04</c:v>
                </c:pt>
                <c:pt idx="213">
                  <c:v>4.9873417721518987</c:v>
                </c:pt>
                <c:pt idx="214">
                  <c:v>5.5260869565217385</c:v>
                </c:pt>
                <c:pt idx="215">
                  <c:v>6.1351351351351342</c:v>
                </c:pt>
                <c:pt idx="216">
                  <c:v>5.9423868312757202</c:v>
                </c:pt>
                <c:pt idx="217">
                  <c:v>6.1408450704225368</c:v>
                </c:pt>
                <c:pt idx="218">
                  <c:v>5.887323943661972</c:v>
                </c:pt>
                <c:pt idx="219">
                  <c:v>5.1219512195121952</c:v>
                </c:pt>
                <c:pt idx="220">
                  <c:v>6.7605633802816918</c:v>
                </c:pt>
                <c:pt idx="221">
                  <c:v>6.7605633802816918</c:v>
                </c:pt>
                <c:pt idx="222">
                  <c:v>6.4043478260869566</c:v>
                </c:pt>
                <c:pt idx="223">
                  <c:v>6.4146341463414638</c:v>
                </c:pt>
                <c:pt idx="224">
                  <c:v>6.1382113821138207</c:v>
                </c:pt>
                <c:pt idx="225">
                  <c:v>6.1999999999999993</c:v>
                </c:pt>
                <c:pt idx="226">
                  <c:v>6.1999999999999993</c:v>
                </c:pt>
                <c:pt idx="227">
                  <c:v>5.3822314049586781</c:v>
                </c:pt>
                <c:pt idx="228">
                  <c:v>6.8630136986301373</c:v>
                </c:pt>
                <c:pt idx="229">
                  <c:v>5.9459459459459456</c:v>
                </c:pt>
                <c:pt idx="230">
                  <c:v>5.7142857142857135</c:v>
                </c:pt>
                <c:pt idx="231">
                  <c:v>6.1341463414634143</c:v>
                </c:pt>
                <c:pt idx="232">
                  <c:v>6.7272727272727275</c:v>
                </c:pt>
                <c:pt idx="233">
                  <c:v>5.6857142857142851</c:v>
                </c:pt>
                <c:pt idx="234">
                  <c:v>6.5696202531645564</c:v>
                </c:pt>
                <c:pt idx="235">
                  <c:v>5.4</c:v>
                </c:pt>
                <c:pt idx="236">
                  <c:v>6.8089887640449431</c:v>
                </c:pt>
                <c:pt idx="237">
                  <c:v>8.1666666666666661</c:v>
                </c:pt>
                <c:pt idx="238">
                  <c:v>8.1666666666666661</c:v>
                </c:pt>
                <c:pt idx="239">
                  <c:v>7.5657894736842106</c:v>
                </c:pt>
                <c:pt idx="240">
                  <c:v>6.2555555555555546</c:v>
                </c:pt>
                <c:pt idx="241">
                  <c:v>6.2555555555555546</c:v>
                </c:pt>
                <c:pt idx="242">
                  <c:v>6.5325203252032509</c:v>
                </c:pt>
                <c:pt idx="243">
                  <c:v>4.7619047619047628</c:v>
                </c:pt>
                <c:pt idx="244">
                  <c:v>8.3055555555555554</c:v>
                </c:pt>
                <c:pt idx="245">
                  <c:v>5.4799999999999995</c:v>
                </c:pt>
                <c:pt idx="246">
                  <c:v>6.9146341463414647</c:v>
                </c:pt>
                <c:pt idx="247">
                  <c:v>6.5333333333333341</c:v>
                </c:pt>
                <c:pt idx="248">
                  <c:v>6.8125</c:v>
                </c:pt>
                <c:pt idx="249">
                  <c:v>5.2981366459627326</c:v>
                </c:pt>
                <c:pt idx="250">
                  <c:v>7.6447368421052628</c:v>
                </c:pt>
                <c:pt idx="251">
                  <c:v>7.6447368421052628</c:v>
                </c:pt>
                <c:pt idx="252">
                  <c:v>7</c:v>
                </c:pt>
                <c:pt idx="253">
                  <c:v>7.6447368421052628</c:v>
                </c:pt>
                <c:pt idx="254">
                  <c:v>6.8250000000000002</c:v>
                </c:pt>
                <c:pt idx="255">
                  <c:v>7.6447368421052628</c:v>
                </c:pt>
                <c:pt idx="256">
                  <c:v>7.6447368421052628</c:v>
                </c:pt>
                <c:pt idx="257">
                  <c:v>5.8333333333333339</c:v>
                </c:pt>
                <c:pt idx="258">
                  <c:v>6.2959641255605385</c:v>
                </c:pt>
                <c:pt idx="259">
                  <c:v>6.8125</c:v>
                </c:pt>
                <c:pt idx="260">
                  <c:v>6.0000000000000009</c:v>
                </c:pt>
                <c:pt idx="261">
                  <c:v>7.073170731707318</c:v>
                </c:pt>
                <c:pt idx="262">
                  <c:v>8.1184210526315788</c:v>
                </c:pt>
                <c:pt idx="263">
                  <c:v>8.8888888888888893</c:v>
                </c:pt>
                <c:pt idx="264">
                  <c:v>7.1728395061728394</c:v>
                </c:pt>
                <c:pt idx="265">
                  <c:v>6.395348837209303</c:v>
                </c:pt>
                <c:pt idx="266">
                  <c:v>5.8192771084337336</c:v>
                </c:pt>
                <c:pt idx="267">
                  <c:v>5.7058823529411766</c:v>
                </c:pt>
                <c:pt idx="268">
                  <c:v>5.6395348837209305</c:v>
                </c:pt>
                <c:pt idx="269">
                  <c:v>5.65</c:v>
                </c:pt>
                <c:pt idx="270">
                  <c:v>5.2190476190476192</c:v>
                </c:pt>
                <c:pt idx="271">
                  <c:v>5.6140350877192979</c:v>
                </c:pt>
              </c:numCache>
            </c:numRef>
          </c:yVal>
          <c:smooth val="1"/>
          <c:extLst>
            <c:ext xmlns:c16="http://schemas.microsoft.com/office/drawing/2014/chart" uri="{C3380CC4-5D6E-409C-BE32-E72D297353CC}">
              <c16:uniqueId val="{00000000-2CF6-441B-9675-9779122AB909}"/>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3353460030882212"/>
                  <c:y val="-0.23272080035103435"/>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xVal>
          <c:yVal>
            <c:numRef>
              <c:f>'Task 1 Converted AMI PDF Stats'!$R$5:$R$12</c:f>
              <c:numCache>
                <c:formatCode>0.00</c:formatCode>
                <c:ptCount val="8"/>
                <c:pt idx="0">
                  <c:v>5.7241379310344822</c:v>
                </c:pt>
                <c:pt idx="1">
                  <c:v>6.666666666666667</c:v>
                </c:pt>
                <c:pt idx="2">
                  <c:v>6.3058823529411772</c:v>
                </c:pt>
                <c:pt idx="3">
                  <c:v>7.125</c:v>
                </c:pt>
                <c:pt idx="4">
                  <c:v>5.6470588235294121</c:v>
                </c:pt>
                <c:pt idx="5">
                  <c:v>4.8782608695652181</c:v>
                </c:pt>
                <c:pt idx="6">
                  <c:v>6.8705882352941181</c:v>
                </c:pt>
                <c:pt idx="7">
                  <c:v>7.3411764705882359</c:v>
                </c:pt>
              </c:numCache>
            </c:numRef>
          </c:yVal>
          <c:smooth val="1"/>
          <c:extLst>
            <c:ext xmlns:c16="http://schemas.microsoft.com/office/drawing/2014/chart" uri="{C3380CC4-5D6E-409C-BE32-E72D297353CC}">
              <c16:uniqueId val="{00000001-2CF6-441B-9675-9779122AB909}"/>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2346927692643181"/>
                  <c:y val="1.3835058252802762E-2"/>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xVal>
          <c:yVal>
            <c:numRef>
              <c:f>'Task 1 Converted AMI PDF Stats'!$R$13:$R$98</c:f>
              <c:numCache>
                <c:formatCode>0.00</c:formatCode>
                <c:ptCount val="86"/>
                <c:pt idx="0">
                  <c:v>4.5454545454545459</c:v>
                </c:pt>
                <c:pt idx="1">
                  <c:v>4.3859649122807012</c:v>
                </c:pt>
                <c:pt idx="2">
                  <c:v>4.2857142857142865</c:v>
                </c:pt>
                <c:pt idx="3">
                  <c:v>4.2857142857142865</c:v>
                </c:pt>
                <c:pt idx="4">
                  <c:v>4.1803278688524594</c:v>
                </c:pt>
                <c:pt idx="5">
                  <c:v>5.07936507936508</c:v>
                </c:pt>
                <c:pt idx="6">
                  <c:v>4.4202898550724639</c:v>
                </c:pt>
                <c:pt idx="7">
                  <c:v>7.1851851851851842</c:v>
                </c:pt>
                <c:pt idx="8">
                  <c:v>7.1851851851851842</c:v>
                </c:pt>
                <c:pt idx="9">
                  <c:v>7.1851851851851842</c:v>
                </c:pt>
                <c:pt idx="10">
                  <c:v>7.1851851851851842</c:v>
                </c:pt>
                <c:pt idx="11">
                  <c:v>4.7761194029850742</c:v>
                </c:pt>
                <c:pt idx="12">
                  <c:v>4.7681159420289854</c:v>
                </c:pt>
                <c:pt idx="13">
                  <c:v>5.36231884057971</c:v>
                </c:pt>
                <c:pt idx="14">
                  <c:v>7.5925925925925908</c:v>
                </c:pt>
                <c:pt idx="15">
                  <c:v>5.887096774193548</c:v>
                </c:pt>
                <c:pt idx="16">
                  <c:v>5.4545454545454541</c:v>
                </c:pt>
                <c:pt idx="17">
                  <c:v>5.1971830985915499</c:v>
                </c:pt>
                <c:pt idx="18">
                  <c:v>5.1791044776119408</c:v>
                </c:pt>
                <c:pt idx="19">
                  <c:v>6.6180257510729605</c:v>
                </c:pt>
                <c:pt idx="20">
                  <c:v>5.8208955223880592</c:v>
                </c:pt>
                <c:pt idx="21">
                  <c:v>5.9027777777777768</c:v>
                </c:pt>
                <c:pt idx="22">
                  <c:v>5.906779661016949</c:v>
                </c:pt>
                <c:pt idx="23">
                  <c:v>6.0714285714285712</c:v>
                </c:pt>
                <c:pt idx="24">
                  <c:v>5.0789473684210531</c:v>
                </c:pt>
                <c:pt idx="25">
                  <c:v>5.0789473684210531</c:v>
                </c:pt>
                <c:pt idx="26">
                  <c:v>5.0789473684210531</c:v>
                </c:pt>
                <c:pt idx="27">
                  <c:v>5.6764705882352944</c:v>
                </c:pt>
                <c:pt idx="28">
                  <c:v>5.125</c:v>
                </c:pt>
                <c:pt idx="29">
                  <c:v>5.0789473684210531</c:v>
                </c:pt>
                <c:pt idx="30">
                  <c:v>5.0789473684210531</c:v>
                </c:pt>
                <c:pt idx="31">
                  <c:v>7.1093749999999991</c:v>
                </c:pt>
                <c:pt idx="32">
                  <c:v>4.8421052631578947</c:v>
                </c:pt>
                <c:pt idx="33">
                  <c:v>6.9117647058823524</c:v>
                </c:pt>
                <c:pt idx="34">
                  <c:v>6.1408450704225368</c:v>
                </c:pt>
                <c:pt idx="35">
                  <c:v>6.4142857142857137</c:v>
                </c:pt>
                <c:pt idx="36">
                  <c:v>6.8630136986301373</c:v>
                </c:pt>
                <c:pt idx="37">
                  <c:v>4.9873417721518987</c:v>
                </c:pt>
                <c:pt idx="38">
                  <c:v>6.4142857142857137</c:v>
                </c:pt>
                <c:pt idx="39">
                  <c:v>6.619718309859155</c:v>
                </c:pt>
                <c:pt idx="40">
                  <c:v>6.4285714285714279</c:v>
                </c:pt>
                <c:pt idx="41">
                  <c:v>6.4142857142857137</c:v>
                </c:pt>
                <c:pt idx="42">
                  <c:v>6.4142857142857137</c:v>
                </c:pt>
                <c:pt idx="43">
                  <c:v>6.4142857142857137</c:v>
                </c:pt>
                <c:pt idx="44">
                  <c:v>5.3571428571428568</c:v>
                </c:pt>
                <c:pt idx="45">
                  <c:v>6.4043478260869566</c:v>
                </c:pt>
                <c:pt idx="46">
                  <c:v>6.4142857142857137</c:v>
                </c:pt>
                <c:pt idx="47">
                  <c:v>6.7142857142857135</c:v>
                </c:pt>
                <c:pt idx="48">
                  <c:v>6.7142857142857135</c:v>
                </c:pt>
                <c:pt idx="49">
                  <c:v>6.7043478260869565</c:v>
                </c:pt>
                <c:pt idx="50">
                  <c:v>6.7142857142857135</c:v>
                </c:pt>
                <c:pt idx="51">
                  <c:v>6.7142857142857135</c:v>
                </c:pt>
                <c:pt idx="52">
                  <c:v>6.0675675675675667</c:v>
                </c:pt>
                <c:pt idx="53">
                  <c:v>7.3561643835616444</c:v>
                </c:pt>
                <c:pt idx="54">
                  <c:v>6.1351351351351342</c:v>
                </c:pt>
                <c:pt idx="55">
                  <c:v>6.4142857142857137</c:v>
                </c:pt>
                <c:pt idx="56">
                  <c:v>6.8767123287671232</c:v>
                </c:pt>
                <c:pt idx="57">
                  <c:v>6.8767123287671232</c:v>
                </c:pt>
                <c:pt idx="58">
                  <c:v>6.64</c:v>
                </c:pt>
                <c:pt idx="59">
                  <c:v>6.619718309859155</c:v>
                </c:pt>
                <c:pt idx="60">
                  <c:v>6.9014084507042268</c:v>
                </c:pt>
                <c:pt idx="61">
                  <c:v>7.5466666666666669</c:v>
                </c:pt>
                <c:pt idx="62">
                  <c:v>5.2717391304347831</c:v>
                </c:pt>
                <c:pt idx="63">
                  <c:v>7.6447368421052628</c:v>
                </c:pt>
                <c:pt idx="64">
                  <c:v>7.384615384615385</c:v>
                </c:pt>
                <c:pt idx="65">
                  <c:v>8.1666666666666661</c:v>
                </c:pt>
                <c:pt idx="66">
                  <c:v>7.6447368421052628</c:v>
                </c:pt>
                <c:pt idx="67">
                  <c:v>6.9146341463414647</c:v>
                </c:pt>
                <c:pt idx="68">
                  <c:v>6.8292682926829285</c:v>
                </c:pt>
                <c:pt idx="69">
                  <c:v>6.8292682926829285</c:v>
                </c:pt>
                <c:pt idx="70">
                  <c:v>7.0250000000000004</c:v>
                </c:pt>
                <c:pt idx="71">
                  <c:v>7.6447368421052628</c:v>
                </c:pt>
                <c:pt idx="72">
                  <c:v>7.3947368421052637</c:v>
                </c:pt>
                <c:pt idx="73">
                  <c:v>6.9146341463414647</c:v>
                </c:pt>
                <c:pt idx="74">
                  <c:v>7.9743589743589745</c:v>
                </c:pt>
                <c:pt idx="75">
                  <c:v>7.6052631578947354</c:v>
                </c:pt>
                <c:pt idx="76">
                  <c:v>7.6447368421052628</c:v>
                </c:pt>
                <c:pt idx="77">
                  <c:v>7.4358974358974361</c:v>
                </c:pt>
                <c:pt idx="78">
                  <c:v>6.8636363636363633</c:v>
                </c:pt>
                <c:pt idx="79">
                  <c:v>8.7222222222222214</c:v>
                </c:pt>
                <c:pt idx="80">
                  <c:v>8.7222222222222214</c:v>
                </c:pt>
                <c:pt idx="81">
                  <c:v>8.7222222222222214</c:v>
                </c:pt>
                <c:pt idx="82">
                  <c:v>8.1184210526315788</c:v>
                </c:pt>
                <c:pt idx="83">
                  <c:v>8.1184210526315788</c:v>
                </c:pt>
                <c:pt idx="84">
                  <c:v>7.5180722891566258</c:v>
                </c:pt>
                <c:pt idx="85">
                  <c:v>6.526315789473685</c:v>
                </c:pt>
              </c:numCache>
            </c:numRef>
          </c:yVal>
          <c:smooth val="1"/>
          <c:extLst>
            <c:ext xmlns:c16="http://schemas.microsoft.com/office/drawing/2014/chart" uri="{C3380CC4-5D6E-409C-BE32-E72D297353CC}">
              <c16:uniqueId val="{00000002-2CF6-441B-9675-9779122AB909}"/>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18690167536493163"/>
                  <c:y val="8.0834850261495172E-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xVal>
          <c:yVal>
            <c:numRef>
              <c:f>'Task 1 Converted AMI PDF Stats'!$R$99:$R$112</c:f>
              <c:numCache>
                <c:formatCode>0.00</c:formatCode>
                <c:ptCount val="14"/>
                <c:pt idx="0">
                  <c:v>5.8095238095238102</c:v>
                </c:pt>
                <c:pt idx="1">
                  <c:v>5.4999999999999991</c:v>
                </c:pt>
                <c:pt idx="2">
                  <c:v>5.0789473684210531</c:v>
                </c:pt>
                <c:pt idx="3">
                  <c:v>6.1408450704225368</c:v>
                </c:pt>
                <c:pt idx="4">
                  <c:v>5.0789473684210531</c:v>
                </c:pt>
                <c:pt idx="5">
                  <c:v>6.0000000000000009</c:v>
                </c:pt>
                <c:pt idx="6">
                  <c:v>6.1204819277108422</c:v>
                </c:pt>
                <c:pt idx="7">
                  <c:v>5.0561797752808983</c:v>
                </c:pt>
                <c:pt idx="8">
                  <c:v>6.8421052631578947</c:v>
                </c:pt>
                <c:pt idx="9">
                  <c:v>8.1666666666666661</c:v>
                </c:pt>
                <c:pt idx="10">
                  <c:v>7.384615384615385</c:v>
                </c:pt>
                <c:pt idx="11">
                  <c:v>7.4358974358974361</c:v>
                </c:pt>
                <c:pt idx="12">
                  <c:v>7.7857142857142865</c:v>
                </c:pt>
                <c:pt idx="13">
                  <c:v>7.6190476190476195</c:v>
                </c:pt>
              </c:numCache>
            </c:numRef>
          </c:yVal>
          <c:smooth val="1"/>
          <c:extLst>
            <c:ext xmlns:c16="http://schemas.microsoft.com/office/drawing/2014/chart" uri="{C3380CC4-5D6E-409C-BE32-E72D297353CC}">
              <c16:uniqueId val="{00000003-2CF6-441B-9675-9779122AB909}"/>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725931904684724"/>
                  <c:y val="5.0247762512809158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xVal>
          <c:yVal>
            <c:numRef>
              <c:f>'Task 1 Converted AMI PDF Stats'!$R$113:$R$276</c:f>
              <c:numCache>
                <c:formatCode>0.00</c:formatCode>
                <c:ptCount val="164"/>
                <c:pt idx="0">
                  <c:v>5.7706535141800241</c:v>
                </c:pt>
                <c:pt idx="1">
                  <c:v>4.5</c:v>
                </c:pt>
                <c:pt idx="2">
                  <c:v>6.0196905766526019</c:v>
                </c:pt>
                <c:pt idx="3">
                  <c:v>5.0000000000000009</c:v>
                </c:pt>
                <c:pt idx="4">
                  <c:v>4.8000000000000007</c:v>
                </c:pt>
                <c:pt idx="5">
                  <c:v>5.1724137931034484</c:v>
                </c:pt>
                <c:pt idx="6">
                  <c:v>5.5918367346938762</c:v>
                </c:pt>
                <c:pt idx="7">
                  <c:v>4.5438596491228065</c:v>
                </c:pt>
                <c:pt idx="8">
                  <c:v>6.75</c:v>
                </c:pt>
                <c:pt idx="9">
                  <c:v>4.1538461538461542</c:v>
                </c:pt>
                <c:pt idx="10">
                  <c:v>4.4642857142857153</c:v>
                </c:pt>
                <c:pt idx="11">
                  <c:v>4.709090909090909</c:v>
                </c:pt>
                <c:pt idx="12">
                  <c:v>4.4642857142857153</c:v>
                </c:pt>
                <c:pt idx="13">
                  <c:v>4.8653846153846159</c:v>
                </c:pt>
                <c:pt idx="14">
                  <c:v>4.7735849056603783</c:v>
                </c:pt>
                <c:pt idx="15">
                  <c:v>4.8653846153846159</c:v>
                </c:pt>
                <c:pt idx="16">
                  <c:v>5.1219512195121952</c:v>
                </c:pt>
                <c:pt idx="17">
                  <c:v>6.1489361702127647</c:v>
                </c:pt>
                <c:pt idx="18">
                  <c:v>4.3103448275862073</c:v>
                </c:pt>
                <c:pt idx="19">
                  <c:v>4.7619047619047628</c:v>
                </c:pt>
                <c:pt idx="20">
                  <c:v>4.4406779661016937</c:v>
                </c:pt>
                <c:pt idx="21">
                  <c:v>5.8000000000000007</c:v>
                </c:pt>
                <c:pt idx="22">
                  <c:v>4.6875</c:v>
                </c:pt>
                <c:pt idx="23">
                  <c:v>5.161290322580645</c:v>
                </c:pt>
                <c:pt idx="24">
                  <c:v>4.5689655172413799</c:v>
                </c:pt>
                <c:pt idx="25">
                  <c:v>5.5357142857142865</c:v>
                </c:pt>
                <c:pt idx="26">
                  <c:v>5.8000000000000007</c:v>
                </c:pt>
                <c:pt idx="27">
                  <c:v>4.1515151515151514</c:v>
                </c:pt>
                <c:pt idx="28">
                  <c:v>5.07936507936508</c:v>
                </c:pt>
                <c:pt idx="29">
                  <c:v>5.1219512195121952</c:v>
                </c:pt>
                <c:pt idx="30">
                  <c:v>4.5890410958904111</c:v>
                </c:pt>
                <c:pt idx="31">
                  <c:v>4.6101694915254239</c:v>
                </c:pt>
                <c:pt idx="32">
                  <c:v>5.1269841269841265</c:v>
                </c:pt>
                <c:pt idx="33">
                  <c:v>4.5689655172413799</c:v>
                </c:pt>
                <c:pt idx="34">
                  <c:v>4.3283582089552235</c:v>
                </c:pt>
                <c:pt idx="35">
                  <c:v>5.8000000000000007</c:v>
                </c:pt>
                <c:pt idx="36">
                  <c:v>5.2333333333333325</c:v>
                </c:pt>
                <c:pt idx="37">
                  <c:v>4.693548387096774</c:v>
                </c:pt>
                <c:pt idx="38">
                  <c:v>5.4137931034482767</c:v>
                </c:pt>
                <c:pt idx="39">
                  <c:v>4.6612903225806441</c:v>
                </c:pt>
                <c:pt idx="40">
                  <c:v>4.6612903225806441</c:v>
                </c:pt>
                <c:pt idx="41">
                  <c:v>4.9384615384615378</c:v>
                </c:pt>
                <c:pt idx="42">
                  <c:v>4.4666666666666668</c:v>
                </c:pt>
                <c:pt idx="43">
                  <c:v>4.765625</c:v>
                </c:pt>
                <c:pt idx="44">
                  <c:v>4.6875</c:v>
                </c:pt>
                <c:pt idx="45">
                  <c:v>4.9824561403508758</c:v>
                </c:pt>
                <c:pt idx="46">
                  <c:v>4.7571428571428562</c:v>
                </c:pt>
                <c:pt idx="47">
                  <c:v>5.0000000000000009</c:v>
                </c:pt>
                <c:pt idx="48">
                  <c:v>5.8653846153846159</c:v>
                </c:pt>
                <c:pt idx="49">
                  <c:v>5.234375</c:v>
                </c:pt>
                <c:pt idx="50">
                  <c:v>5.9615384615384617</c:v>
                </c:pt>
                <c:pt idx="51">
                  <c:v>4.9253731343283578</c:v>
                </c:pt>
                <c:pt idx="52">
                  <c:v>5.5555555555555562</c:v>
                </c:pt>
                <c:pt idx="53">
                  <c:v>5.5172413793103452</c:v>
                </c:pt>
                <c:pt idx="54">
                  <c:v>5.3442622950819674</c:v>
                </c:pt>
                <c:pt idx="55">
                  <c:v>4.7014925373134329</c:v>
                </c:pt>
                <c:pt idx="56">
                  <c:v>5.2238805970149249</c:v>
                </c:pt>
                <c:pt idx="57">
                  <c:v>5.3442622950819674</c:v>
                </c:pt>
                <c:pt idx="58">
                  <c:v>5.1793721973094167</c:v>
                </c:pt>
                <c:pt idx="59">
                  <c:v>5.2333333333333325</c:v>
                </c:pt>
                <c:pt idx="60">
                  <c:v>6.2758620689655178</c:v>
                </c:pt>
                <c:pt idx="61">
                  <c:v>6.4814814814814801</c:v>
                </c:pt>
                <c:pt idx="62">
                  <c:v>5.0151515151515156</c:v>
                </c:pt>
                <c:pt idx="63">
                  <c:v>4.7260273972602738</c:v>
                </c:pt>
                <c:pt idx="64">
                  <c:v>4.828125</c:v>
                </c:pt>
                <c:pt idx="65">
                  <c:v>4.828125</c:v>
                </c:pt>
                <c:pt idx="66">
                  <c:v>5.4090909090909101</c:v>
                </c:pt>
                <c:pt idx="67">
                  <c:v>5.9836065573770494</c:v>
                </c:pt>
                <c:pt idx="68">
                  <c:v>5.887096774193548</c:v>
                </c:pt>
                <c:pt idx="69">
                  <c:v>4.6578947368421053</c:v>
                </c:pt>
                <c:pt idx="70">
                  <c:v>3.5555555555555558</c:v>
                </c:pt>
                <c:pt idx="71">
                  <c:v>6.2413793103448283</c:v>
                </c:pt>
                <c:pt idx="72">
                  <c:v>5.3770491803278686</c:v>
                </c:pt>
                <c:pt idx="73">
                  <c:v>6.8474576271186427</c:v>
                </c:pt>
                <c:pt idx="74">
                  <c:v>3.9540229885057472</c:v>
                </c:pt>
                <c:pt idx="75">
                  <c:v>4.8461538461538458</c:v>
                </c:pt>
                <c:pt idx="76">
                  <c:v>4.2666666666666666</c:v>
                </c:pt>
                <c:pt idx="77">
                  <c:v>5.4347826086956514</c:v>
                </c:pt>
                <c:pt idx="78">
                  <c:v>3.8888888888888888</c:v>
                </c:pt>
                <c:pt idx="79">
                  <c:v>3.8888888888888888</c:v>
                </c:pt>
                <c:pt idx="80">
                  <c:v>3.8888888888888888</c:v>
                </c:pt>
                <c:pt idx="81">
                  <c:v>5.234375</c:v>
                </c:pt>
                <c:pt idx="82">
                  <c:v>3.9756097560975614</c:v>
                </c:pt>
                <c:pt idx="83">
                  <c:v>6.9999999999999991</c:v>
                </c:pt>
                <c:pt idx="84">
                  <c:v>6.2812500000000009</c:v>
                </c:pt>
                <c:pt idx="85">
                  <c:v>5.8579462326261886</c:v>
                </c:pt>
                <c:pt idx="86">
                  <c:v>6.2812500000000009</c:v>
                </c:pt>
                <c:pt idx="87">
                  <c:v>5.8208955223880592</c:v>
                </c:pt>
                <c:pt idx="88">
                  <c:v>4.9253731343283578</c:v>
                </c:pt>
                <c:pt idx="89">
                  <c:v>4.0232558139534884</c:v>
                </c:pt>
                <c:pt idx="90">
                  <c:v>5.9382716049382722</c:v>
                </c:pt>
                <c:pt idx="91">
                  <c:v>4.9420289855072461</c:v>
                </c:pt>
                <c:pt idx="92">
                  <c:v>5.208333333333333</c:v>
                </c:pt>
                <c:pt idx="93">
                  <c:v>6.1470588235294112</c:v>
                </c:pt>
                <c:pt idx="94">
                  <c:v>6.8412698412698427</c:v>
                </c:pt>
                <c:pt idx="95">
                  <c:v>5.7323943661971848</c:v>
                </c:pt>
                <c:pt idx="96">
                  <c:v>5.7357723577235769</c:v>
                </c:pt>
                <c:pt idx="97">
                  <c:v>6.4043478260869566</c:v>
                </c:pt>
                <c:pt idx="98">
                  <c:v>4.8624999999999998</c:v>
                </c:pt>
                <c:pt idx="99">
                  <c:v>5.4347826086956514</c:v>
                </c:pt>
                <c:pt idx="100">
                  <c:v>5</c:v>
                </c:pt>
                <c:pt idx="101">
                  <c:v>4.8250000000000002</c:v>
                </c:pt>
                <c:pt idx="102">
                  <c:v>6.0597014925373127</c:v>
                </c:pt>
                <c:pt idx="103">
                  <c:v>4.2558139534883725</c:v>
                </c:pt>
                <c:pt idx="104">
                  <c:v>5.04</c:v>
                </c:pt>
                <c:pt idx="105">
                  <c:v>4.9873417721518987</c:v>
                </c:pt>
                <c:pt idx="106">
                  <c:v>5.5260869565217385</c:v>
                </c:pt>
                <c:pt idx="107">
                  <c:v>6.1351351351351342</c:v>
                </c:pt>
                <c:pt idx="108">
                  <c:v>5.9423868312757202</c:v>
                </c:pt>
                <c:pt idx="109">
                  <c:v>6.1408450704225368</c:v>
                </c:pt>
                <c:pt idx="110">
                  <c:v>5.887323943661972</c:v>
                </c:pt>
                <c:pt idx="111">
                  <c:v>5.1219512195121952</c:v>
                </c:pt>
                <c:pt idx="112">
                  <c:v>6.7605633802816918</c:v>
                </c:pt>
                <c:pt idx="113">
                  <c:v>6.7605633802816918</c:v>
                </c:pt>
                <c:pt idx="114">
                  <c:v>6.4043478260869566</c:v>
                </c:pt>
                <c:pt idx="115">
                  <c:v>6.4146341463414638</c:v>
                </c:pt>
                <c:pt idx="116">
                  <c:v>6.1382113821138207</c:v>
                </c:pt>
                <c:pt idx="117">
                  <c:v>6.1999999999999993</c:v>
                </c:pt>
                <c:pt idx="118">
                  <c:v>6.1999999999999993</c:v>
                </c:pt>
                <c:pt idx="119">
                  <c:v>5.3822314049586781</c:v>
                </c:pt>
                <c:pt idx="120">
                  <c:v>6.8630136986301373</c:v>
                </c:pt>
                <c:pt idx="121">
                  <c:v>5.9459459459459456</c:v>
                </c:pt>
                <c:pt idx="122">
                  <c:v>5.7142857142857135</c:v>
                </c:pt>
                <c:pt idx="123">
                  <c:v>6.1341463414634143</c:v>
                </c:pt>
                <c:pt idx="124">
                  <c:v>6.7272727272727275</c:v>
                </c:pt>
                <c:pt idx="125">
                  <c:v>5.6857142857142851</c:v>
                </c:pt>
                <c:pt idx="126">
                  <c:v>6.5696202531645564</c:v>
                </c:pt>
                <c:pt idx="127">
                  <c:v>5.4</c:v>
                </c:pt>
                <c:pt idx="128">
                  <c:v>6.8089887640449431</c:v>
                </c:pt>
                <c:pt idx="129">
                  <c:v>8.1666666666666661</c:v>
                </c:pt>
                <c:pt idx="130">
                  <c:v>8.1666666666666661</c:v>
                </c:pt>
                <c:pt idx="131">
                  <c:v>7.5657894736842106</c:v>
                </c:pt>
                <c:pt idx="132">
                  <c:v>6.2555555555555546</c:v>
                </c:pt>
                <c:pt idx="133">
                  <c:v>6.2555555555555546</c:v>
                </c:pt>
                <c:pt idx="134">
                  <c:v>6.5325203252032509</c:v>
                </c:pt>
                <c:pt idx="135">
                  <c:v>4.7619047619047628</c:v>
                </c:pt>
                <c:pt idx="136">
                  <c:v>8.3055555555555554</c:v>
                </c:pt>
                <c:pt idx="137">
                  <c:v>5.4799999999999995</c:v>
                </c:pt>
                <c:pt idx="138">
                  <c:v>6.9146341463414647</c:v>
                </c:pt>
                <c:pt idx="139">
                  <c:v>6.5333333333333341</c:v>
                </c:pt>
                <c:pt idx="140">
                  <c:v>6.8125</c:v>
                </c:pt>
                <c:pt idx="141">
                  <c:v>5.2981366459627326</c:v>
                </c:pt>
                <c:pt idx="142">
                  <c:v>7.6447368421052628</c:v>
                </c:pt>
                <c:pt idx="143">
                  <c:v>7.6447368421052628</c:v>
                </c:pt>
                <c:pt idx="144">
                  <c:v>7</c:v>
                </c:pt>
                <c:pt idx="145">
                  <c:v>7.6447368421052628</c:v>
                </c:pt>
                <c:pt idx="146">
                  <c:v>6.8250000000000002</c:v>
                </c:pt>
                <c:pt idx="147">
                  <c:v>7.6447368421052628</c:v>
                </c:pt>
                <c:pt idx="148">
                  <c:v>7.6447368421052628</c:v>
                </c:pt>
                <c:pt idx="149">
                  <c:v>5.8333333333333339</c:v>
                </c:pt>
                <c:pt idx="150">
                  <c:v>6.2959641255605385</c:v>
                </c:pt>
                <c:pt idx="151">
                  <c:v>6.8125</c:v>
                </c:pt>
                <c:pt idx="152">
                  <c:v>6.0000000000000009</c:v>
                </c:pt>
                <c:pt idx="153">
                  <c:v>7.073170731707318</c:v>
                </c:pt>
                <c:pt idx="154">
                  <c:v>8.1184210526315788</c:v>
                </c:pt>
                <c:pt idx="155">
                  <c:v>8.8888888888888893</c:v>
                </c:pt>
                <c:pt idx="156">
                  <c:v>7.1728395061728394</c:v>
                </c:pt>
                <c:pt idx="157">
                  <c:v>6.395348837209303</c:v>
                </c:pt>
                <c:pt idx="158">
                  <c:v>5.8192771084337336</c:v>
                </c:pt>
                <c:pt idx="159">
                  <c:v>5.7058823529411766</c:v>
                </c:pt>
                <c:pt idx="160">
                  <c:v>5.6395348837209305</c:v>
                </c:pt>
                <c:pt idx="161">
                  <c:v>5.65</c:v>
                </c:pt>
                <c:pt idx="162">
                  <c:v>5.2190476190476192</c:v>
                </c:pt>
                <c:pt idx="163">
                  <c:v>5.6140350877192979</c:v>
                </c:pt>
              </c:numCache>
            </c:numRef>
          </c:yVal>
          <c:smooth val="1"/>
          <c:extLst>
            <c:ext xmlns:c16="http://schemas.microsoft.com/office/drawing/2014/chart" uri="{C3380CC4-5D6E-409C-BE32-E72D297353CC}">
              <c16:uniqueId val="{00000004-2CF6-441B-9675-9779122AB909}"/>
            </c:ext>
          </c:extLst>
        </c:ser>
        <c:ser>
          <c:idx val="5"/>
          <c:order val="5"/>
          <c:tx>
            <c:v>FRC</c:v>
          </c:tx>
          <c:spPr>
            <a:ln w="19050">
              <a:noFill/>
            </a:ln>
          </c:spPr>
          <c:marker>
            <c:symbol val="plus"/>
            <c:size val="5"/>
            <c:spPr>
              <a:solidFill>
                <a:srgbClr val="800000"/>
              </a:solidFill>
              <a:ln>
                <a:solidFill>
                  <a:srgbClr val="FF9900"/>
                </a:solidFill>
                <a:prstDash val="solid"/>
              </a:ln>
            </c:spPr>
          </c:marker>
          <c:xVal>
            <c:numRef>
              <c:f>'Task 1 Converted AMI PDF Stats'!$J$283</c:f>
              <c:numCache>
                <c:formatCode>0.0</c:formatCode>
                <c:ptCount val="1"/>
                <c:pt idx="0">
                  <c:v>134.1</c:v>
                </c:pt>
              </c:numCache>
            </c:numRef>
          </c:xVal>
          <c:yVal>
            <c:numRef>
              <c:f>'Task 1 Converted AMI PDF Stats'!$R$283</c:f>
              <c:numCache>
                <c:formatCode>0.00</c:formatCode>
                <c:ptCount val="1"/>
                <c:pt idx="0">
                  <c:v>4.6401384083044981</c:v>
                </c:pt>
              </c:numCache>
            </c:numRef>
          </c:yVal>
          <c:smooth val="1"/>
          <c:extLst>
            <c:ext xmlns:c16="http://schemas.microsoft.com/office/drawing/2014/chart" uri="{C3380CC4-5D6E-409C-BE32-E72D297353CC}">
              <c16:uniqueId val="{00000005-2CF6-441B-9675-9779122AB909}"/>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xVal>
          <c:yVal>
            <c:numRef>
              <c:f>'Task 1 Converted AMI PDF Stats'!$R$284:$R$294</c:f>
              <c:numCache>
                <c:formatCode>0.00</c:formatCode>
                <c:ptCount val="11"/>
                <c:pt idx="0">
                  <c:v>5.7706535141800241</c:v>
                </c:pt>
                <c:pt idx="1">
                  <c:v>4.5</c:v>
                </c:pt>
                <c:pt idx="2">
                  <c:v>6.0196905766526019</c:v>
                </c:pt>
                <c:pt idx="3">
                  <c:v>5.3822314049586781</c:v>
                </c:pt>
                <c:pt idx="4">
                  <c:v>5.1219512195121952</c:v>
                </c:pt>
                <c:pt idx="5">
                  <c:v>5.1219512195121952</c:v>
                </c:pt>
                <c:pt idx="6">
                  <c:v>5.887323943661972</c:v>
                </c:pt>
                <c:pt idx="7">
                  <c:v>5.9459459459459456</c:v>
                </c:pt>
                <c:pt idx="8">
                  <c:v>6.5696202531645564</c:v>
                </c:pt>
                <c:pt idx="9">
                  <c:v>5.234375</c:v>
                </c:pt>
                <c:pt idx="10">
                  <c:v>5.8579462326261886</c:v>
                </c:pt>
              </c:numCache>
            </c:numRef>
          </c:yVal>
          <c:smooth val="1"/>
          <c:extLst>
            <c:ext xmlns:c16="http://schemas.microsoft.com/office/drawing/2014/chart" uri="{C3380CC4-5D6E-409C-BE32-E72D297353CC}">
              <c16:uniqueId val="{00000006-2CF6-441B-9675-9779122AB909}"/>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Stats'!$J$295:$J$298</c:f>
              <c:numCache>
                <c:formatCode>0.0</c:formatCode>
                <c:ptCount val="4"/>
                <c:pt idx="0">
                  <c:v>170.60160000000002</c:v>
                </c:pt>
                <c:pt idx="1">
                  <c:v>157.47840000000002</c:v>
                </c:pt>
                <c:pt idx="2">
                  <c:v>166.66463999999999</c:v>
                </c:pt>
                <c:pt idx="3">
                  <c:v>147.636</c:v>
                </c:pt>
              </c:numCache>
            </c:numRef>
          </c:xVal>
          <c:yVal>
            <c:numRef>
              <c:f>'Task 1 Converted AMI PDF Stats'!$R$295:$R$298</c:f>
              <c:numCache>
                <c:formatCode>0.00</c:formatCode>
                <c:ptCount val="4"/>
                <c:pt idx="0">
                  <c:v>6.8421052631578947</c:v>
                </c:pt>
                <c:pt idx="1">
                  <c:v>6.0000000000000009</c:v>
                </c:pt>
                <c:pt idx="2">
                  <c:v>6.1204819277108422</c:v>
                </c:pt>
                <c:pt idx="3">
                  <c:v>5.0561797752808983</c:v>
                </c:pt>
              </c:numCache>
            </c:numRef>
          </c:yVal>
          <c:smooth val="1"/>
          <c:extLst>
            <c:ext xmlns:c16="http://schemas.microsoft.com/office/drawing/2014/chart" uri="{C3380CC4-5D6E-409C-BE32-E72D297353CC}">
              <c16:uniqueId val="{00000007-2CF6-441B-9675-9779122AB909}"/>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Stats'!$J$299:$J$300</c:f>
              <c:numCache>
                <c:formatCode>0.0</c:formatCode>
                <c:ptCount val="2"/>
                <c:pt idx="0">
                  <c:v>147.30792</c:v>
                </c:pt>
              </c:numCache>
            </c:numRef>
          </c:xVal>
          <c:yVal>
            <c:numRef>
              <c:f>'Task 1 Converted AMI PDF Stats'!$R$299:$R$300</c:f>
              <c:numCache>
                <c:formatCode>0.00</c:formatCode>
                <c:ptCount val="2"/>
                <c:pt idx="0">
                  <c:v>6.4142857142857137</c:v>
                </c:pt>
              </c:numCache>
            </c:numRef>
          </c:yVal>
          <c:smooth val="1"/>
          <c:extLst>
            <c:ext xmlns:c16="http://schemas.microsoft.com/office/drawing/2014/chart" uri="{C3380CC4-5D6E-409C-BE32-E72D297353CC}">
              <c16:uniqueId val="{00000008-2CF6-441B-9675-9779122AB909}"/>
            </c:ext>
          </c:extLst>
        </c:ser>
        <c:dLbls>
          <c:showLegendKey val="0"/>
          <c:showVal val="0"/>
          <c:showCatName val="0"/>
          <c:showSerName val="0"/>
          <c:showPercent val="0"/>
          <c:showBubbleSize val="0"/>
        </c:dLbls>
        <c:axId val="570097800"/>
        <c:axId val="1"/>
      </c:scatterChart>
      <c:valAx>
        <c:axId val="570097800"/>
        <c:scaling>
          <c:orientation val="minMax"/>
          <c:max val="220"/>
          <c:min val="6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 (ft)</a:t>
                </a:r>
              </a:p>
            </c:rich>
          </c:tx>
          <c:layout>
            <c:manualLayout>
              <c:xMode val="edge"/>
              <c:yMode val="edge"/>
              <c:x val="0.40732519422863483"/>
              <c:y val="0.9412724306688418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majorUnit val="20"/>
      </c:valAx>
      <c:valAx>
        <c:axId val="1"/>
        <c:scaling>
          <c:orientation val="minMax"/>
          <c:max val="9"/>
          <c:min val="3"/>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L/B</a:t>
                </a:r>
              </a:p>
            </c:rich>
          </c:tx>
          <c:layout>
            <c:manualLayout>
              <c:xMode val="edge"/>
              <c:yMode val="edge"/>
              <c:x val="2.3307436182019976E-2"/>
              <c:y val="0.46003262642740622"/>
            </c:manualLayout>
          </c:layout>
          <c:overlay val="0"/>
          <c:spPr>
            <a:noFill/>
            <a:ln w="25400">
              <a:noFill/>
            </a:ln>
          </c:spPr>
        </c:title>
        <c:numFmt formatCode="0.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97800"/>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7358490566037741"/>
          <c:y val="0.49102773246329529"/>
          <c:w val="0.22530521642619306"/>
          <c:h val="0.41924959216965746"/>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Length/Draft vs Length</a:t>
            </a:r>
          </a:p>
        </c:rich>
      </c:tx>
      <c:layout>
        <c:manualLayout>
          <c:xMode val="edge"/>
          <c:yMode val="edge"/>
          <c:x val="0.3995560488346282"/>
          <c:y val="1.9575856443719411E-2"/>
        </c:manualLayout>
      </c:layout>
      <c:overlay val="0"/>
      <c:spPr>
        <a:noFill/>
        <a:ln w="25400">
          <a:noFill/>
        </a:ln>
      </c:spPr>
    </c:title>
    <c:autoTitleDeleted val="0"/>
    <c:plotArea>
      <c:layout>
        <c:manualLayout>
          <c:layoutTarget val="inner"/>
          <c:xMode val="edge"/>
          <c:yMode val="edge"/>
          <c:x val="8.990011098779134E-2"/>
          <c:y val="7.3409461663947795E-2"/>
          <c:w val="0.67813540510543835"/>
          <c:h val="0.81729200652528544"/>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8396454464993983"/>
                  <c:y val="5.9484196134663714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Stats'!$J$5:$J$276</c:f>
              <c:numCache>
                <c:formatCode>0.0</c:formatCode>
                <c:ptCount val="272"/>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pt idx="8">
                  <c:v>82.02000000000001</c:v>
                </c:pt>
                <c:pt idx="9">
                  <c:v>82.02000000000001</c:v>
                </c:pt>
                <c:pt idx="10">
                  <c:v>88.581600000000009</c:v>
                </c:pt>
                <c:pt idx="11">
                  <c:v>88.581600000000009</c:v>
                </c:pt>
                <c:pt idx="12">
                  <c:v>83.66040000000001</c:v>
                </c:pt>
                <c:pt idx="13">
                  <c:v>104.98560000000001</c:v>
                </c:pt>
                <c:pt idx="14">
                  <c:v>100.06440000000001</c:v>
                </c:pt>
                <c:pt idx="15">
                  <c:v>127.29504</c:v>
                </c:pt>
                <c:pt idx="16">
                  <c:v>127.29504</c:v>
                </c:pt>
                <c:pt idx="17">
                  <c:v>127.29504</c:v>
                </c:pt>
                <c:pt idx="18">
                  <c:v>127.29504</c:v>
                </c:pt>
                <c:pt idx="19">
                  <c:v>104.98560000000001</c:v>
                </c:pt>
                <c:pt idx="20">
                  <c:v>107.93832</c:v>
                </c:pt>
                <c:pt idx="21">
                  <c:v>121.3896</c:v>
                </c:pt>
                <c:pt idx="22">
                  <c:v>134.5128</c:v>
                </c:pt>
                <c:pt idx="23">
                  <c:v>119.7492</c:v>
                </c:pt>
                <c:pt idx="24">
                  <c:v>137.7936</c:v>
                </c:pt>
                <c:pt idx="25">
                  <c:v>121.06152</c:v>
                </c:pt>
                <c:pt idx="26">
                  <c:v>113.84376000000002</c:v>
                </c:pt>
                <c:pt idx="27">
                  <c:v>154.19999999999999</c:v>
                </c:pt>
                <c:pt idx="28">
                  <c:v>127.9512</c:v>
                </c:pt>
                <c:pt idx="29">
                  <c:v>139.434</c:v>
                </c:pt>
                <c:pt idx="30">
                  <c:v>139.4</c:v>
                </c:pt>
                <c:pt idx="31">
                  <c:v>139.434</c:v>
                </c:pt>
                <c:pt idx="32">
                  <c:v>126.63888000000001</c:v>
                </c:pt>
                <c:pt idx="33">
                  <c:v>126.63888000000001</c:v>
                </c:pt>
                <c:pt idx="34">
                  <c:v>126.63888000000001</c:v>
                </c:pt>
                <c:pt idx="35">
                  <c:v>126.63888000000001</c:v>
                </c:pt>
                <c:pt idx="36">
                  <c:v>121.06152</c:v>
                </c:pt>
                <c:pt idx="37">
                  <c:v>126.63888000000001</c:v>
                </c:pt>
                <c:pt idx="38">
                  <c:v>126.63888000000001</c:v>
                </c:pt>
                <c:pt idx="39">
                  <c:v>149.2764</c:v>
                </c:pt>
                <c:pt idx="40">
                  <c:v>120.73344</c:v>
                </c:pt>
                <c:pt idx="41">
                  <c:v>164.5</c:v>
                </c:pt>
                <c:pt idx="42">
                  <c:v>143.04288000000003</c:v>
                </c:pt>
                <c:pt idx="43">
                  <c:v>147.30792</c:v>
                </c:pt>
                <c:pt idx="44">
                  <c:v>164.36808000000002</c:v>
                </c:pt>
                <c:pt idx="45">
                  <c:v>129.26352</c:v>
                </c:pt>
                <c:pt idx="46">
                  <c:v>147.30792</c:v>
                </c:pt>
                <c:pt idx="47">
                  <c:v>154.19759999999999</c:v>
                </c:pt>
                <c:pt idx="48">
                  <c:v>147.636</c:v>
                </c:pt>
                <c:pt idx="49">
                  <c:v>147.30792</c:v>
                </c:pt>
                <c:pt idx="50">
                  <c:v>147.30792</c:v>
                </c:pt>
                <c:pt idx="51">
                  <c:v>147.30792</c:v>
                </c:pt>
                <c:pt idx="52">
                  <c:v>147.636</c:v>
                </c:pt>
                <c:pt idx="53">
                  <c:v>147.30000000000001</c:v>
                </c:pt>
                <c:pt idx="54">
                  <c:v>147.30792</c:v>
                </c:pt>
                <c:pt idx="55">
                  <c:v>154.19759999999999</c:v>
                </c:pt>
                <c:pt idx="56">
                  <c:v>154.19759999999999</c:v>
                </c:pt>
                <c:pt idx="57">
                  <c:v>154.19999999999999</c:v>
                </c:pt>
                <c:pt idx="58">
                  <c:v>154.19759999999999</c:v>
                </c:pt>
                <c:pt idx="59">
                  <c:v>154.19759999999999</c:v>
                </c:pt>
                <c:pt idx="60">
                  <c:v>147.30792</c:v>
                </c:pt>
                <c:pt idx="61">
                  <c:v>176.17896000000002</c:v>
                </c:pt>
                <c:pt idx="62">
                  <c:v>148.94832</c:v>
                </c:pt>
                <c:pt idx="63">
                  <c:v>147.30792</c:v>
                </c:pt>
                <c:pt idx="64">
                  <c:v>164.69616000000002</c:v>
                </c:pt>
                <c:pt idx="65">
                  <c:v>164.69616000000002</c:v>
                </c:pt>
                <c:pt idx="66">
                  <c:v>163.38383999999999</c:v>
                </c:pt>
                <c:pt idx="67">
                  <c:v>154.19759999999999</c:v>
                </c:pt>
                <c:pt idx="68">
                  <c:v>160.75920000000002</c:v>
                </c:pt>
                <c:pt idx="69">
                  <c:v>185.69328000000002</c:v>
                </c:pt>
                <c:pt idx="70">
                  <c:v>159.11880000000002</c:v>
                </c:pt>
                <c:pt idx="71">
                  <c:v>190.61448000000001</c:v>
                </c:pt>
                <c:pt idx="72">
                  <c:v>188.97408000000001</c:v>
                </c:pt>
                <c:pt idx="73">
                  <c:v>192.91104000000001</c:v>
                </c:pt>
                <c:pt idx="74">
                  <c:v>190.61448000000001</c:v>
                </c:pt>
                <c:pt idx="75">
                  <c:v>186.02136000000002</c:v>
                </c:pt>
                <c:pt idx="76">
                  <c:v>183.72480000000002</c:v>
                </c:pt>
                <c:pt idx="77">
                  <c:v>183.72480000000002</c:v>
                </c:pt>
                <c:pt idx="78">
                  <c:v>184.38096000000002</c:v>
                </c:pt>
                <c:pt idx="79">
                  <c:v>190.61448000000001</c:v>
                </c:pt>
                <c:pt idx="80">
                  <c:v>184.38096000000002</c:v>
                </c:pt>
                <c:pt idx="81">
                  <c:v>186.02136000000002</c:v>
                </c:pt>
                <c:pt idx="82">
                  <c:v>204.06576000000001</c:v>
                </c:pt>
                <c:pt idx="83">
                  <c:v>189.63023999999999</c:v>
                </c:pt>
                <c:pt idx="84">
                  <c:v>190.61448000000001</c:v>
                </c:pt>
                <c:pt idx="85">
                  <c:v>190.28640000000001</c:v>
                </c:pt>
                <c:pt idx="86">
                  <c:v>198.16032000000001</c:v>
                </c:pt>
                <c:pt idx="87">
                  <c:v>206.03424000000001</c:v>
                </c:pt>
                <c:pt idx="88">
                  <c:v>206.03424000000001</c:v>
                </c:pt>
                <c:pt idx="89">
                  <c:v>206.03424000000001</c:v>
                </c:pt>
                <c:pt idx="90">
                  <c:v>202.42536000000001</c:v>
                </c:pt>
                <c:pt idx="91">
                  <c:v>202.42536000000001</c:v>
                </c:pt>
                <c:pt idx="92">
                  <c:v>204.72192000000001</c:v>
                </c:pt>
                <c:pt idx="93">
                  <c:v>203.40960000000001</c:v>
                </c:pt>
                <c:pt idx="94">
                  <c:v>120.07728000000002</c:v>
                </c:pt>
                <c:pt idx="95">
                  <c:v>126.3108</c:v>
                </c:pt>
                <c:pt idx="96">
                  <c:v>126.63888000000001</c:v>
                </c:pt>
                <c:pt idx="97">
                  <c:v>143.04288000000003</c:v>
                </c:pt>
                <c:pt idx="98">
                  <c:v>126.63888000000001</c:v>
                </c:pt>
                <c:pt idx="99">
                  <c:v>157.47840000000002</c:v>
                </c:pt>
                <c:pt idx="100">
                  <c:v>166.66463999999999</c:v>
                </c:pt>
                <c:pt idx="101">
                  <c:v>147.636</c:v>
                </c:pt>
                <c:pt idx="102">
                  <c:v>170.60160000000002</c:v>
                </c:pt>
                <c:pt idx="103">
                  <c:v>192.91104000000001</c:v>
                </c:pt>
                <c:pt idx="104">
                  <c:v>188.97408000000001</c:v>
                </c:pt>
                <c:pt idx="105">
                  <c:v>190.28640000000001</c:v>
                </c:pt>
                <c:pt idx="106">
                  <c:v>214.56432000000004</c:v>
                </c:pt>
                <c:pt idx="107">
                  <c:v>209.97120000000001</c:v>
                </c:pt>
                <c:pt idx="108">
                  <c:v>153.54143999999999</c:v>
                </c:pt>
                <c:pt idx="109">
                  <c:v>106.29792</c:v>
                </c:pt>
                <c:pt idx="110">
                  <c:v>140.41824</c:v>
                </c:pt>
                <c:pt idx="111">
                  <c:v>82.02000000000001</c:v>
                </c:pt>
                <c:pt idx="112">
                  <c:v>78.739200000000011</c:v>
                </c:pt>
                <c:pt idx="113">
                  <c:v>98.424000000000007</c:v>
                </c:pt>
                <c:pt idx="114">
                  <c:v>89.893919999999994</c:v>
                </c:pt>
                <c:pt idx="115">
                  <c:v>84.972719999999995</c:v>
                </c:pt>
                <c:pt idx="116">
                  <c:v>88.581600000000009</c:v>
                </c:pt>
                <c:pt idx="117">
                  <c:v>88.581600000000009</c:v>
                </c:pt>
                <c:pt idx="118">
                  <c:v>82.02000000000001</c:v>
                </c:pt>
                <c:pt idx="119">
                  <c:v>84.972719999999995</c:v>
                </c:pt>
                <c:pt idx="120">
                  <c:v>82.02000000000001</c:v>
                </c:pt>
                <c:pt idx="121">
                  <c:v>83.00424000000001</c:v>
                </c:pt>
                <c:pt idx="122">
                  <c:v>83.00424000000001</c:v>
                </c:pt>
                <c:pt idx="123">
                  <c:v>83.00424000000001</c:v>
                </c:pt>
                <c:pt idx="124">
                  <c:v>137.7936</c:v>
                </c:pt>
                <c:pt idx="125">
                  <c:v>94.815119999999993</c:v>
                </c:pt>
                <c:pt idx="126">
                  <c:v>82.02000000000001</c:v>
                </c:pt>
                <c:pt idx="127">
                  <c:v>98.424000000000007</c:v>
                </c:pt>
                <c:pt idx="128">
                  <c:v>85.956959999999995</c:v>
                </c:pt>
                <c:pt idx="129">
                  <c:v>95.143200000000007</c:v>
                </c:pt>
                <c:pt idx="130">
                  <c:v>98.424000000000007</c:v>
                </c:pt>
                <c:pt idx="131">
                  <c:v>104.98560000000001</c:v>
                </c:pt>
                <c:pt idx="132">
                  <c:v>86.941200000000009</c:v>
                </c:pt>
                <c:pt idx="133">
                  <c:v>101.70480000000001</c:v>
                </c:pt>
                <c:pt idx="134">
                  <c:v>95.143200000000007</c:v>
                </c:pt>
                <c:pt idx="135">
                  <c:v>89.893919999999994</c:v>
                </c:pt>
                <c:pt idx="136">
                  <c:v>104.98560000000001</c:v>
                </c:pt>
                <c:pt idx="137">
                  <c:v>137.7936</c:v>
                </c:pt>
                <c:pt idx="138">
                  <c:v>109.9068</c:v>
                </c:pt>
                <c:pt idx="139">
                  <c:v>89.237760000000009</c:v>
                </c:pt>
                <c:pt idx="140">
                  <c:v>105.96983999999999</c:v>
                </c:pt>
                <c:pt idx="141">
                  <c:v>86.941200000000009</c:v>
                </c:pt>
                <c:pt idx="142">
                  <c:v>95.143200000000007</c:v>
                </c:pt>
                <c:pt idx="143">
                  <c:v>95.143200000000007</c:v>
                </c:pt>
                <c:pt idx="144">
                  <c:v>103.01712000000001</c:v>
                </c:pt>
                <c:pt idx="145">
                  <c:v>95.471280000000007</c:v>
                </c:pt>
                <c:pt idx="146">
                  <c:v>103.01712000000001</c:v>
                </c:pt>
                <c:pt idx="147">
                  <c:v>94.815119999999993</c:v>
                </c:pt>
                <c:pt idx="148">
                  <c:v>94.815119999999993</c:v>
                </c:pt>
                <c:pt idx="149">
                  <c:v>105.31368000000001</c:v>
                </c:pt>
                <c:pt idx="150">
                  <c:v>109.9068</c:v>
                </c:pt>
                <c:pt idx="151">
                  <c:v>100.06440000000001</c:v>
                </c:pt>
                <c:pt idx="152">
                  <c:v>98.424000000000007</c:v>
                </c:pt>
                <c:pt idx="153">
                  <c:v>93.174719999999994</c:v>
                </c:pt>
                <c:pt idx="154">
                  <c:v>109.25063999999999</c:v>
                </c:pt>
                <c:pt idx="155">
                  <c:v>95.143200000000007</c:v>
                </c:pt>
                <c:pt idx="156">
                  <c:v>100.06440000000001</c:v>
                </c:pt>
                <c:pt idx="157">
                  <c:v>109.9068</c:v>
                </c:pt>
                <c:pt idx="158">
                  <c:v>101.70480000000001</c:v>
                </c:pt>
                <c:pt idx="159">
                  <c:v>108.2664</c:v>
                </c:pt>
                <c:pt idx="160">
                  <c:v>114.828</c:v>
                </c:pt>
                <c:pt idx="161">
                  <c:v>104.98560000000001</c:v>
                </c:pt>
                <c:pt idx="162">
                  <c:v>106.95408</c:v>
                </c:pt>
                <c:pt idx="163">
                  <c:v>103.34520000000001</c:v>
                </c:pt>
                <c:pt idx="164">
                  <c:v>114.828</c:v>
                </c:pt>
                <c:pt idx="165">
                  <c:v>106.95408</c:v>
                </c:pt>
                <c:pt idx="166">
                  <c:v>115.5</c:v>
                </c:pt>
                <c:pt idx="167">
                  <c:v>103.01712000000001</c:v>
                </c:pt>
                <c:pt idx="168">
                  <c:v>119.42112</c:v>
                </c:pt>
                <c:pt idx="169">
                  <c:v>114.828</c:v>
                </c:pt>
                <c:pt idx="170">
                  <c:v>108.59448</c:v>
                </c:pt>
                <c:pt idx="171">
                  <c:v>113.1876</c:v>
                </c:pt>
                <c:pt idx="172">
                  <c:v>101.37672000000001</c:v>
                </c:pt>
                <c:pt idx="173">
                  <c:v>101.37672000000001</c:v>
                </c:pt>
                <c:pt idx="174">
                  <c:v>117.12456000000002</c:v>
                </c:pt>
                <c:pt idx="175">
                  <c:v>119.7492</c:v>
                </c:pt>
                <c:pt idx="176">
                  <c:v>119.7492</c:v>
                </c:pt>
                <c:pt idx="177">
                  <c:v>116.14032</c:v>
                </c:pt>
                <c:pt idx="178">
                  <c:v>104.98560000000001</c:v>
                </c:pt>
                <c:pt idx="179">
                  <c:v>118.76496000000002</c:v>
                </c:pt>
                <c:pt idx="180">
                  <c:v>107.61023999999999</c:v>
                </c:pt>
                <c:pt idx="181">
                  <c:v>132.54432</c:v>
                </c:pt>
                <c:pt idx="182">
                  <c:v>112.85952</c:v>
                </c:pt>
                <c:pt idx="183">
                  <c:v>103.34520000000001</c:v>
                </c:pt>
                <c:pt idx="184">
                  <c:v>83.98848000000001</c:v>
                </c:pt>
                <c:pt idx="185">
                  <c:v>123.03</c:v>
                </c:pt>
                <c:pt idx="186">
                  <c:v>103.34520000000001</c:v>
                </c:pt>
                <c:pt idx="187">
                  <c:v>103.34520000000001</c:v>
                </c:pt>
                <c:pt idx="188">
                  <c:v>103.34520000000001</c:v>
                </c:pt>
                <c:pt idx="189">
                  <c:v>109.9068</c:v>
                </c:pt>
                <c:pt idx="190">
                  <c:v>106.95408</c:v>
                </c:pt>
                <c:pt idx="191">
                  <c:v>137.7936</c:v>
                </c:pt>
                <c:pt idx="192">
                  <c:v>131.88816000000003</c:v>
                </c:pt>
                <c:pt idx="193">
                  <c:v>123.00000000000001</c:v>
                </c:pt>
                <c:pt idx="194">
                  <c:v>131.88816000000003</c:v>
                </c:pt>
                <c:pt idx="195">
                  <c:v>127.9512</c:v>
                </c:pt>
                <c:pt idx="196">
                  <c:v>108.2664</c:v>
                </c:pt>
                <c:pt idx="197">
                  <c:v>113.51568</c:v>
                </c:pt>
                <c:pt idx="198">
                  <c:v>144.30000000000001</c:v>
                </c:pt>
                <c:pt idx="199">
                  <c:v>111.87528</c:v>
                </c:pt>
                <c:pt idx="200">
                  <c:v>123.03</c:v>
                </c:pt>
                <c:pt idx="201">
                  <c:v>137.13744</c:v>
                </c:pt>
                <c:pt idx="202">
                  <c:v>141.40248000000003</c:v>
                </c:pt>
                <c:pt idx="203">
                  <c:v>133.52856000000003</c:v>
                </c:pt>
                <c:pt idx="204">
                  <c:v>141.1</c:v>
                </c:pt>
                <c:pt idx="205">
                  <c:v>147.30000000000001</c:v>
                </c:pt>
                <c:pt idx="206">
                  <c:v>127.62312</c:v>
                </c:pt>
                <c:pt idx="207">
                  <c:v>123.03</c:v>
                </c:pt>
                <c:pt idx="208">
                  <c:v>123.03</c:v>
                </c:pt>
                <c:pt idx="209">
                  <c:v>126.63888000000001</c:v>
                </c:pt>
                <c:pt idx="210">
                  <c:v>133.20048</c:v>
                </c:pt>
                <c:pt idx="211">
                  <c:v>120.07728000000002</c:v>
                </c:pt>
                <c:pt idx="212">
                  <c:v>124.01424</c:v>
                </c:pt>
                <c:pt idx="213">
                  <c:v>129.26352</c:v>
                </c:pt>
                <c:pt idx="214">
                  <c:v>127.09999999999998</c:v>
                </c:pt>
                <c:pt idx="215">
                  <c:v>148.94832</c:v>
                </c:pt>
                <c:pt idx="216">
                  <c:v>144.4</c:v>
                </c:pt>
                <c:pt idx="217">
                  <c:v>143.04288000000003</c:v>
                </c:pt>
                <c:pt idx="218">
                  <c:v>137.13744</c:v>
                </c:pt>
                <c:pt idx="219">
                  <c:v>137.7936</c:v>
                </c:pt>
                <c:pt idx="220">
                  <c:v>157.47840000000002</c:v>
                </c:pt>
                <c:pt idx="221">
                  <c:v>157.47840000000002</c:v>
                </c:pt>
                <c:pt idx="222">
                  <c:v>147.30000000000001</c:v>
                </c:pt>
                <c:pt idx="223">
                  <c:v>157.80000000000001</c:v>
                </c:pt>
                <c:pt idx="224">
                  <c:v>151</c:v>
                </c:pt>
                <c:pt idx="225">
                  <c:v>152.55719999999999</c:v>
                </c:pt>
                <c:pt idx="226">
                  <c:v>152.55719999999999</c:v>
                </c:pt>
                <c:pt idx="227">
                  <c:v>170.92968000000002</c:v>
                </c:pt>
                <c:pt idx="228">
                  <c:v>164.36808000000002</c:v>
                </c:pt>
                <c:pt idx="229">
                  <c:v>144.3552</c:v>
                </c:pt>
                <c:pt idx="230">
                  <c:v>144.3552</c:v>
                </c:pt>
                <c:pt idx="231">
                  <c:v>150.9</c:v>
                </c:pt>
                <c:pt idx="232">
                  <c:v>145.66752</c:v>
                </c:pt>
                <c:pt idx="233">
                  <c:v>130.57584</c:v>
                </c:pt>
                <c:pt idx="234">
                  <c:v>170.27351999999999</c:v>
                </c:pt>
                <c:pt idx="235">
                  <c:v>177.16320000000002</c:v>
                </c:pt>
                <c:pt idx="236">
                  <c:v>198.81648000000001</c:v>
                </c:pt>
                <c:pt idx="237">
                  <c:v>192.91104000000001</c:v>
                </c:pt>
                <c:pt idx="238">
                  <c:v>192.91104000000001</c:v>
                </c:pt>
                <c:pt idx="239">
                  <c:v>188.64600000000002</c:v>
                </c:pt>
                <c:pt idx="240">
                  <c:v>184.70903999999999</c:v>
                </c:pt>
                <c:pt idx="241">
                  <c:v>184.70903999999999</c:v>
                </c:pt>
                <c:pt idx="242">
                  <c:v>160.69999999999999</c:v>
                </c:pt>
                <c:pt idx="243">
                  <c:v>164.04000000000002</c:v>
                </c:pt>
                <c:pt idx="244">
                  <c:v>196.19184000000001</c:v>
                </c:pt>
                <c:pt idx="245">
                  <c:v>179.78783999999999</c:v>
                </c:pt>
                <c:pt idx="246">
                  <c:v>186.02136000000002</c:v>
                </c:pt>
                <c:pt idx="247">
                  <c:v>160.75920000000002</c:v>
                </c:pt>
                <c:pt idx="248">
                  <c:v>178.80360000000002</c:v>
                </c:pt>
                <c:pt idx="249">
                  <c:v>170.6</c:v>
                </c:pt>
                <c:pt idx="250">
                  <c:v>190.61448000000001</c:v>
                </c:pt>
                <c:pt idx="251">
                  <c:v>190.61448000000001</c:v>
                </c:pt>
                <c:pt idx="252">
                  <c:v>186.02136000000002</c:v>
                </c:pt>
                <c:pt idx="253">
                  <c:v>190.61448000000001</c:v>
                </c:pt>
                <c:pt idx="254">
                  <c:v>179.13168000000002</c:v>
                </c:pt>
                <c:pt idx="255">
                  <c:v>190.61448000000001</c:v>
                </c:pt>
                <c:pt idx="256">
                  <c:v>190.61448000000001</c:v>
                </c:pt>
                <c:pt idx="257">
                  <c:v>172.24200000000002</c:v>
                </c:pt>
                <c:pt idx="258">
                  <c:v>140.4</c:v>
                </c:pt>
                <c:pt idx="259">
                  <c:v>178.80360000000002</c:v>
                </c:pt>
                <c:pt idx="260">
                  <c:v>177.16320000000002</c:v>
                </c:pt>
                <c:pt idx="261">
                  <c:v>190.28640000000001</c:v>
                </c:pt>
                <c:pt idx="262">
                  <c:v>202.42536000000001</c:v>
                </c:pt>
                <c:pt idx="263">
                  <c:v>209.97120000000001</c:v>
                </c:pt>
                <c:pt idx="264">
                  <c:v>190.61448000000001</c:v>
                </c:pt>
                <c:pt idx="265">
                  <c:v>180.44400000000002</c:v>
                </c:pt>
                <c:pt idx="266">
                  <c:v>158.46263999999999</c:v>
                </c:pt>
                <c:pt idx="267">
                  <c:v>159.11880000000002</c:v>
                </c:pt>
                <c:pt idx="268">
                  <c:v>159.11880000000002</c:v>
                </c:pt>
                <c:pt idx="269">
                  <c:v>185.36520000000002</c:v>
                </c:pt>
                <c:pt idx="270">
                  <c:v>179.78783999999999</c:v>
                </c:pt>
                <c:pt idx="271">
                  <c:v>209.97120000000001</c:v>
                </c:pt>
              </c:numCache>
            </c:numRef>
          </c:xVal>
          <c:yVal>
            <c:numRef>
              <c:f>'Task 1 Converted AMI PDF Stats'!$S$5:$S$276</c:f>
              <c:numCache>
                <c:formatCode>0.00</c:formatCode>
                <c:ptCount val="272"/>
                <c:pt idx="0">
                  <c:v>22.636363636363633</c:v>
                </c:pt>
                <c:pt idx="1">
                  <c:v>23.80952380952381</c:v>
                </c:pt>
                <c:pt idx="2">
                  <c:v>23.304347826086957</c:v>
                </c:pt>
                <c:pt idx="3">
                  <c:v>28.5</c:v>
                </c:pt>
                <c:pt idx="4">
                  <c:v>15.867768595041323</c:v>
                </c:pt>
                <c:pt idx="5">
                  <c:v>22.44</c:v>
                </c:pt>
                <c:pt idx="6">
                  <c:v>22.461538461538463</c:v>
                </c:pt>
                <c:pt idx="7">
                  <c:v>20.129032258064516</c:v>
                </c:pt>
                <c:pt idx="8">
                  <c:v>20.833333333333336</c:v>
                </c:pt>
                <c:pt idx="9">
                  <c:v>27.777777777777779</c:v>
                </c:pt>
                <c:pt idx="10">
                  <c:v>20.76923076923077</c:v>
                </c:pt>
                <c:pt idx="11">
                  <c:v>20.76923076923077</c:v>
                </c:pt>
                <c:pt idx="12">
                  <c:v>19.615384615384617</c:v>
                </c:pt>
                <c:pt idx="13">
                  <c:v>15.238095238095239</c:v>
                </c:pt>
                <c:pt idx="14">
                  <c:v>20.333333333333332</c:v>
                </c:pt>
                <c:pt idx="15">
                  <c:v>22.823529411764703</c:v>
                </c:pt>
                <c:pt idx="16">
                  <c:v>22.823529411764703</c:v>
                </c:pt>
                <c:pt idx="17">
                  <c:v>22.823529411764703</c:v>
                </c:pt>
                <c:pt idx="18">
                  <c:v>24.249999999999996</c:v>
                </c:pt>
                <c:pt idx="19">
                  <c:v>13.913043478260869</c:v>
                </c:pt>
                <c:pt idx="20">
                  <c:v>13.708333333333334</c:v>
                </c:pt>
                <c:pt idx="21">
                  <c:v>21.764705882352938</c:v>
                </c:pt>
                <c:pt idx="22">
                  <c:v>25.624999999999996</c:v>
                </c:pt>
                <c:pt idx="23">
                  <c:v>20.277777777777775</c:v>
                </c:pt>
                <c:pt idx="24">
                  <c:v>22.105263157894736</c:v>
                </c:pt>
                <c:pt idx="25">
                  <c:v>20.5</c:v>
                </c:pt>
                <c:pt idx="26">
                  <c:v>23.133333333333333</c:v>
                </c:pt>
                <c:pt idx="27">
                  <c:v>24.87096774193548</c:v>
                </c:pt>
                <c:pt idx="28">
                  <c:v>21.666666666666664</c:v>
                </c:pt>
                <c:pt idx="29">
                  <c:v>17.708333333333332</c:v>
                </c:pt>
                <c:pt idx="30">
                  <c:v>17.645569620253166</c:v>
                </c:pt>
                <c:pt idx="31">
                  <c:v>17.708333333333332</c:v>
                </c:pt>
                <c:pt idx="32">
                  <c:v>14.296296296296296</c:v>
                </c:pt>
                <c:pt idx="33">
                  <c:v>14.296296296296296</c:v>
                </c:pt>
                <c:pt idx="34">
                  <c:v>14.296296296296296</c:v>
                </c:pt>
                <c:pt idx="35">
                  <c:v>14.296296296296296</c:v>
                </c:pt>
                <c:pt idx="36">
                  <c:v>20.5</c:v>
                </c:pt>
                <c:pt idx="37">
                  <c:v>14.296296296296296</c:v>
                </c:pt>
                <c:pt idx="38">
                  <c:v>14.296296296296296</c:v>
                </c:pt>
                <c:pt idx="39">
                  <c:v>26.764705882352938</c:v>
                </c:pt>
                <c:pt idx="40">
                  <c:v>20.444444444444443</c:v>
                </c:pt>
                <c:pt idx="41">
                  <c:v>17.315789473684209</c:v>
                </c:pt>
                <c:pt idx="42">
                  <c:v>18.166666666666671</c:v>
                </c:pt>
                <c:pt idx="43">
                  <c:v>17.96</c:v>
                </c:pt>
                <c:pt idx="44">
                  <c:v>17.27586206896552</c:v>
                </c:pt>
                <c:pt idx="45">
                  <c:v>15.76</c:v>
                </c:pt>
                <c:pt idx="46">
                  <c:v>17.96</c:v>
                </c:pt>
                <c:pt idx="47">
                  <c:v>18.8</c:v>
                </c:pt>
                <c:pt idx="48">
                  <c:v>18</c:v>
                </c:pt>
                <c:pt idx="49">
                  <c:v>19.521739130434781</c:v>
                </c:pt>
                <c:pt idx="50">
                  <c:v>17.96</c:v>
                </c:pt>
                <c:pt idx="51">
                  <c:v>17.96</c:v>
                </c:pt>
                <c:pt idx="52">
                  <c:v>17.307692307692307</c:v>
                </c:pt>
                <c:pt idx="53">
                  <c:v>20.458333333333336</c:v>
                </c:pt>
                <c:pt idx="54">
                  <c:v>20.409090909090907</c:v>
                </c:pt>
                <c:pt idx="55">
                  <c:v>12.051282051282049</c:v>
                </c:pt>
                <c:pt idx="56">
                  <c:v>17.407407407407405</c:v>
                </c:pt>
                <c:pt idx="57">
                  <c:v>17.325842696629213</c:v>
                </c:pt>
                <c:pt idx="58">
                  <c:v>17.407407407407405</c:v>
                </c:pt>
                <c:pt idx="59">
                  <c:v>17.407407407407405</c:v>
                </c:pt>
                <c:pt idx="60">
                  <c:v>18.708333333333332</c:v>
                </c:pt>
                <c:pt idx="61">
                  <c:v>18.517241379310349</c:v>
                </c:pt>
                <c:pt idx="62">
                  <c:v>19.739130434782609</c:v>
                </c:pt>
                <c:pt idx="63">
                  <c:v>16.629629629629626</c:v>
                </c:pt>
                <c:pt idx="64">
                  <c:v>21.826086956521742</c:v>
                </c:pt>
                <c:pt idx="65">
                  <c:v>17.31034482758621</c:v>
                </c:pt>
                <c:pt idx="66">
                  <c:v>21.652173913043477</c:v>
                </c:pt>
                <c:pt idx="67">
                  <c:v>24.736842105263154</c:v>
                </c:pt>
                <c:pt idx="68">
                  <c:v>24.500000000000004</c:v>
                </c:pt>
                <c:pt idx="69">
                  <c:v>28.3</c:v>
                </c:pt>
                <c:pt idx="70">
                  <c:v>13.857142857142858</c:v>
                </c:pt>
                <c:pt idx="71">
                  <c:v>20.750000000000004</c:v>
                </c:pt>
                <c:pt idx="72">
                  <c:v>22.153846153846157</c:v>
                </c:pt>
                <c:pt idx="73">
                  <c:v>26.727272727272727</c:v>
                </c:pt>
                <c:pt idx="74">
                  <c:v>22.346153846153847</c:v>
                </c:pt>
                <c:pt idx="75">
                  <c:v>23.625000000000004</c:v>
                </c:pt>
                <c:pt idx="76">
                  <c:v>25.454545454545453</c:v>
                </c:pt>
                <c:pt idx="77">
                  <c:v>25.454545454545453</c:v>
                </c:pt>
                <c:pt idx="78">
                  <c:v>26.761904761904763</c:v>
                </c:pt>
                <c:pt idx="79">
                  <c:v>21.518518518518515</c:v>
                </c:pt>
                <c:pt idx="80">
                  <c:v>26.761904761904763</c:v>
                </c:pt>
                <c:pt idx="81">
                  <c:v>23.625000000000004</c:v>
                </c:pt>
                <c:pt idx="82">
                  <c:v>25.916666666666668</c:v>
                </c:pt>
                <c:pt idx="83">
                  <c:v>21.407407407407401</c:v>
                </c:pt>
                <c:pt idx="84">
                  <c:v>21.518518518518515</c:v>
                </c:pt>
                <c:pt idx="85">
                  <c:v>24.166666666666668</c:v>
                </c:pt>
                <c:pt idx="86">
                  <c:v>13.422222222222222</c:v>
                </c:pt>
                <c:pt idx="87">
                  <c:v>26.166666666666668</c:v>
                </c:pt>
                <c:pt idx="88">
                  <c:v>26.166666666666668</c:v>
                </c:pt>
                <c:pt idx="89">
                  <c:v>26.166666666666668</c:v>
                </c:pt>
                <c:pt idx="90">
                  <c:v>24.680000000000003</c:v>
                </c:pt>
                <c:pt idx="91">
                  <c:v>24.680000000000003</c:v>
                </c:pt>
                <c:pt idx="92">
                  <c:v>24</c:v>
                </c:pt>
                <c:pt idx="93">
                  <c:v>23.846153846153847</c:v>
                </c:pt>
                <c:pt idx="94">
                  <c:v>21.529411764705884</c:v>
                </c:pt>
                <c:pt idx="95">
                  <c:v>17.499999999999996</c:v>
                </c:pt>
                <c:pt idx="96">
                  <c:v>14.296296296296296</c:v>
                </c:pt>
                <c:pt idx="97">
                  <c:v>18.166666666666671</c:v>
                </c:pt>
                <c:pt idx="98">
                  <c:v>14.296296296296296</c:v>
                </c:pt>
                <c:pt idx="99">
                  <c:v>32</c:v>
                </c:pt>
                <c:pt idx="100">
                  <c:v>25.4</c:v>
                </c:pt>
                <c:pt idx="101">
                  <c:v>14.999999999999998</c:v>
                </c:pt>
                <c:pt idx="102">
                  <c:v>22.608695652173914</c:v>
                </c:pt>
                <c:pt idx="103">
                  <c:v>26.727272727272727</c:v>
                </c:pt>
                <c:pt idx="104">
                  <c:v>22.153846153846157</c:v>
                </c:pt>
                <c:pt idx="105">
                  <c:v>24.166666666666668</c:v>
                </c:pt>
                <c:pt idx="106">
                  <c:v>27.250000000000004</c:v>
                </c:pt>
                <c:pt idx="107">
                  <c:v>24.615384615384617</c:v>
                </c:pt>
                <c:pt idx="108">
                  <c:v>16.137931034482758</c:v>
                </c:pt>
                <c:pt idx="109">
                  <c:v>14.727272727272727</c:v>
                </c:pt>
                <c:pt idx="110">
                  <c:v>16.984126984126984</c:v>
                </c:pt>
                <c:pt idx="111">
                  <c:v>20.833333333333336</c:v>
                </c:pt>
                <c:pt idx="112">
                  <c:v>20.000000000000004</c:v>
                </c:pt>
                <c:pt idx="113">
                  <c:v>16.666666666666668</c:v>
                </c:pt>
                <c:pt idx="114">
                  <c:v>13.7</c:v>
                </c:pt>
                <c:pt idx="115">
                  <c:v>11.77272727272727</c:v>
                </c:pt>
                <c:pt idx="116">
                  <c:v>22.500000000000004</c:v>
                </c:pt>
                <c:pt idx="117">
                  <c:v>19.285714285714288</c:v>
                </c:pt>
                <c:pt idx="118">
                  <c:v>22.727272727272727</c:v>
                </c:pt>
                <c:pt idx="119">
                  <c:v>17.266666666666662</c:v>
                </c:pt>
                <c:pt idx="120">
                  <c:v>16.666666666666668</c:v>
                </c:pt>
                <c:pt idx="121">
                  <c:v>14.055555555555555</c:v>
                </c:pt>
                <c:pt idx="122">
                  <c:v>14.055555555555555</c:v>
                </c:pt>
                <c:pt idx="123">
                  <c:v>14.055555555555555</c:v>
                </c:pt>
                <c:pt idx="124">
                  <c:v>21</c:v>
                </c:pt>
                <c:pt idx="125">
                  <c:v>20.642857142857142</c:v>
                </c:pt>
                <c:pt idx="126">
                  <c:v>15.625</c:v>
                </c:pt>
                <c:pt idx="127">
                  <c:v>13.636363636363635</c:v>
                </c:pt>
                <c:pt idx="128">
                  <c:v>15.41176470588235</c:v>
                </c:pt>
                <c:pt idx="129">
                  <c:v>17.058823529411764</c:v>
                </c:pt>
                <c:pt idx="130">
                  <c:v>18.75</c:v>
                </c:pt>
                <c:pt idx="131">
                  <c:v>16.842105263157894</c:v>
                </c:pt>
                <c:pt idx="132">
                  <c:v>16.5625</c:v>
                </c:pt>
                <c:pt idx="133">
                  <c:v>17.222222222222221</c:v>
                </c:pt>
                <c:pt idx="134">
                  <c:v>17.058823529411764</c:v>
                </c:pt>
                <c:pt idx="135">
                  <c:v>12.454545454545451</c:v>
                </c:pt>
                <c:pt idx="136">
                  <c:v>15.238095238095239</c:v>
                </c:pt>
                <c:pt idx="137">
                  <c:v>21</c:v>
                </c:pt>
                <c:pt idx="138">
                  <c:v>18.611111111111111</c:v>
                </c:pt>
                <c:pt idx="139">
                  <c:v>19.428571428571431</c:v>
                </c:pt>
                <c:pt idx="140">
                  <c:v>15.38095238095238</c:v>
                </c:pt>
                <c:pt idx="141">
                  <c:v>14.722222222222223</c:v>
                </c:pt>
                <c:pt idx="142">
                  <c:v>20.714285714285715</c:v>
                </c:pt>
                <c:pt idx="143">
                  <c:v>15.263157894736842</c:v>
                </c:pt>
                <c:pt idx="144">
                  <c:v>18.470588235294116</c:v>
                </c:pt>
                <c:pt idx="145">
                  <c:v>15.315789473684211</c:v>
                </c:pt>
                <c:pt idx="146">
                  <c:v>17.444444444444443</c:v>
                </c:pt>
                <c:pt idx="147">
                  <c:v>14.449999999999998</c:v>
                </c:pt>
                <c:pt idx="148">
                  <c:v>14.449999999999998</c:v>
                </c:pt>
                <c:pt idx="149">
                  <c:v>17.833333333333332</c:v>
                </c:pt>
                <c:pt idx="150">
                  <c:v>16.75</c:v>
                </c:pt>
                <c:pt idx="151">
                  <c:v>20.333333333333332</c:v>
                </c:pt>
                <c:pt idx="152">
                  <c:v>14.285714285714286</c:v>
                </c:pt>
                <c:pt idx="153">
                  <c:v>18.93333333333333</c:v>
                </c:pt>
                <c:pt idx="154">
                  <c:v>27.749999999999996</c:v>
                </c:pt>
                <c:pt idx="155">
                  <c:v>14.5</c:v>
                </c:pt>
                <c:pt idx="156">
                  <c:v>20.333333333333332</c:v>
                </c:pt>
                <c:pt idx="157">
                  <c:v>16.75</c:v>
                </c:pt>
                <c:pt idx="158">
                  <c:v>20.666666666666664</c:v>
                </c:pt>
                <c:pt idx="159">
                  <c:v>15.714285714285714</c:v>
                </c:pt>
                <c:pt idx="160">
                  <c:v>26.923076923076923</c:v>
                </c:pt>
                <c:pt idx="161">
                  <c:v>20</c:v>
                </c:pt>
                <c:pt idx="162">
                  <c:v>15.523809523809524</c:v>
                </c:pt>
                <c:pt idx="163">
                  <c:v>15</c:v>
                </c:pt>
                <c:pt idx="164">
                  <c:v>26.923076923076923</c:v>
                </c:pt>
                <c:pt idx="165">
                  <c:v>15.523809523809524</c:v>
                </c:pt>
                <c:pt idx="166">
                  <c:v>28.875</c:v>
                </c:pt>
                <c:pt idx="167">
                  <c:v>14.272727272727272</c:v>
                </c:pt>
                <c:pt idx="168">
                  <c:v>20.222222222222221</c:v>
                </c:pt>
                <c:pt idx="169">
                  <c:v>19.444444444444443</c:v>
                </c:pt>
                <c:pt idx="170">
                  <c:v>16.55</c:v>
                </c:pt>
                <c:pt idx="171">
                  <c:v>16.428571428571427</c:v>
                </c:pt>
                <c:pt idx="172">
                  <c:v>20.599999999999998</c:v>
                </c:pt>
                <c:pt idx="173">
                  <c:v>20.599999999999998</c:v>
                </c:pt>
                <c:pt idx="174">
                  <c:v>15.521739130434785</c:v>
                </c:pt>
                <c:pt idx="175">
                  <c:v>24.333333333333329</c:v>
                </c:pt>
                <c:pt idx="176">
                  <c:v>20.277777777777775</c:v>
                </c:pt>
                <c:pt idx="177">
                  <c:v>16.857142857142858</c:v>
                </c:pt>
                <c:pt idx="178">
                  <c:v>17.777777777777779</c:v>
                </c:pt>
                <c:pt idx="179">
                  <c:v>19.05263157894737</c:v>
                </c:pt>
                <c:pt idx="180">
                  <c:v>14.909090909090905</c:v>
                </c:pt>
                <c:pt idx="181">
                  <c:v>25.249999999999996</c:v>
                </c:pt>
                <c:pt idx="182">
                  <c:v>15.636363636363635</c:v>
                </c:pt>
                <c:pt idx="183">
                  <c:v>15.75</c:v>
                </c:pt>
                <c:pt idx="184">
                  <c:v>9.1428571428571441</c:v>
                </c:pt>
                <c:pt idx="185">
                  <c:v>22.058823529411764</c:v>
                </c:pt>
                <c:pt idx="186">
                  <c:v>15</c:v>
                </c:pt>
                <c:pt idx="187">
                  <c:v>15</c:v>
                </c:pt>
                <c:pt idx="188">
                  <c:v>15</c:v>
                </c:pt>
                <c:pt idx="189">
                  <c:v>15.227272727272725</c:v>
                </c:pt>
                <c:pt idx="190">
                  <c:v>20.375</c:v>
                </c:pt>
                <c:pt idx="191">
                  <c:v>23.333333333333332</c:v>
                </c:pt>
                <c:pt idx="192">
                  <c:v>23.647058823529413</c:v>
                </c:pt>
                <c:pt idx="193">
                  <c:v>16.400000000000002</c:v>
                </c:pt>
                <c:pt idx="194">
                  <c:v>23.647058823529413</c:v>
                </c:pt>
                <c:pt idx="195">
                  <c:v>22.941176470588232</c:v>
                </c:pt>
                <c:pt idx="196">
                  <c:v>15.714285714285714</c:v>
                </c:pt>
                <c:pt idx="197">
                  <c:v>11.533333333333331</c:v>
                </c:pt>
                <c:pt idx="198">
                  <c:v>19.240000000000002</c:v>
                </c:pt>
                <c:pt idx="199">
                  <c:v>16.238095238095237</c:v>
                </c:pt>
                <c:pt idx="200">
                  <c:v>18.75</c:v>
                </c:pt>
                <c:pt idx="201">
                  <c:v>17.416666666666668</c:v>
                </c:pt>
                <c:pt idx="202">
                  <c:v>23.944444444444446</c:v>
                </c:pt>
                <c:pt idx="203">
                  <c:v>18.5</c:v>
                </c:pt>
                <c:pt idx="204">
                  <c:v>25.196428571428573</c:v>
                </c:pt>
                <c:pt idx="205">
                  <c:v>23.64365971107544</c:v>
                </c:pt>
                <c:pt idx="206">
                  <c:v>22.882352941176467</c:v>
                </c:pt>
                <c:pt idx="207">
                  <c:v>22.058823529411764</c:v>
                </c:pt>
                <c:pt idx="208">
                  <c:v>20.833333333333332</c:v>
                </c:pt>
                <c:pt idx="209">
                  <c:v>20.315789473684212</c:v>
                </c:pt>
                <c:pt idx="210">
                  <c:v>25.374999999999996</c:v>
                </c:pt>
                <c:pt idx="211">
                  <c:v>19.263157894736842</c:v>
                </c:pt>
                <c:pt idx="212">
                  <c:v>19.894736842105264</c:v>
                </c:pt>
                <c:pt idx="213">
                  <c:v>15.76</c:v>
                </c:pt>
                <c:pt idx="214">
                  <c:v>25.419999999999995</c:v>
                </c:pt>
                <c:pt idx="215">
                  <c:v>19.739130434782609</c:v>
                </c:pt>
                <c:pt idx="216">
                  <c:v>27.76923076923077</c:v>
                </c:pt>
                <c:pt idx="217">
                  <c:v>18.166666666666671</c:v>
                </c:pt>
                <c:pt idx="218">
                  <c:v>23.222222222222221</c:v>
                </c:pt>
                <c:pt idx="219">
                  <c:v>23.333333333333332</c:v>
                </c:pt>
                <c:pt idx="220">
                  <c:v>20.869565217391308</c:v>
                </c:pt>
                <c:pt idx="221">
                  <c:v>20.869565217391308</c:v>
                </c:pt>
                <c:pt idx="222">
                  <c:v>19.64</c:v>
                </c:pt>
                <c:pt idx="223">
                  <c:v>23.909090909090914</c:v>
                </c:pt>
                <c:pt idx="224">
                  <c:v>18.414634146341466</c:v>
                </c:pt>
                <c:pt idx="225">
                  <c:v>20.217391304347824</c:v>
                </c:pt>
                <c:pt idx="226">
                  <c:v>20.217391304347824</c:v>
                </c:pt>
                <c:pt idx="227">
                  <c:v>19.296296296296294</c:v>
                </c:pt>
                <c:pt idx="228">
                  <c:v>27.833333333333336</c:v>
                </c:pt>
                <c:pt idx="229">
                  <c:v>29.333333333333329</c:v>
                </c:pt>
                <c:pt idx="230">
                  <c:v>19.999999999999996</c:v>
                </c:pt>
                <c:pt idx="231">
                  <c:v>24.338709677419356</c:v>
                </c:pt>
                <c:pt idx="232">
                  <c:v>17.759999999999998</c:v>
                </c:pt>
                <c:pt idx="233">
                  <c:v>18.952380952380953</c:v>
                </c:pt>
                <c:pt idx="234">
                  <c:v>21.625</c:v>
                </c:pt>
                <c:pt idx="235">
                  <c:v>19.285714285714288</c:v>
                </c:pt>
                <c:pt idx="236">
                  <c:v>23.30769230769231</c:v>
                </c:pt>
                <c:pt idx="237">
                  <c:v>26.727272727272727</c:v>
                </c:pt>
                <c:pt idx="238">
                  <c:v>29.400000000000002</c:v>
                </c:pt>
                <c:pt idx="239">
                  <c:v>27.380952380952383</c:v>
                </c:pt>
                <c:pt idx="240">
                  <c:v>22.52</c:v>
                </c:pt>
                <c:pt idx="241">
                  <c:v>22.52</c:v>
                </c:pt>
                <c:pt idx="242">
                  <c:v>17.467391304347828</c:v>
                </c:pt>
                <c:pt idx="243">
                  <c:v>17.857142857142861</c:v>
                </c:pt>
                <c:pt idx="244">
                  <c:v>29.900000000000002</c:v>
                </c:pt>
                <c:pt idx="245">
                  <c:v>24.909090909090903</c:v>
                </c:pt>
                <c:pt idx="246">
                  <c:v>23.625000000000004</c:v>
                </c:pt>
                <c:pt idx="247">
                  <c:v>13.611111111111112</c:v>
                </c:pt>
                <c:pt idx="248">
                  <c:v>21.8</c:v>
                </c:pt>
                <c:pt idx="249">
                  <c:v>18.955555555555556</c:v>
                </c:pt>
                <c:pt idx="250">
                  <c:v>20.750000000000004</c:v>
                </c:pt>
                <c:pt idx="251">
                  <c:v>21.518518518518515</c:v>
                </c:pt>
                <c:pt idx="252">
                  <c:v>23.625000000000004</c:v>
                </c:pt>
                <c:pt idx="253">
                  <c:v>18.741935483870968</c:v>
                </c:pt>
                <c:pt idx="254">
                  <c:v>21.840000000000003</c:v>
                </c:pt>
                <c:pt idx="255">
                  <c:v>20.750000000000004</c:v>
                </c:pt>
                <c:pt idx="256">
                  <c:v>20.750000000000004</c:v>
                </c:pt>
                <c:pt idx="257">
                  <c:v>20.192307692307693</c:v>
                </c:pt>
                <c:pt idx="258">
                  <c:v>17.121951219512198</c:v>
                </c:pt>
                <c:pt idx="259">
                  <c:v>20.185185185185183</c:v>
                </c:pt>
                <c:pt idx="260">
                  <c:v>21.6</c:v>
                </c:pt>
                <c:pt idx="261">
                  <c:v>20.714285714285715</c:v>
                </c:pt>
                <c:pt idx="262">
                  <c:v>24.680000000000003</c:v>
                </c:pt>
                <c:pt idx="263">
                  <c:v>29.090909090909086</c:v>
                </c:pt>
                <c:pt idx="264">
                  <c:v>29.05</c:v>
                </c:pt>
                <c:pt idx="265">
                  <c:v>20.37037037037037</c:v>
                </c:pt>
                <c:pt idx="266">
                  <c:v>11.232558139534882</c:v>
                </c:pt>
                <c:pt idx="267">
                  <c:v>12.763157894736842</c:v>
                </c:pt>
                <c:pt idx="268">
                  <c:v>12.435897435897436</c:v>
                </c:pt>
                <c:pt idx="269">
                  <c:v>20.925925925925924</c:v>
                </c:pt>
                <c:pt idx="270">
                  <c:v>21.076923076923077</c:v>
                </c:pt>
                <c:pt idx="271">
                  <c:v>21.333333333333332</c:v>
                </c:pt>
              </c:numCache>
            </c:numRef>
          </c:yVal>
          <c:smooth val="1"/>
          <c:extLst>
            <c:ext xmlns:c16="http://schemas.microsoft.com/office/drawing/2014/chart" uri="{C3380CC4-5D6E-409C-BE32-E72D297353CC}">
              <c16:uniqueId val="{00000000-C598-46A4-A402-8140B0AA761B}"/>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23170656337671613"/>
                  <c:y val="-0.3212172699656754"/>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Stats'!$J$5:$J$12</c:f>
              <c:numCache>
                <c:formatCode>0.0</c:formatCode>
                <c:ptCount val="8"/>
                <c:pt idx="0">
                  <c:v>163.38383999999999</c:v>
                </c:pt>
                <c:pt idx="1">
                  <c:v>164.04000000000002</c:v>
                </c:pt>
                <c:pt idx="2">
                  <c:v>175.85088000000002</c:v>
                </c:pt>
                <c:pt idx="3">
                  <c:v>187.00560000000002</c:v>
                </c:pt>
                <c:pt idx="4">
                  <c:v>188.97408000000001</c:v>
                </c:pt>
                <c:pt idx="5">
                  <c:v>184.05288000000002</c:v>
                </c:pt>
                <c:pt idx="6">
                  <c:v>191.59872000000001</c:v>
                </c:pt>
                <c:pt idx="7">
                  <c:v>204.72192000000001</c:v>
                </c:pt>
              </c:numCache>
            </c:numRef>
          </c:xVal>
          <c:yVal>
            <c:numRef>
              <c:f>'Task 1 Converted AMI PDF Stats'!$S$5:$S$12</c:f>
              <c:numCache>
                <c:formatCode>0.00</c:formatCode>
                <c:ptCount val="8"/>
                <c:pt idx="0">
                  <c:v>22.636363636363633</c:v>
                </c:pt>
                <c:pt idx="1">
                  <c:v>23.80952380952381</c:v>
                </c:pt>
                <c:pt idx="2">
                  <c:v>23.304347826086957</c:v>
                </c:pt>
                <c:pt idx="3">
                  <c:v>28.5</c:v>
                </c:pt>
                <c:pt idx="4">
                  <c:v>15.867768595041323</c:v>
                </c:pt>
                <c:pt idx="5">
                  <c:v>22.44</c:v>
                </c:pt>
                <c:pt idx="6">
                  <c:v>22.461538461538463</c:v>
                </c:pt>
                <c:pt idx="7">
                  <c:v>20.129032258064516</c:v>
                </c:pt>
              </c:numCache>
            </c:numRef>
          </c:yVal>
          <c:smooth val="1"/>
          <c:extLst>
            <c:ext xmlns:c16="http://schemas.microsoft.com/office/drawing/2014/chart" uri="{C3380CC4-5D6E-409C-BE32-E72D297353CC}">
              <c16:uniqueId val="{00000001-C598-46A4-A402-8140B0AA761B}"/>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2834069510229538"/>
                  <c:y val="-0.21133577665368014"/>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Stats'!$J$13:$J$98</c:f>
              <c:numCache>
                <c:formatCode>0.0</c:formatCode>
                <c:ptCount val="86"/>
                <c:pt idx="0">
                  <c:v>82.02000000000001</c:v>
                </c:pt>
                <c:pt idx="1">
                  <c:v>82.02000000000001</c:v>
                </c:pt>
                <c:pt idx="2">
                  <c:v>88.581600000000009</c:v>
                </c:pt>
                <c:pt idx="3">
                  <c:v>88.581600000000009</c:v>
                </c:pt>
                <c:pt idx="4">
                  <c:v>83.66040000000001</c:v>
                </c:pt>
                <c:pt idx="5">
                  <c:v>104.98560000000001</c:v>
                </c:pt>
                <c:pt idx="6">
                  <c:v>100.06440000000001</c:v>
                </c:pt>
                <c:pt idx="7">
                  <c:v>127.29504</c:v>
                </c:pt>
                <c:pt idx="8">
                  <c:v>127.29504</c:v>
                </c:pt>
                <c:pt idx="9">
                  <c:v>127.29504</c:v>
                </c:pt>
                <c:pt idx="10">
                  <c:v>127.29504</c:v>
                </c:pt>
                <c:pt idx="11">
                  <c:v>104.98560000000001</c:v>
                </c:pt>
                <c:pt idx="12">
                  <c:v>107.93832</c:v>
                </c:pt>
                <c:pt idx="13">
                  <c:v>121.3896</c:v>
                </c:pt>
                <c:pt idx="14">
                  <c:v>134.5128</c:v>
                </c:pt>
                <c:pt idx="15">
                  <c:v>119.7492</c:v>
                </c:pt>
                <c:pt idx="16">
                  <c:v>137.7936</c:v>
                </c:pt>
                <c:pt idx="17">
                  <c:v>121.06152</c:v>
                </c:pt>
                <c:pt idx="18">
                  <c:v>113.84376000000002</c:v>
                </c:pt>
                <c:pt idx="19">
                  <c:v>154.19999999999999</c:v>
                </c:pt>
                <c:pt idx="20">
                  <c:v>127.9512</c:v>
                </c:pt>
                <c:pt idx="21">
                  <c:v>139.434</c:v>
                </c:pt>
                <c:pt idx="22">
                  <c:v>139.4</c:v>
                </c:pt>
                <c:pt idx="23">
                  <c:v>139.434</c:v>
                </c:pt>
                <c:pt idx="24">
                  <c:v>126.63888000000001</c:v>
                </c:pt>
                <c:pt idx="25">
                  <c:v>126.63888000000001</c:v>
                </c:pt>
                <c:pt idx="26">
                  <c:v>126.63888000000001</c:v>
                </c:pt>
                <c:pt idx="27">
                  <c:v>126.63888000000001</c:v>
                </c:pt>
                <c:pt idx="28">
                  <c:v>121.06152</c:v>
                </c:pt>
                <c:pt idx="29">
                  <c:v>126.63888000000001</c:v>
                </c:pt>
                <c:pt idx="30">
                  <c:v>126.63888000000001</c:v>
                </c:pt>
                <c:pt idx="31">
                  <c:v>149.2764</c:v>
                </c:pt>
                <c:pt idx="32">
                  <c:v>120.73344</c:v>
                </c:pt>
                <c:pt idx="33">
                  <c:v>164.5</c:v>
                </c:pt>
                <c:pt idx="34">
                  <c:v>143.04288000000003</c:v>
                </c:pt>
                <c:pt idx="35">
                  <c:v>147.30792</c:v>
                </c:pt>
                <c:pt idx="36">
                  <c:v>164.36808000000002</c:v>
                </c:pt>
                <c:pt idx="37">
                  <c:v>129.26352</c:v>
                </c:pt>
                <c:pt idx="38">
                  <c:v>147.30792</c:v>
                </c:pt>
                <c:pt idx="39">
                  <c:v>154.19759999999999</c:v>
                </c:pt>
                <c:pt idx="40">
                  <c:v>147.636</c:v>
                </c:pt>
                <c:pt idx="41">
                  <c:v>147.30792</c:v>
                </c:pt>
                <c:pt idx="42">
                  <c:v>147.30792</c:v>
                </c:pt>
                <c:pt idx="43">
                  <c:v>147.30792</c:v>
                </c:pt>
                <c:pt idx="44">
                  <c:v>147.636</c:v>
                </c:pt>
                <c:pt idx="45">
                  <c:v>147.30000000000001</c:v>
                </c:pt>
                <c:pt idx="46">
                  <c:v>147.30792</c:v>
                </c:pt>
                <c:pt idx="47">
                  <c:v>154.19759999999999</c:v>
                </c:pt>
                <c:pt idx="48">
                  <c:v>154.19759999999999</c:v>
                </c:pt>
                <c:pt idx="49">
                  <c:v>154.19999999999999</c:v>
                </c:pt>
                <c:pt idx="50">
                  <c:v>154.19759999999999</c:v>
                </c:pt>
                <c:pt idx="51">
                  <c:v>154.19759999999999</c:v>
                </c:pt>
                <c:pt idx="52">
                  <c:v>147.30792</c:v>
                </c:pt>
                <c:pt idx="53">
                  <c:v>176.17896000000002</c:v>
                </c:pt>
                <c:pt idx="54">
                  <c:v>148.94832</c:v>
                </c:pt>
                <c:pt idx="55">
                  <c:v>147.30792</c:v>
                </c:pt>
                <c:pt idx="56">
                  <c:v>164.69616000000002</c:v>
                </c:pt>
                <c:pt idx="57">
                  <c:v>164.69616000000002</c:v>
                </c:pt>
                <c:pt idx="58">
                  <c:v>163.38383999999999</c:v>
                </c:pt>
                <c:pt idx="59">
                  <c:v>154.19759999999999</c:v>
                </c:pt>
                <c:pt idx="60">
                  <c:v>160.75920000000002</c:v>
                </c:pt>
                <c:pt idx="61">
                  <c:v>185.69328000000002</c:v>
                </c:pt>
                <c:pt idx="62">
                  <c:v>159.11880000000002</c:v>
                </c:pt>
                <c:pt idx="63">
                  <c:v>190.61448000000001</c:v>
                </c:pt>
                <c:pt idx="64">
                  <c:v>188.97408000000001</c:v>
                </c:pt>
                <c:pt idx="65">
                  <c:v>192.91104000000001</c:v>
                </c:pt>
                <c:pt idx="66">
                  <c:v>190.61448000000001</c:v>
                </c:pt>
                <c:pt idx="67">
                  <c:v>186.02136000000002</c:v>
                </c:pt>
                <c:pt idx="68">
                  <c:v>183.72480000000002</c:v>
                </c:pt>
                <c:pt idx="69">
                  <c:v>183.72480000000002</c:v>
                </c:pt>
                <c:pt idx="70">
                  <c:v>184.38096000000002</c:v>
                </c:pt>
                <c:pt idx="71">
                  <c:v>190.61448000000001</c:v>
                </c:pt>
                <c:pt idx="72">
                  <c:v>184.38096000000002</c:v>
                </c:pt>
                <c:pt idx="73">
                  <c:v>186.02136000000002</c:v>
                </c:pt>
                <c:pt idx="74">
                  <c:v>204.06576000000001</c:v>
                </c:pt>
                <c:pt idx="75">
                  <c:v>189.63023999999999</c:v>
                </c:pt>
                <c:pt idx="76">
                  <c:v>190.61448000000001</c:v>
                </c:pt>
                <c:pt idx="77">
                  <c:v>190.28640000000001</c:v>
                </c:pt>
                <c:pt idx="78">
                  <c:v>198.16032000000001</c:v>
                </c:pt>
                <c:pt idx="79">
                  <c:v>206.03424000000001</c:v>
                </c:pt>
                <c:pt idx="80">
                  <c:v>206.03424000000001</c:v>
                </c:pt>
                <c:pt idx="81">
                  <c:v>206.03424000000001</c:v>
                </c:pt>
                <c:pt idx="82">
                  <c:v>202.42536000000001</c:v>
                </c:pt>
                <c:pt idx="83">
                  <c:v>202.42536000000001</c:v>
                </c:pt>
                <c:pt idx="84">
                  <c:v>204.72192000000001</c:v>
                </c:pt>
                <c:pt idx="85">
                  <c:v>203.40960000000001</c:v>
                </c:pt>
              </c:numCache>
            </c:numRef>
          </c:xVal>
          <c:yVal>
            <c:numRef>
              <c:f>'Task 1 Converted AMI PDF Stats'!$S$13:$S$98</c:f>
              <c:numCache>
                <c:formatCode>0.00</c:formatCode>
                <c:ptCount val="86"/>
                <c:pt idx="0">
                  <c:v>20.833333333333336</c:v>
                </c:pt>
                <c:pt idx="1">
                  <c:v>27.777777777777779</c:v>
                </c:pt>
                <c:pt idx="2">
                  <c:v>20.76923076923077</c:v>
                </c:pt>
                <c:pt idx="3">
                  <c:v>20.76923076923077</c:v>
                </c:pt>
                <c:pt idx="4">
                  <c:v>19.615384615384617</c:v>
                </c:pt>
                <c:pt idx="5">
                  <c:v>15.238095238095239</c:v>
                </c:pt>
                <c:pt idx="6">
                  <c:v>20.333333333333332</c:v>
                </c:pt>
                <c:pt idx="7">
                  <c:v>22.823529411764703</c:v>
                </c:pt>
                <c:pt idx="8">
                  <c:v>22.823529411764703</c:v>
                </c:pt>
                <c:pt idx="9">
                  <c:v>22.823529411764703</c:v>
                </c:pt>
                <c:pt idx="10">
                  <c:v>24.249999999999996</c:v>
                </c:pt>
                <c:pt idx="11">
                  <c:v>13.913043478260869</c:v>
                </c:pt>
                <c:pt idx="12">
                  <c:v>13.708333333333334</c:v>
                </c:pt>
                <c:pt idx="13">
                  <c:v>21.764705882352938</c:v>
                </c:pt>
                <c:pt idx="14">
                  <c:v>25.624999999999996</c:v>
                </c:pt>
                <c:pt idx="15">
                  <c:v>20.277777777777775</c:v>
                </c:pt>
                <c:pt idx="16">
                  <c:v>22.105263157894736</c:v>
                </c:pt>
                <c:pt idx="17">
                  <c:v>20.5</c:v>
                </c:pt>
                <c:pt idx="18">
                  <c:v>23.133333333333333</c:v>
                </c:pt>
                <c:pt idx="19">
                  <c:v>24.87096774193548</c:v>
                </c:pt>
                <c:pt idx="20">
                  <c:v>21.666666666666664</c:v>
                </c:pt>
                <c:pt idx="21">
                  <c:v>17.708333333333332</c:v>
                </c:pt>
                <c:pt idx="22">
                  <c:v>17.645569620253166</c:v>
                </c:pt>
                <c:pt idx="23">
                  <c:v>17.708333333333332</c:v>
                </c:pt>
                <c:pt idx="24">
                  <c:v>14.296296296296296</c:v>
                </c:pt>
                <c:pt idx="25">
                  <c:v>14.296296296296296</c:v>
                </c:pt>
                <c:pt idx="26">
                  <c:v>14.296296296296296</c:v>
                </c:pt>
                <c:pt idx="27">
                  <c:v>14.296296296296296</c:v>
                </c:pt>
                <c:pt idx="28">
                  <c:v>20.5</c:v>
                </c:pt>
                <c:pt idx="29">
                  <c:v>14.296296296296296</c:v>
                </c:pt>
                <c:pt idx="30">
                  <c:v>14.296296296296296</c:v>
                </c:pt>
                <c:pt idx="31">
                  <c:v>26.764705882352938</c:v>
                </c:pt>
                <c:pt idx="32">
                  <c:v>20.444444444444443</c:v>
                </c:pt>
                <c:pt idx="33">
                  <c:v>17.315789473684209</c:v>
                </c:pt>
                <c:pt idx="34">
                  <c:v>18.166666666666671</c:v>
                </c:pt>
                <c:pt idx="35">
                  <c:v>17.96</c:v>
                </c:pt>
                <c:pt idx="36">
                  <c:v>17.27586206896552</c:v>
                </c:pt>
                <c:pt idx="37">
                  <c:v>15.76</c:v>
                </c:pt>
                <c:pt idx="38">
                  <c:v>17.96</c:v>
                </c:pt>
                <c:pt idx="39">
                  <c:v>18.8</c:v>
                </c:pt>
                <c:pt idx="40">
                  <c:v>18</c:v>
                </c:pt>
                <c:pt idx="41">
                  <c:v>19.521739130434781</c:v>
                </c:pt>
                <c:pt idx="42">
                  <c:v>17.96</c:v>
                </c:pt>
                <c:pt idx="43">
                  <c:v>17.96</c:v>
                </c:pt>
                <c:pt idx="44">
                  <c:v>17.307692307692307</c:v>
                </c:pt>
                <c:pt idx="45">
                  <c:v>20.458333333333336</c:v>
                </c:pt>
                <c:pt idx="46">
                  <c:v>20.409090909090907</c:v>
                </c:pt>
                <c:pt idx="47">
                  <c:v>12.051282051282049</c:v>
                </c:pt>
                <c:pt idx="48">
                  <c:v>17.407407407407405</c:v>
                </c:pt>
                <c:pt idx="49">
                  <c:v>17.325842696629213</c:v>
                </c:pt>
                <c:pt idx="50">
                  <c:v>17.407407407407405</c:v>
                </c:pt>
                <c:pt idx="51">
                  <c:v>17.407407407407405</c:v>
                </c:pt>
                <c:pt idx="52">
                  <c:v>18.708333333333332</c:v>
                </c:pt>
                <c:pt idx="53">
                  <c:v>18.517241379310349</c:v>
                </c:pt>
                <c:pt idx="54">
                  <c:v>19.739130434782609</c:v>
                </c:pt>
                <c:pt idx="55">
                  <c:v>16.629629629629626</c:v>
                </c:pt>
                <c:pt idx="56">
                  <c:v>21.826086956521742</c:v>
                </c:pt>
                <c:pt idx="57">
                  <c:v>17.31034482758621</c:v>
                </c:pt>
                <c:pt idx="58">
                  <c:v>21.652173913043477</c:v>
                </c:pt>
                <c:pt idx="59">
                  <c:v>24.736842105263154</c:v>
                </c:pt>
                <c:pt idx="60">
                  <c:v>24.500000000000004</c:v>
                </c:pt>
                <c:pt idx="61">
                  <c:v>28.3</c:v>
                </c:pt>
                <c:pt idx="62">
                  <c:v>13.857142857142858</c:v>
                </c:pt>
                <c:pt idx="63">
                  <c:v>20.750000000000004</c:v>
                </c:pt>
                <c:pt idx="64">
                  <c:v>22.153846153846157</c:v>
                </c:pt>
                <c:pt idx="65">
                  <c:v>26.727272727272727</c:v>
                </c:pt>
                <c:pt idx="66">
                  <c:v>22.346153846153847</c:v>
                </c:pt>
                <c:pt idx="67">
                  <c:v>23.625000000000004</c:v>
                </c:pt>
                <c:pt idx="68">
                  <c:v>25.454545454545453</c:v>
                </c:pt>
                <c:pt idx="69">
                  <c:v>25.454545454545453</c:v>
                </c:pt>
                <c:pt idx="70">
                  <c:v>26.761904761904763</c:v>
                </c:pt>
                <c:pt idx="71">
                  <c:v>21.518518518518515</c:v>
                </c:pt>
                <c:pt idx="72">
                  <c:v>26.761904761904763</c:v>
                </c:pt>
                <c:pt idx="73">
                  <c:v>23.625000000000004</c:v>
                </c:pt>
                <c:pt idx="74">
                  <c:v>25.916666666666668</c:v>
                </c:pt>
                <c:pt idx="75">
                  <c:v>21.407407407407401</c:v>
                </c:pt>
                <c:pt idx="76">
                  <c:v>21.518518518518515</c:v>
                </c:pt>
                <c:pt idx="77">
                  <c:v>24.166666666666668</c:v>
                </c:pt>
                <c:pt idx="78">
                  <c:v>13.422222222222222</c:v>
                </c:pt>
                <c:pt idx="79">
                  <c:v>26.166666666666668</c:v>
                </c:pt>
                <c:pt idx="80">
                  <c:v>26.166666666666668</c:v>
                </c:pt>
                <c:pt idx="81">
                  <c:v>26.166666666666668</c:v>
                </c:pt>
                <c:pt idx="82">
                  <c:v>24.680000000000003</c:v>
                </c:pt>
                <c:pt idx="83">
                  <c:v>24.680000000000003</c:v>
                </c:pt>
                <c:pt idx="84">
                  <c:v>24</c:v>
                </c:pt>
                <c:pt idx="85">
                  <c:v>23.846153846153847</c:v>
                </c:pt>
              </c:numCache>
            </c:numRef>
          </c:yVal>
          <c:smooth val="1"/>
          <c:extLst>
            <c:ext xmlns:c16="http://schemas.microsoft.com/office/drawing/2014/chart" uri="{C3380CC4-5D6E-409C-BE32-E72D297353CC}">
              <c16:uniqueId val="{00000002-C598-46A4-A402-8140B0AA761B}"/>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18448811586462532"/>
                  <c:y val="8.7343737643967856E-3"/>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Stats'!$J$99:$J$112</c:f>
              <c:numCache>
                <c:formatCode>0.0</c:formatCode>
                <c:ptCount val="14"/>
                <c:pt idx="0">
                  <c:v>120.07728000000002</c:v>
                </c:pt>
                <c:pt idx="1">
                  <c:v>126.3108</c:v>
                </c:pt>
                <c:pt idx="2">
                  <c:v>126.63888000000001</c:v>
                </c:pt>
                <c:pt idx="3">
                  <c:v>143.04288000000003</c:v>
                </c:pt>
                <c:pt idx="4">
                  <c:v>126.63888000000001</c:v>
                </c:pt>
                <c:pt idx="5">
                  <c:v>157.47840000000002</c:v>
                </c:pt>
                <c:pt idx="6">
                  <c:v>166.66463999999999</c:v>
                </c:pt>
                <c:pt idx="7">
                  <c:v>147.636</c:v>
                </c:pt>
                <c:pt idx="8">
                  <c:v>170.60160000000002</c:v>
                </c:pt>
                <c:pt idx="9">
                  <c:v>192.91104000000001</c:v>
                </c:pt>
                <c:pt idx="10">
                  <c:v>188.97408000000001</c:v>
                </c:pt>
                <c:pt idx="11">
                  <c:v>190.28640000000001</c:v>
                </c:pt>
                <c:pt idx="12">
                  <c:v>214.56432000000004</c:v>
                </c:pt>
                <c:pt idx="13">
                  <c:v>209.97120000000001</c:v>
                </c:pt>
              </c:numCache>
            </c:numRef>
          </c:xVal>
          <c:yVal>
            <c:numRef>
              <c:f>'Task 1 Converted AMI PDF Stats'!$S$99:$S$112</c:f>
              <c:numCache>
                <c:formatCode>0.00</c:formatCode>
                <c:ptCount val="14"/>
                <c:pt idx="0">
                  <c:v>21.529411764705884</c:v>
                </c:pt>
                <c:pt idx="1">
                  <c:v>17.499999999999996</c:v>
                </c:pt>
                <c:pt idx="2">
                  <c:v>14.296296296296296</c:v>
                </c:pt>
                <c:pt idx="3">
                  <c:v>18.166666666666671</c:v>
                </c:pt>
                <c:pt idx="4">
                  <c:v>14.296296296296296</c:v>
                </c:pt>
                <c:pt idx="5">
                  <c:v>32</c:v>
                </c:pt>
                <c:pt idx="6">
                  <c:v>25.4</c:v>
                </c:pt>
                <c:pt idx="7">
                  <c:v>14.999999999999998</c:v>
                </c:pt>
                <c:pt idx="8">
                  <c:v>22.608695652173914</c:v>
                </c:pt>
                <c:pt idx="9">
                  <c:v>26.727272727272727</c:v>
                </c:pt>
                <c:pt idx="10">
                  <c:v>22.153846153846157</c:v>
                </c:pt>
                <c:pt idx="11">
                  <c:v>24.166666666666668</c:v>
                </c:pt>
                <c:pt idx="12">
                  <c:v>27.250000000000004</c:v>
                </c:pt>
                <c:pt idx="13">
                  <c:v>24.615384615384617</c:v>
                </c:pt>
              </c:numCache>
            </c:numRef>
          </c:yVal>
          <c:smooth val="1"/>
          <c:extLst>
            <c:ext xmlns:c16="http://schemas.microsoft.com/office/drawing/2014/chart" uri="{C3380CC4-5D6E-409C-BE32-E72D297353CC}">
              <c16:uniqueId val="{00000003-C598-46A4-A402-8140B0AA761B}"/>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0617503648429736"/>
                  <c:y val="-1.5447387441689553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Stats'!$J$113:$J$276</c:f>
              <c:numCache>
                <c:formatCode>0.0</c:formatCode>
                <c:ptCount val="164"/>
                <c:pt idx="0">
                  <c:v>153.54143999999999</c:v>
                </c:pt>
                <c:pt idx="1">
                  <c:v>106.29792</c:v>
                </c:pt>
                <c:pt idx="2">
                  <c:v>140.41824</c:v>
                </c:pt>
                <c:pt idx="3">
                  <c:v>82.02000000000001</c:v>
                </c:pt>
                <c:pt idx="4">
                  <c:v>78.739200000000011</c:v>
                </c:pt>
                <c:pt idx="5">
                  <c:v>98.424000000000007</c:v>
                </c:pt>
                <c:pt idx="6">
                  <c:v>89.893919999999994</c:v>
                </c:pt>
                <c:pt idx="7">
                  <c:v>84.972719999999995</c:v>
                </c:pt>
                <c:pt idx="8">
                  <c:v>88.581600000000009</c:v>
                </c:pt>
                <c:pt idx="9">
                  <c:v>88.581600000000009</c:v>
                </c:pt>
                <c:pt idx="10">
                  <c:v>82.02000000000001</c:v>
                </c:pt>
                <c:pt idx="11">
                  <c:v>84.972719999999995</c:v>
                </c:pt>
                <c:pt idx="12">
                  <c:v>82.02000000000001</c:v>
                </c:pt>
                <c:pt idx="13">
                  <c:v>83.00424000000001</c:v>
                </c:pt>
                <c:pt idx="14">
                  <c:v>83.00424000000001</c:v>
                </c:pt>
                <c:pt idx="15">
                  <c:v>83.00424000000001</c:v>
                </c:pt>
                <c:pt idx="16">
                  <c:v>137.7936</c:v>
                </c:pt>
                <c:pt idx="17">
                  <c:v>94.815119999999993</c:v>
                </c:pt>
                <c:pt idx="18">
                  <c:v>82.02000000000001</c:v>
                </c:pt>
                <c:pt idx="19">
                  <c:v>98.424000000000007</c:v>
                </c:pt>
                <c:pt idx="20">
                  <c:v>85.956959999999995</c:v>
                </c:pt>
                <c:pt idx="21">
                  <c:v>95.143200000000007</c:v>
                </c:pt>
                <c:pt idx="22">
                  <c:v>98.424000000000007</c:v>
                </c:pt>
                <c:pt idx="23">
                  <c:v>104.98560000000001</c:v>
                </c:pt>
                <c:pt idx="24">
                  <c:v>86.941200000000009</c:v>
                </c:pt>
                <c:pt idx="25">
                  <c:v>101.70480000000001</c:v>
                </c:pt>
                <c:pt idx="26">
                  <c:v>95.143200000000007</c:v>
                </c:pt>
                <c:pt idx="27">
                  <c:v>89.893919999999994</c:v>
                </c:pt>
                <c:pt idx="28">
                  <c:v>104.98560000000001</c:v>
                </c:pt>
                <c:pt idx="29">
                  <c:v>137.7936</c:v>
                </c:pt>
                <c:pt idx="30">
                  <c:v>109.9068</c:v>
                </c:pt>
                <c:pt idx="31">
                  <c:v>89.237760000000009</c:v>
                </c:pt>
                <c:pt idx="32">
                  <c:v>105.96983999999999</c:v>
                </c:pt>
                <c:pt idx="33">
                  <c:v>86.941200000000009</c:v>
                </c:pt>
                <c:pt idx="34">
                  <c:v>95.143200000000007</c:v>
                </c:pt>
                <c:pt idx="35">
                  <c:v>95.143200000000007</c:v>
                </c:pt>
                <c:pt idx="36">
                  <c:v>103.01712000000001</c:v>
                </c:pt>
                <c:pt idx="37">
                  <c:v>95.471280000000007</c:v>
                </c:pt>
                <c:pt idx="38">
                  <c:v>103.01712000000001</c:v>
                </c:pt>
                <c:pt idx="39">
                  <c:v>94.815119999999993</c:v>
                </c:pt>
                <c:pt idx="40">
                  <c:v>94.815119999999993</c:v>
                </c:pt>
                <c:pt idx="41">
                  <c:v>105.31368000000001</c:v>
                </c:pt>
                <c:pt idx="42">
                  <c:v>109.9068</c:v>
                </c:pt>
                <c:pt idx="43">
                  <c:v>100.06440000000001</c:v>
                </c:pt>
                <c:pt idx="44">
                  <c:v>98.424000000000007</c:v>
                </c:pt>
                <c:pt idx="45">
                  <c:v>93.174719999999994</c:v>
                </c:pt>
                <c:pt idx="46">
                  <c:v>109.25063999999999</c:v>
                </c:pt>
                <c:pt idx="47">
                  <c:v>95.143200000000007</c:v>
                </c:pt>
                <c:pt idx="48">
                  <c:v>100.06440000000001</c:v>
                </c:pt>
                <c:pt idx="49">
                  <c:v>109.9068</c:v>
                </c:pt>
                <c:pt idx="50">
                  <c:v>101.70480000000001</c:v>
                </c:pt>
                <c:pt idx="51">
                  <c:v>108.2664</c:v>
                </c:pt>
                <c:pt idx="52">
                  <c:v>114.828</c:v>
                </c:pt>
                <c:pt idx="53">
                  <c:v>104.98560000000001</c:v>
                </c:pt>
                <c:pt idx="54">
                  <c:v>106.95408</c:v>
                </c:pt>
                <c:pt idx="55">
                  <c:v>103.34520000000001</c:v>
                </c:pt>
                <c:pt idx="56">
                  <c:v>114.828</c:v>
                </c:pt>
                <c:pt idx="57">
                  <c:v>106.95408</c:v>
                </c:pt>
                <c:pt idx="58">
                  <c:v>115.5</c:v>
                </c:pt>
                <c:pt idx="59">
                  <c:v>103.01712000000001</c:v>
                </c:pt>
                <c:pt idx="60">
                  <c:v>119.42112</c:v>
                </c:pt>
                <c:pt idx="61">
                  <c:v>114.828</c:v>
                </c:pt>
                <c:pt idx="62">
                  <c:v>108.59448</c:v>
                </c:pt>
                <c:pt idx="63">
                  <c:v>113.1876</c:v>
                </c:pt>
                <c:pt idx="64">
                  <c:v>101.37672000000001</c:v>
                </c:pt>
                <c:pt idx="65">
                  <c:v>101.37672000000001</c:v>
                </c:pt>
                <c:pt idx="66">
                  <c:v>117.12456000000002</c:v>
                </c:pt>
                <c:pt idx="67">
                  <c:v>119.7492</c:v>
                </c:pt>
                <c:pt idx="68">
                  <c:v>119.7492</c:v>
                </c:pt>
                <c:pt idx="69">
                  <c:v>116.14032</c:v>
                </c:pt>
                <c:pt idx="70">
                  <c:v>104.98560000000001</c:v>
                </c:pt>
                <c:pt idx="71">
                  <c:v>118.76496000000002</c:v>
                </c:pt>
                <c:pt idx="72">
                  <c:v>107.61023999999999</c:v>
                </c:pt>
                <c:pt idx="73">
                  <c:v>132.54432</c:v>
                </c:pt>
                <c:pt idx="74">
                  <c:v>112.85952</c:v>
                </c:pt>
                <c:pt idx="75">
                  <c:v>103.34520000000001</c:v>
                </c:pt>
                <c:pt idx="76">
                  <c:v>83.98848000000001</c:v>
                </c:pt>
                <c:pt idx="77">
                  <c:v>123.03</c:v>
                </c:pt>
                <c:pt idx="78">
                  <c:v>103.34520000000001</c:v>
                </c:pt>
                <c:pt idx="79">
                  <c:v>103.34520000000001</c:v>
                </c:pt>
                <c:pt idx="80">
                  <c:v>103.34520000000001</c:v>
                </c:pt>
                <c:pt idx="81">
                  <c:v>109.9068</c:v>
                </c:pt>
                <c:pt idx="82">
                  <c:v>106.95408</c:v>
                </c:pt>
                <c:pt idx="83">
                  <c:v>137.7936</c:v>
                </c:pt>
                <c:pt idx="84">
                  <c:v>131.88816000000003</c:v>
                </c:pt>
                <c:pt idx="85">
                  <c:v>123.00000000000001</c:v>
                </c:pt>
                <c:pt idx="86">
                  <c:v>131.88816000000003</c:v>
                </c:pt>
                <c:pt idx="87">
                  <c:v>127.9512</c:v>
                </c:pt>
                <c:pt idx="88">
                  <c:v>108.2664</c:v>
                </c:pt>
                <c:pt idx="89">
                  <c:v>113.51568</c:v>
                </c:pt>
                <c:pt idx="90">
                  <c:v>144.30000000000001</c:v>
                </c:pt>
                <c:pt idx="91">
                  <c:v>111.87528</c:v>
                </c:pt>
                <c:pt idx="92">
                  <c:v>123.03</c:v>
                </c:pt>
                <c:pt idx="93">
                  <c:v>137.13744</c:v>
                </c:pt>
                <c:pt idx="94">
                  <c:v>141.40248000000003</c:v>
                </c:pt>
                <c:pt idx="95">
                  <c:v>133.52856000000003</c:v>
                </c:pt>
                <c:pt idx="96">
                  <c:v>141.1</c:v>
                </c:pt>
                <c:pt idx="97">
                  <c:v>147.30000000000001</c:v>
                </c:pt>
                <c:pt idx="98">
                  <c:v>127.62312</c:v>
                </c:pt>
                <c:pt idx="99">
                  <c:v>123.03</c:v>
                </c:pt>
                <c:pt idx="100">
                  <c:v>123.03</c:v>
                </c:pt>
                <c:pt idx="101">
                  <c:v>126.63888000000001</c:v>
                </c:pt>
                <c:pt idx="102">
                  <c:v>133.20048</c:v>
                </c:pt>
                <c:pt idx="103">
                  <c:v>120.07728000000002</c:v>
                </c:pt>
                <c:pt idx="104">
                  <c:v>124.01424</c:v>
                </c:pt>
                <c:pt idx="105">
                  <c:v>129.26352</c:v>
                </c:pt>
                <c:pt idx="106">
                  <c:v>127.09999999999998</c:v>
                </c:pt>
                <c:pt idx="107">
                  <c:v>148.94832</c:v>
                </c:pt>
                <c:pt idx="108">
                  <c:v>144.4</c:v>
                </c:pt>
                <c:pt idx="109">
                  <c:v>143.04288000000003</c:v>
                </c:pt>
                <c:pt idx="110">
                  <c:v>137.13744</c:v>
                </c:pt>
                <c:pt idx="111">
                  <c:v>137.7936</c:v>
                </c:pt>
                <c:pt idx="112">
                  <c:v>157.47840000000002</c:v>
                </c:pt>
                <c:pt idx="113">
                  <c:v>157.47840000000002</c:v>
                </c:pt>
                <c:pt idx="114">
                  <c:v>147.30000000000001</c:v>
                </c:pt>
                <c:pt idx="115">
                  <c:v>157.80000000000001</c:v>
                </c:pt>
                <c:pt idx="116">
                  <c:v>151</c:v>
                </c:pt>
                <c:pt idx="117">
                  <c:v>152.55719999999999</c:v>
                </c:pt>
                <c:pt idx="118">
                  <c:v>152.55719999999999</c:v>
                </c:pt>
                <c:pt idx="119">
                  <c:v>170.92968000000002</c:v>
                </c:pt>
                <c:pt idx="120">
                  <c:v>164.36808000000002</c:v>
                </c:pt>
                <c:pt idx="121">
                  <c:v>144.3552</c:v>
                </c:pt>
                <c:pt idx="122">
                  <c:v>144.3552</c:v>
                </c:pt>
                <c:pt idx="123">
                  <c:v>150.9</c:v>
                </c:pt>
                <c:pt idx="124">
                  <c:v>145.66752</c:v>
                </c:pt>
                <c:pt idx="125">
                  <c:v>130.57584</c:v>
                </c:pt>
                <c:pt idx="126">
                  <c:v>170.27351999999999</c:v>
                </c:pt>
                <c:pt idx="127">
                  <c:v>177.16320000000002</c:v>
                </c:pt>
                <c:pt idx="128">
                  <c:v>198.81648000000001</c:v>
                </c:pt>
                <c:pt idx="129">
                  <c:v>192.91104000000001</c:v>
                </c:pt>
                <c:pt idx="130">
                  <c:v>192.91104000000001</c:v>
                </c:pt>
                <c:pt idx="131">
                  <c:v>188.64600000000002</c:v>
                </c:pt>
                <c:pt idx="132">
                  <c:v>184.70903999999999</c:v>
                </c:pt>
                <c:pt idx="133">
                  <c:v>184.70903999999999</c:v>
                </c:pt>
                <c:pt idx="134">
                  <c:v>160.69999999999999</c:v>
                </c:pt>
                <c:pt idx="135">
                  <c:v>164.04000000000002</c:v>
                </c:pt>
                <c:pt idx="136">
                  <c:v>196.19184000000001</c:v>
                </c:pt>
                <c:pt idx="137">
                  <c:v>179.78783999999999</c:v>
                </c:pt>
                <c:pt idx="138">
                  <c:v>186.02136000000002</c:v>
                </c:pt>
                <c:pt idx="139">
                  <c:v>160.75920000000002</c:v>
                </c:pt>
                <c:pt idx="140">
                  <c:v>178.80360000000002</c:v>
                </c:pt>
                <c:pt idx="141">
                  <c:v>170.6</c:v>
                </c:pt>
                <c:pt idx="142">
                  <c:v>190.61448000000001</c:v>
                </c:pt>
                <c:pt idx="143">
                  <c:v>190.61448000000001</c:v>
                </c:pt>
                <c:pt idx="144">
                  <c:v>186.02136000000002</c:v>
                </c:pt>
                <c:pt idx="145">
                  <c:v>190.61448000000001</c:v>
                </c:pt>
                <c:pt idx="146">
                  <c:v>179.13168000000002</c:v>
                </c:pt>
                <c:pt idx="147">
                  <c:v>190.61448000000001</c:v>
                </c:pt>
                <c:pt idx="148">
                  <c:v>190.61448000000001</c:v>
                </c:pt>
                <c:pt idx="149">
                  <c:v>172.24200000000002</c:v>
                </c:pt>
                <c:pt idx="150">
                  <c:v>140.4</c:v>
                </c:pt>
                <c:pt idx="151">
                  <c:v>178.80360000000002</c:v>
                </c:pt>
                <c:pt idx="152">
                  <c:v>177.16320000000002</c:v>
                </c:pt>
                <c:pt idx="153">
                  <c:v>190.28640000000001</c:v>
                </c:pt>
                <c:pt idx="154">
                  <c:v>202.42536000000001</c:v>
                </c:pt>
                <c:pt idx="155">
                  <c:v>209.97120000000001</c:v>
                </c:pt>
                <c:pt idx="156">
                  <c:v>190.61448000000001</c:v>
                </c:pt>
                <c:pt idx="157">
                  <c:v>180.44400000000002</c:v>
                </c:pt>
                <c:pt idx="158">
                  <c:v>158.46263999999999</c:v>
                </c:pt>
                <c:pt idx="159">
                  <c:v>159.11880000000002</c:v>
                </c:pt>
                <c:pt idx="160">
                  <c:v>159.11880000000002</c:v>
                </c:pt>
                <c:pt idx="161">
                  <c:v>185.36520000000002</c:v>
                </c:pt>
                <c:pt idx="162">
                  <c:v>179.78783999999999</c:v>
                </c:pt>
                <c:pt idx="163">
                  <c:v>209.97120000000001</c:v>
                </c:pt>
              </c:numCache>
            </c:numRef>
          </c:xVal>
          <c:yVal>
            <c:numRef>
              <c:f>'Task 1 Converted AMI PDF Stats'!$S$113:$S$276</c:f>
              <c:numCache>
                <c:formatCode>0.00</c:formatCode>
                <c:ptCount val="164"/>
                <c:pt idx="0">
                  <c:v>16.137931034482758</c:v>
                </c:pt>
                <c:pt idx="1">
                  <c:v>14.727272727272727</c:v>
                </c:pt>
                <c:pt idx="2">
                  <c:v>16.984126984126984</c:v>
                </c:pt>
                <c:pt idx="3">
                  <c:v>20.833333333333336</c:v>
                </c:pt>
                <c:pt idx="4">
                  <c:v>20.000000000000004</c:v>
                </c:pt>
                <c:pt idx="5">
                  <c:v>16.666666666666668</c:v>
                </c:pt>
                <c:pt idx="6">
                  <c:v>13.7</c:v>
                </c:pt>
                <c:pt idx="7">
                  <c:v>11.77272727272727</c:v>
                </c:pt>
                <c:pt idx="8">
                  <c:v>22.500000000000004</c:v>
                </c:pt>
                <c:pt idx="9">
                  <c:v>19.285714285714288</c:v>
                </c:pt>
                <c:pt idx="10">
                  <c:v>22.727272727272727</c:v>
                </c:pt>
                <c:pt idx="11">
                  <c:v>17.266666666666662</c:v>
                </c:pt>
                <c:pt idx="12">
                  <c:v>16.666666666666668</c:v>
                </c:pt>
                <c:pt idx="13">
                  <c:v>14.055555555555555</c:v>
                </c:pt>
                <c:pt idx="14">
                  <c:v>14.055555555555555</c:v>
                </c:pt>
                <c:pt idx="15">
                  <c:v>14.055555555555555</c:v>
                </c:pt>
                <c:pt idx="16">
                  <c:v>21</c:v>
                </c:pt>
                <c:pt idx="17">
                  <c:v>20.642857142857142</c:v>
                </c:pt>
                <c:pt idx="18">
                  <c:v>15.625</c:v>
                </c:pt>
                <c:pt idx="19">
                  <c:v>13.636363636363635</c:v>
                </c:pt>
                <c:pt idx="20">
                  <c:v>15.41176470588235</c:v>
                </c:pt>
                <c:pt idx="21">
                  <c:v>17.058823529411764</c:v>
                </c:pt>
                <c:pt idx="22">
                  <c:v>18.75</c:v>
                </c:pt>
                <c:pt idx="23">
                  <c:v>16.842105263157894</c:v>
                </c:pt>
                <c:pt idx="24">
                  <c:v>16.5625</c:v>
                </c:pt>
                <c:pt idx="25">
                  <c:v>17.222222222222221</c:v>
                </c:pt>
                <c:pt idx="26">
                  <c:v>17.058823529411764</c:v>
                </c:pt>
                <c:pt idx="27">
                  <c:v>12.454545454545451</c:v>
                </c:pt>
                <c:pt idx="28">
                  <c:v>15.238095238095239</c:v>
                </c:pt>
                <c:pt idx="29">
                  <c:v>21</c:v>
                </c:pt>
                <c:pt idx="30">
                  <c:v>18.611111111111111</c:v>
                </c:pt>
                <c:pt idx="31">
                  <c:v>19.428571428571431</c:v>
                </c:pt>
                <c:pt idx="32">
                  <c:v>15.38095238095238</c:v>
                </c:pt>
                <c:pt idx="33">
                  <c:v>14.722222222222223</c:v>
                </c:pt>
                <c:pt idx="34">
                  <c:v>20.714285714285715</c:v>
                </c:pt>
                <c:pt idx="35">
                  <c:v>15.263157894736842</c:v>
                </c:pt>
                <c:pt idx="36">
                  <c:v>18.470588235294116</c:v>
                </c:pt>
                <c:pt idx="37">
                  <c:v>15.315789473684211</c:v>
                </c:pt>
                <c:pt idx="38">
                  <c:v>17.444444444444443</c:v>
                </c:pt>
                <c:pt idx="39">
                  <c:v>14.449999999999998</c:v>
                </c:pt>
                <c:pt idx="40">
                  <c:v>14.449999999999998</c:v>
                </c:pt>
                <c:pt idx="41">
                  <c:v>17.833333333333332</c:v>
                </c:pt>
                <c:pt idx="42">
                  <c:v>16.75</c:v>
                </c:pt>
                <c:pt idx="43">
                  <c:v>20.333333333333332</c:v>
                </c:pt>
                <c:pt idx="44">
                  <c:v>14.285714285714286</c:v>
                </c:pt>
                <c:pt idx="45">
                  <c:v>18.93333333333333</c:v>
                </c:pt>
                <c:pt idx="46">
                  <c:v>27.749999999999996</c:v>
                </c:pt>
                <c:pt idx="47">
                  <c:v>14.5</c:v>
                </c:pt>
                <c:pt idx="48">
                  <c:v>20.333333333333332</c:v>
                </c:pt>
                <c:pt idx="49">
                  <c:v>16.75</c:v>
                </c:pt>
                <c:pt idx="50">
                  <c:v>20.666666666666664</c:v>
                </c:pt>
                <c:pt idx="51">
                  <c:v>15.714285714285714</c:v>
                </c:pt>
                <c:pt idx="52">
                  <c:v>26.923076923076923</c:v>
                </c:pt>
                <c:pt idx="53">
                  <c:v>20</c:v>
                </c:pt>
                <c:pt idx="54">
                  <c:v>15.523809523809524</c:v>
                </c:pt>
                <c:pt idx="55">
                  <c:v>15</c:v>
                </c:pt>
                <c:pt idx="56">
                  <c:v>26.923076923076923</c:v>
                </c:pt>
                <c:pt idx="57">
                  <c:v>15.523809523809524</c:v>
                </c:pt>
                <c:pt idx="58">
                  <c:v>28.875</c:v>
                </c:pt>
                <c:pt idx="59">
                  <c:v>14.272727272727272</c:v>
                </c:pt>
                <c:pt idx="60">
                  <c:v>20.222222222222221</c:v>
                </c:pt>
                <c:pt idx="61">
                  <c:v>19.444444444444443</c:v>
                </c:pt>
                <c:pt idx="62">
                  <c:v>16.55</c:v>
                </c:pt>
                <c:pt idx="63">
                  <c:v>16.428571428571427</c:v>
                </c:pt>
                <c:pt idx="64">
                  <c:v>20.599999999999998</c:v>
                </c:pt>
                <c:pt idx="65">
                  <c:v>20.599999999999998</c:v>
                </c:pt>
                <c:pt idx="66">
                  <c:v>15.521739130434785</c:v>
                </c:pt>
                <c:pt idx="67">
                  <c:v>24.333333333333329</c:v>
                </c:pt>
                <c:pt idx="68">
                  <c:v>20.277777777777775</c:v>
                </c:pt>
                <c:pt idx="69">
                  <c:v>16.857142857142858</c:v>
                </c:pt>
                <c:pt idx="70">
                  <c:v>17.777777777777779</c:v>
                </c:pt>
                <c:pt idx="71">
                  <c:v>19.05263157894737</c:v>
                </c:pt>
                <c:pt idx="72">
                  <c:v>14.909090909090905</c:v>
                </c:pt>
                <c:pt idx="73">
                  <c:v>25.249999999999996</c:v>
                </c:pt>
                <c:pt idx="74">
                  <c:v>15.636363636363635</c:v>
                </c:pt>
                <c:pt idx="75">
                  <c:v>15.75</c:v>
                </c:pt>
                <c:pt idx="76">
                  <c:v>9.1428571428571441</c:v>
                </c:pt>
                <c:pt idx="77">
                  <c:v>22.058823529411764</c:v>
                </c:pt>
                <c:pt idx="78">
                  <c:v>15</c:v>
                </c:pt>
                <c:pt idx="79">
                  <c:v>15</c:v>
                </c:pt>
                <c:pt idx="80">
                  <c:v>15</c:v>
                </c:pt>
                <c:pt idx="81">
                  <c:v>15.227272727272725</c:v>
                </c:pt>
                <c:pt idx="82">
                  <c:v>20.375</c:v>
                </c:pt>
                <c:pt idx="83">
                  <c:v>23.333333333333332</c:v>
                </c:pt>
                <c:pt idx="84">
                  <c:v>23.647058823529413</c:v>
                </c:pt>
                <c:pt idx="85">
                  <c:v>16.400000000000002</c:v>
                </c:pt>
                <c:pt idx="86">
                  <c:v>23.647058823529413</c:v>
                </c:pt>
                <c:pt idx="87">
                  <c:v>22.941176470588232</c:v>
                </c:pt>
                <c:pt idx="88">
                  <c:v>15.714285714285714</c:v>
                </c:pt>
                <c:pt idx="89">
                  <c:v>11.533333333333331</c:v>
                </c:pt>
                <c:pt idx="90">
                  <c:v>19.240000000000002</c:v>
                </c:pt>
                <c:pt idx="91">
                  <c:v>16.238095238095237</c:v>
                </c:pt>
                <c:pt idx="92">
                  <c:v>18.75</c:v>
                </c:pt>
                <c:pt idx="93">
                  <c:v>17.416666666666668</c:v>
                </c:pt>
                <c:pt idx="94">
                  <c:v>23.944444444444446</c:v>
                </c:pt>
                <c:pt idx="95">
                  <c:v>18.5</c:v>
                </c:pt>
                <c:pt idx="96">
                  <c:v>25.196428571428573</c:v>
                </c:pt>
                <c:pt idx="97">
                  <c:v>23.64365971107544</c:v>
                </c:pt>
                <c:pt idx="98">
                  <c:v>22.882352941176467</c:v>
                </c:pt>
                <c:pt idx="99">
                  <c:v>22.058823529411764</c:v>
                </c:pt>
                <c:pt idx="100">
                  <c:v>20.833333333333332</c:v>
                </c:pt>
                <c:pt idx="101">
                  <c:v>20.315789473684212</c:v>
                </c:pt>
                <c:pt idx="102">
                  <c:v>25.374999999999996</c:v>
                </c:pt>
                <c:pt idx="103">
                  <c:v>19.263157894736842</c:v>
                </c:pt>
                <c:pt idx="104">
                  <c:v>19.894736842105264</c:v>
                </c:pt>
                <c:pt idx="105">
                  <c:v>15.76</c:v>
                </c:pt>
                <c:pt idx="106">
                  <c:v>25.419999999999995</c:v>
                </c:pt>
                <c:pt idx="107">
                  <c:v>19.739130434782609</c:v>
                </c:pt>
                <c:pt idx="108">
                  <c:v>27.76923076923077</c:v>
                </c:pt>
                <c:pt idx="109">
                  <c:v>18.166666666666671</c:v>
                </c:pt>
                <c:pt idx="110">
                  <c:v>23.222222222222221</c:v>
                </c:pt>
                <c:pt idx="111">
                  <c:v>23.333333333333332</c:v>
                </c:pt>
                <c:pt idx="112">
                  <c:v>20.869565217391308</c:v>
                </c:pt>
                <c:pt idx="113">
                  <c:v>20.869565217391308</c:v>
                </c:pt>
                <c:pt idx="114">
                  <c:v>19.64</c:v>
                </c:pt>
                <c:pt idx="115">
                  <c:v>23.909090909090914</c:v>
                </c:pt>
                <c:pt idx="116">
                  <c:v>18.414634146341466</c:v>
                </c:pt>
                <c:pt idx="117">
                  <c:v>20.217391304347824</c:v>
                </c:pt>
                <c:pt idx="118">
                  <c:v>20.217391304347824</c:v>
                </c:pt>
                <c:pt idx="119">
                  <c:v>19.296296296296294</c:v>
                </c:pt>
                <c:pt idx="120">
                  <c:v>27.833333333333336</c:v>
                </c:pt>
                <c:pt idx="121">
                  <c:v>29.333333333333329</c:v>
                </c:pt>
                <c:pt idx="122">
                  <c:v>19.999999999999996</c:v>
                </c:pt>
                <c:pt idx="123">
                  <c:v>24.338709677419356</c:v>
                </c:pt>
                <c:pt idx="124">
                  <c:v>17.759999999999998</c:v>
                </c:pt>
                <c:pt idx="125">
                  <c:v>18.952380952380953</c:v>
                </c:pt>
                <c:pt idx="126">
                  <c:v>21.625</c:v>
                </c:pt>
                <c:pt idx="127">
                  <c:v>19.285714285714288</c:v>
                </c:pt>
                <c:pt idx="128">
                  <c:v>23.30769230769231</c:v>
                </c:pt>
                <c:pt idx="129">
                  <c:v>26.727272727272727</c:v>
                </c:pt>
                <c:pt idx="130">
                  <c:v>29.400000000000002</c:v>
                </c:pt>
                <c:pt idx="131">
                  <c:v>27.380952380952383</c:v>
                </c:pt>
                <c:pt idx="132">
                  <c:v>22.52</c:v>
                </c:pt>
                <c:pt idx="133">
                  <c:v>22.52</c:v>
                </c:pt>
                <c:pt idx="134">
                  <c:v>17.467391304347828</c:v>
                </c:pt>
                <c:pt idx="135">
                  <c:v>17.857142857142861</c:v>
                </c:pt>
                <c:pt idx="136">
                  <c:v>29.900000000000002</c:v>
                </c:pt>
                <c:pt idx="137">
                  <c:v>24.909090909090903</c:v>
                </c:pt>
                <c:pt idx="138">
                  <c:v>23.625000000000004</c:v>
                </c:pt>
                <c:pt idx="139">
                  <c:v>13.611111111111112</c:v>
                </c:pt>
                <c:pt idx="140">
                  <c:v>21.8</c:v>
                </c:pt>
                <c:pt idx="141">
                  <c:v>18.955555555555556</c:v>
                </c:pt>
                <c:pt idx="142">
                  <c:v>20.750000000000004</c:v>
                </c:pt>
                <c:pt idx="143">
                  <c:v>21.518518518518515</c:v>
                </c:pt>
                <c:pt idx="144">
                  <c:v>23.625000000000004</c:v>
                </c:pt>
                <c:pt idx="145">
                  <c:v>18.741935483870968</c:v>
                </c:pt>
                <c:pt idx="146">
                  <c:v>21.840000000000003</c:v>
                </c:pt>
                <c:pt idx="147">
                  <c:v>20.750000000000004</c:v>
                </c:pt>
                <c:pt idx="148">
                  <c:v>20.750000000000004</c:v>
                </c:pt>
                <c:pt idx="149">
                  <c:v>20.192307692307693</c:v>
                </c:pt>
                <c:pt idx="150">
                  <c:v>17.121951219512198</c:v>
                </c:pt>
                <c:pt idx="151">
                  <c:v>20.185185185185183</c:v>
                </c:pt>
                <c:pt idx="152">
                  <c:v>21.6</c:v>
                </c:pt>
                <c:pt idx="153">
                  <c:v>20.714285714285715</c:v>
                </c:pt>
                <c:pt idx="154">
                  <c:v>24.680000000000003</c:v>
                </c:pt>
                <c:pt idx="155">
                  <c:v>29.090909090909086</c:v>
                </c:pt>
                <c:pt idx="156">
                  <c:v>29.05</c:v>
                </c:pt>
                <c:pt idx="157">
                  <c:v>20.37037037037037</c:v>
                </c:pt>
                <c:pt idx="158">
                  <c:v>11.232558139534882</c:v>
                </c:pt>
                <c:pt idx="159">
                  <c:v>12.763157894736842</c:v>
                </c:pt>
                <c:pt idx="160">
                  <c:v>12.435897435897436</c:v>
                </c:pt>
                <c:pt idx="161">
                  <c:v>20.925925925925924</c:v>
                </c:pt>
                <c:pt idx="162">
                  <c:v>21.076923076923077</c:v>
                </c:pt>
                <c:pt idx="163">
                  <c:v>21.333333333333332</c:v>
                </c:pt>
              </c:numCache>
            </c:numRef>
          </c:yVal>
          <c:smooth val="1"/>
          <c:extLst>
            <c:ext xmlns:c16="http://schemas.microsoft.com/office/drawing/2014/chart" uri="{C3380CC4-5D6E-409C-BE32-E72D297353CC}">
              <c16:uniqueId val="{00000004-C598-46A4-A402-8140B0AA761B}"/>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Stats'!$J$283</c:f>
              <c:numCache>
                <c:formatCode>0.0</c:formatCode>
                <c:ptCount val="1"/>
                <c:pt idx="0">
                  <c:v>134.1</c:v>
                </c:pt>
              </c:numCache>
            </c:numRef>
          </c:xVal>
          <c:yVal>
            <c:numRef>
              <c:f>'Task 1 Converted AMI PDF Stats'!$S$283</c:f>
              <c:numCache>
                <c:formatCode>0.00</c:formatCode>
                <c:ptCount val="1"/>
                <c:pt idx="0">
                  <c:v>18.807854137447404</c:v>
                </c:pt>
              </c:numCache>
            </c:numRef>
          </c:yVal>
          <c:smooth val="1"/>
          <c:extLst>
            <c:ext xmlns:c16="http://schemas.microsoft.com/office/drawing/2014/chart" uri="{C3380CC4-5D6E-409C-BE32-E72D297353CC}">
              <c16:uniqueId val="{00000005-C598-46A4-A402-8140B0AA761B}"/>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Stats'!$J$284:$J$294</c:f>
              <c:numCache>
                <c:formatCode>0.0</c:formatCode>
                <c:ptCount val="11"/>
                <c:pt idx="0">
                  <c:v>153.54143999999999</c:v>
                </c:pt>
                <c:pt idx="1">
                  <c:v>106.29792</c:v>
                </c:pt>
                <c:pt idx="2">
                  <c:v>140.41824</c:v>
                </c:pt>
                <c:pt idx="3">
                  <c:v>170.92968000000002</c:v>
                </c:pt>
                <c:pt idx="4">
                  <c:v>137.7936</c:v>
                </c:pt>
                <c:pt idx="5">
                  <c:v>137.7936</c:v>
                </c:pt>
                <c:pt idx="6">
                  <c:v>137.13744</c:v>
                </c:pt>
                <c:pt idx="7">
                  <c:v>144.3552</c:v>
                </c:pt>
                <c:pt idx="8">
                  <c:v>170.27351999999999</c:v>
                </c:pt>
                <c:pt idx="9">
                  <c:v>109.9068</c:v>
                </c:pt>
                <c:pt idx="10">
                  <c:v>123.00000000000001</c:v>
                </c:pt>
              </c:numCache>
            </c:numRef>
          </c:xVal>
          <c:yVal>
            <c:numRef>
              <c:f>'Task 1 Converted AMI PDF Stats'!$S$284:$S$294</c:f>
              <c:numCache>
                <c:formatCode>0.00</c:formatCode>
                <c:ptCount val="11"/>
                <c:pt idx="0">
                  <c:v>16.137931034482758</c:v>
                </c:pt>
                <c:pt idx="1">
                  <c:v>14.727272727272727</c:v>
                </c:pt>
                <c:pt idx="2">
                  <c:v>16.984126984126984</c:v>
                </c:pt>
                <c:pt idx="3">
                  <c:v>19.296296296296294</c:v>
                </c:pt>
                <c:pt idx="4">
                  <c:v>21</c:v>
                </c:pt>
                <c:pt idx="5">
                  <c:v>21</c:v>
                </c:pt>
                <c:pt idx="6">
                  <c:v>23.222222222222221</c:v>
                </c:pt>
                <c:pt idx="7">
                  <c:v>29.333333333333329</c:v>
                </c:pt>
                <c:pt idx="8">
                  <c:v>21.625</c:v>
                </c:pt>
                <c:pt idx="9">
                  <c:v>15.227272727272725</c:v>
                </c:pt>
                <c:pt idx="10">
                  <c:v>16.400000000000002</c:v>
                </c:pt>
              </c:numCache>
            </c:numRef>
          </c:yVal>
          <c:smooth val="1"/>
          <c:extLst>
            <c:ext xmlns:c16="http://schemas.microsoft.com/office/drawing/2014/chart" uri="{C3380CC4-5D6E-409C-BE32-E72D297353CC}">
              <c16:uniqueId val="{00000006-C598-46A4-A402-8140B0AA761B}"/>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Stats'!$J$295:$J$298</c:f>
              <c:numCache>
                <c:formatCode>0.0</c:formatCode>
                <c:ptCount val="4"/>
                <c:pt idx="0">
                  <c:v>170.60160000000002</c:v>
                </c:pt>
                <c:pt idx="1">
                  <c:v>157.47840000000002</c:v>
                </c:pt>
                <c:pt idx="2">
                  <c:v>166.66463999999999</c:v>
                </c:pt>
                <c:pt idx="3">
                  <c:v>147.636</c:v>
                </c:pt>
              </c:numCache>
            </c:numRef>
          </c:xVal>
          <c:yVal>
            <c:numRef>
              <c:f>'Task 1 Converted AMI PDF Stats'!$S$295:$S$298</c:f>
              <c:numCache>
                <c:formatCode>0.00</c:formatCode>
                <c:ptCount val="4"/>
                <c:pt idx="0">
                  <c:v>22.608695652173914</c:v>
                </c:pt>
                <c:pt idx="1">
                  <c:v>32</c:v>
                </c:pt>
                <c:pt idx="2">
                  <c:v>25.4</c:v>
                </c:pt>
                <c:pt idx="3">
                  <c:v>14.999999999999998</c:v>
                </c:pt>
              </c:numCache>
            </c:numRef>
          </c:yVal>
          <c:smooth val="1"/>
          <c:extLst>
            <c:ext xmlns:c16="http://schemas.microsoft.com/office/drawing/2014/chart" uri="{C3380CC4-5D6E-409C-BE32-E72D297353CC}">
              <c16:uniqueId val="{00000007-C598-46A4-A402-8140B0AA761B}"/>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Stats'!$J$299:$J$300</c:f>
              <c:numCache>
                <c:formatCode>0.0</c:formatCode>
                <c:ptCount val="2"/>
                <c:pt idx="0">
                  <c:v>147.30792</c:v>
                </c:pt>
              </c:numCache>
            </c:numRef>
          </c:xVal>
          <c:yVal>
            <c:numRef>
              <c:f>'Task 1 Converted AMI PDF Stats'!$S$299:$S$300</c:f>
              <c:numCache>
                <c:formatCode>0.00</c:formatCode>
                <c:ptCount val="2"/>
                <c:pt idx="0">
                  <c:v>20.409090909090907</c:v>
                </c:pt>
              </c:numCache>
            </c:numRef>
          </c:yVal>
          <c:smooth val="1"/>
          <c:extLst>
            <c:ext xmlns:c16="http://schemas.microsoft.com/office/drawing/2014/chart" uri="{C3380CC4-5D6E-409C-BE32-E72D297353CC}">
              <c16:uniqueId val="{00000008-C598-46A4-A402-8140B0AA761B}"/>
            </c:ext>
          </c:extLst>
        </c:ser>
        <c:dLbls>
          <c:showLegendKey val="0"/>
          <c:showVal val="0"/>
          <c:showCatName val="0"/>
          <c:showSerName val="0"/>
          <c:showPercent val="0"/>
          <c:showBubbleSize val="0"/>
        </c:dLbls>
        <c:axId val="570092224"/>
        <c:axId val="1"/>
      </c:scatterChart>
      <c:valAx>
        <c:axId val="570092224"/>
        <c:scaling>
          <c:orientation val="minMax"/>
          <c:max val="220"/>
          <c:min val="6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 (ft)</a:t>
                </a:r>
              </a:p>
            </c:rich>
          </c:tx>
          <c:layout>
            <c:manualLayout>
              <c:xMode val="edge"/>
              <c:yMode val="edge"/>
              <c:x val="0.41065482796892344"/>
              <c:y val="0.9412724306688418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majorUnit val="20"/>
      </c:valAx>
      <c:valAx>
        <c:axId val="1"/>
        <c:scaling>
          <c:orientation val="minMax"/>
          <c:min val="5"/>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L/T</a:t>
                </a:r>
              </a:p>
            </c:rich>
          </c:tx>
          <c:layout>
            <c:manualLayout>
              <c:xMode val="edge"/>
              <c:yMode val="edge"/>
              <c:x val="2.3307436182019976E-2"/>
              <c:y val="0.46166394779771613"/>
            </c:manualLayout>
          </c:layout>
          <c:overlay val="0"/>
          <c:spPr>
            <a:noFill/>
            <a:ln w="25400">
              <a:noFill/>
            </a:ln>
          </c:sp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9222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7358490566037741"/>
          <c:y val="0.48613376835236544"/>
          <c:w val="0.22530521642619306"/>
          <c:h val="0.41109298531810767"/>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Displacement-Length Ratio vs Max Speed</a:t>
            </a:r>
          </a:p>
        </c:rich>
      </c:tx>
      <c:layout>
        <c:manualLayout>
          <c:xMode val="edge"/>
          <c:yMode val="edge"/>
          <c:x val="0.32075471698113206"/>
          <c:y val="1.9575856443719411E-2"/>
        </c:manualLayout>
      </c:layout>
      <c:overlay val="0"/>
      <c:spPr>
        <a:noFill/>
        <a:ln w="25400">
          <a:noFill/>
        </a:ln>
      </c:spPr>
    </c:title>
    <c:autoTitleDeleted val="0"/>
    <c:plotArea>
      <c:layout>
        <c:manualLayout>
          <c:layoutTarget val="inner"/>
          <c:xMode val="edge"/>
          <c:yMode val="edge"/>
          <c:x val="7.6581576026637066E-2"/>
          <c:y val="7.3409461663947795E-2"/>
          <c:w val="0.6859045504994451"/>
          <c:h val="0.81729200652528544"/>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3746353698494949"/>
                  <c:y val="-0.27584932314465693"/>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Stats'!$Y$5:$Y$279</c:f>
              <c:numCache>
                <c:formatCode>0.0</c:formatCode>
                <c:ptCount val="275"/>
                <c:pt idx="0">
                  <c:v>38</c:v>
                </c:pt>
                <c:pt idx="1">
                  <c:v>32</c:v>
                </c:pt>
                <c:pt idx="2">
                  <c:v>36</c:v>
                </c:pt>
                <c:pt idx="3">
                  <c:v>30</c:v>
                </c:pt>
                <c:pt idx="4">
                  <c:v>32</c:v>
                </c:pt>
                <c:pt idx="5">
                  <c:v>36</c:v>
                </c:pt>
                <c:pt idx="6">
                  <c:v>31</c:v>
                </c:pt>
                <c:pt idx="7">
                  <c:v>35</c:v>
                </c:pt>
                <c:pt idx="8">
                  <c:v>50</c:v>
                </c:pt>
                <c:pt idx="9">
                  <c:v>40</c:v>
                </c:pt>
                <c:pt idx="10">
                  <c:v>37.5</c:v>
                </c:pt>
                <c:pt idx="11">
                  <c:v>37.5</c:v>
                </c:pt>
                <c:pt idx="12">
                  <c:v>38</c:v>
                </c:pt>
                <c:pt idx="13">
                  <c:v>30</c:v>
                </c:pt>
                <c:pt idx="14">
                  <c:v>32</c:v>
                </c:pt>
                <c:pt idx="15">
                  <c:v>30</c:v>
                </c:pt>
                <c:pt idx="16">
                  <c:v>30</c:v>
                </c:pt>
                <c:pt idx="17">
                  <c:v>30</c:v>
                </c:pt>
                <c:pt idx="18">
                  <c:v>28</c:v>
                </c:pt>
                <c:pt idx="19">
                  <c:v>25</c:v>
                </c:pt>
                <c:pt idx="20">
                  <c:v>37</c:v>
                </c:pt>
                <c:pt idx="21">
                  <c:v>37</c:v>
                </c:pt>
                <c:pt idx="22">
                  <c:v>29</c:v>
                </c:pt>
                <c:pt idx="23">
                  <c:v>32</c:v>
                </c:pt>
                <c:pt idx="24">
                  <c:v>32</c:v>
                </c:pt>
                <c:pt idx="25">
                  <c:v>31</c:v>
                </c:pt>
                <c:pt idx="26">
                  <c:v>45</c:v>
                </c:pt>
                <c:pt idx="27">
                  <c:v>37.5</c:v>
                </c:pt>
                <c:pt idx="28">
                  <c:v>23</c:v>
                </c:pt>
                <c:pt idx="29">
                  <c:v>42</c:v>
                </c:pt>
                <c:pt idx="30">
                  <c:v>42</c:v>
                </c:pt>
                <c:pt idx="31">
                  <c:v>42</c:v>
                </c:pt>
                <c:pt idx="32">
                  <c:v>35</c:v>
                </c:pt>
                <c:pt idx="33">
                  <c:v>35</c:v>
                </c:pt>
                <c:pt idx="34">
                  <c:v>35</c:v>
                </c:pt>
                <c:pt idx="35">
                  <c:v>35</c:v>
                </c:pt>
                <c:pt idx="36">
                  <c:v>32</c:v>
                </c:pt>
                <c:pt idx="37">
                  <c:v>35</c:v>
                </c:pt>
                <c:pt idx="38">
                  <c:v>35</c:v>
                </c:pt>
                <c:pt idx="39">
                  <c:v>28</c:v>
                </c:pt>
                <c:pt idx="40">
                  <c:v>36</c:v>
                </c:pt>
                <c:pt idx="41">
                  <c:v>16</c:v>
                </c:pt>
                <c:pt idx="42">
                  <c:v>34.5</c:v>
                </c:pt>
                <c:pt idx="43">
                  <c:v>32</c:v>
                </c:pt>
                <c:pt idx="44">
                  <c:v>40</c:v>
                </c:pt>
                <c:pt idx="45">
                  <c:v>37</c:v>
                </c:pt>
                <c:pt idx="46">
                  <c:v>35</c:v>
                </c:pt>
                <c:pt idx="47">
                  <c:v>36.5</c:v>
                </c:pt>
                <c:pt idx="48">
                  <c:v>40</c:v>
                </c:pt>
                <c:pt idx="49">
                  <c:v>41</c:v>
                </c:pt>
                <c:pt idx="50">
                  <c:v>40</c:v>
                </c:pt>
                <c:pt idx="51">
                  <c:v>40</c:v>
                </c:pt>
                <c:pt idx="52">
                  <c:v>38</c:v>
                </c:pt>
                <c:pt idx="53">
                  <c:v>40</c:v>
                </c:pt>
                <c:pt idx="54">
                  <c:v>40</c:v>
                </c:pt>
                <c:pt idx="55">
                  <c:v>36.5</c:v>
                </c:pt>
                <c:pt idx="56">
                  <c:v>31</c:v>
                </c:pt>
                <c:pt idx="57">
                  <c:v>31</c:v>
                </c:pt>
                <c:pt idx="58">
                  <c:v>36</c:v>
                </c:pt>
                <c:pt idx="59">
                  <c:v>36</c:v>
                </c:pt>
                <c:pt idx="60">
                  <c:v>38</c:v>
                </c:pt>
                <c:pt idx="61">
                  <c:v>40</c:v>
                </c:pt>
                <c:pt idx="62">
                  <c:v>40</c:v>
                </c:pt>
                <c:pt idx="63">
                  <c:v>27</c:v>
                </c:pt>
                <c:pt idx="64">
                  <c:v>41</c:v>
                </c:pt>
                <c:pt idx="65">
                  <c:v>38</c:v>
                </c:pt>
                <c:pt idx="66">
                  <c:v>37</c:v>
                </c:pt>
                <c:pt idx="67">
                  <c:v>37.5</c:v>
                </c:pt>
                <c:pt idx="68">
                  <c:v>39</c:v>
                </c:pt>
                <c:pt idx="69">
                  <c:v>32</c:v>
                </c:pt>
                <c:pt idx="70">
                  <c:v>31</c:v>
                </c:pt>
                <c:pt idx="71">
                  <c:v>30</c:v>
                </c:pt>
                <c:pt idx="72">
                  <c:v>40</c:v>
                </c:pt>
                <c:pt idx="73">
                  <c:v>30.5</c:v>
                </c:pt>
                <c:pt idx="74">
                  <c:v>26</c:v>
                </c:pt>
                <c:pt idx="75">
                  <c:v>38</c:v>
                </c:pt>
                <c:pt idx="76">
                  <c:v>38.5</c:v>
                </c:pt>
                <c:pt idx="77">
                  <c:v>38.5</c:v>
                </c:pt>
                <c:pt idx="78">
                  <c:v>36</c:v>
                </c:pt>
                <c:pt idx="79">
                  <c:v>30</c:v>
                </c:pt>
                <c:pt idx="80">
                  <c:v>38</c:v>
                </c:pt>
                <c:pt idx="81">
                  <c:v>40</c:v>
                </c:pt>
                <c:pt idx="82">
                  <c:v>32</c:v>
                </c:pt>
                <c:pt idx="83">
                  <c:v>38</c:v>
                </c:pt>
                <c:pt idx="84">
                  <c:v>38</c:v>
                </c:pt>
                <c:pt idx="85">
                  <c:v>32</c:v>
                </c:pt>
                <c:pt idx="86">
                  <c:v>30</c:v>
                </c:pt>
                <c:pt idx="87">
                  <c:v>28</c:v>
                </c:pt>
                <c:pt idx="88">
                  <c:v>28</c:v>
                </c:pt>
                <c:pt idx="89">
                  <c:v>28</c:v>
                </c:pt>
                <c:pt idx="90">
                  <c:v>31</c:v>
                </c:pt>
                <c:pt idx="91">
                  <c:v>31</c:v>
                </c:pt>
                <c:pt idx="92">
                  <c:v>38</c:v>
                </c:pt>
                <c:pt idx="93">
                  <c:v>34</c:v>
                </c:pt>
                <c:pt idx="94">
                  <c:v>36</c:v>
                </c:pt>
                <c:pt idx="95">
                  <c:v>32</c:v>
                </c:pt>
                <c:pt idx="96">
                  <c:v>35</c:v>
                </c:pt>
                <c:pt idx="97">
                  <c:v>40.5</c:v>
                </c:pt>
                <c:pt idx="98">
                  <c:v>37</c:v>
                </c:pt>
                <c:pt idx="99">
                  <c:v>30</c:v>
                </c:pt>
                <c:pt idx="100">
                  <c:v>32</c:v>
                </c:pt>
                <c:pt idx="101">
                  <c:v>30</c:v>
                </c:pt>
                <c:pt idx="102">
                  <c:v>40</c:v>
                </c:pt>
                <c:pt idx="103">
                  <c:v>30.5</c:v>
                </c:pt>
                <c:pt idx="104">
                  <c:v>40</c:v>
                </c:pt>
                <c:pt idx="105">
                  <c:v>32</c:v>
                </c:pt>
                <c:pt idx="106">
                  <c:v>32</c:v>
                </c:pt>
                <c:pt idx="107">
                  <c:v>37</c:v>
                </c:pt>
                <c:pt idx="108">
                  <c:v>23.8</c:v>
                </c:pt>
                <c:pt idx="109">
                  <c:v>29</c:v>
                </c:pt>
                <c:pt idx="110">
                  <c:v>22.5</c:v>
                </c:pt>
                <c:pt idx="111">
                  <c:v>30</c:v>
                </c:pt>
                <c:pt idx="112">
                  <c:v>30</c:v>
                </c:pt>
                <c:pt idx="113">
                  <c:v>26</c:v>
                </c:pt>
                <c:pt idx="114">
                  <c:v>23</c:v>
                </c:pt>
                <c:pt idx="115">
                  <c:v>22</c:v>
                </c:pt>
                <c:pt idx="117">
                  <c:v>38</c:v>
                </c:pt>
                <c:pt idx="118">
                  <c:v>45</c:v>
                </c:pt>
                <c:pt idx="119">
                  <c:v>18.7</c:v>
                </c:pt>
                <c:pt idx="120">
                  <c:v>50</c:v>
                </c:pt>
                <c:pt idx="121">
                  <c:v>23</c:v>
                </c:pt>
                <c:pt idx="122">
                  <c:v>22</c:v>
                </c:pt>
                <c:pt idx="123">
                  <c:v>23</c:v>
                </c:pt>
                <c:pt idx="124">
                  <c:v>18</c:v>
                </c:pt>
                <c:pt idx="125">
                  <c:v>20</c:v>
                </c:pt>
                <c:pt idx="126">
                  <c:v>25</c:v>
                </c:pt>
                <c:pt idx="127">
                  <c:v>30</c:v>
                </c:pt>
                <c:pt idx="128">
                  <c:v>23</c:v>
                </c:pt>
                <c:pt idx="129">
                  <c:v>27</c:v>
                </c:pt>
                <c:pt idx="130">
                  <c:v>25</c:v>
                </c:pt>
                <c:pt idx="131">
                  <c:v>22</c:v>
                </c:pt>
                <c:pt idx="132">
                  <c:v>25</c:v>
                </c:pt>
                <c:pt idx="133">
                  <c:v>18</c:v>
                </c:pt>
                <c:pt idx="134">
                  <c:v>27</c:v>
                </c:pt>
                <c:pt idx="135">
                  <c:v>32</c:v>
                </c:pt>
                <c:pt idx="136">
                  <c:v>32</c:v>
                </c:pt>
                <c:pt idx="137">
                  <c:v>18</c:v>
                </c:pt>
                <c:pt idx="138">
                  <c:v>23</c:v>
                </c:pt>
                <c:pt idx="139">
                  <c:v>26</c:v>
                </c:pt>
                <c:pt idx="140">
                  <c:v>30</c:v>
                </c:pt>
                <c:pt idx="141">
                  <c:v>26</c:v>
                </c:pt>
                <c:pt idx="142">
                  <c:v>45</c:v>
                </c:pt>
                <c:pt idx="143">
                  <c:v>21</c:v>
                </c:pt>
                <c:pt idx="144">
                  <c:v>27</c:v>
                </c:pt>
                <c:pt idx="145">
                  <c:v>14</c:v>
                </c:pt>
                <c:pt idx="146">
                  <c:v>18</c:v>
                </c:pt>
                <c:pt idx="147">
                  <c:v>20</c:v>
                </c:pt>
                <c:pt idx="148">
                  <c:v>20</c:v>
                </c:pt>
                <c:pt idx="149">
                  <c:v>30</c:v>
                </c:pt>
                <c:pt idx="150">
                  <c:v>25</c:v>
                </c:pt>
                <c:pt idx="151">
                  <c:v>25</c:v>
                </c:pt>
                <c:pt idx="152">
                  <c:v>22</c:v>
                </c:pt>
                <c:pt idx="153">
                  <c:v>27</c:v>
                </c:pt>
                <c:pt idx="154">
                  <c:v>30</c:v>
                </c:pt>
                <c:pt idx="155">
                  <c:v>17</c:v>
                </c:pt>
                <c:pt idx="156">
                  <c:v>25</c:v>
                </c:pt>
                <c:pt idx="157">
                  <c:v>30</c:v>
                </c:pt>
                <c:pt idx="158">
                  <c:v>24</c:v>
                </c:pt>
                <c:pt idx="159">
                  <c:v>30</c:v>
                </c:pt>
                <c:pt idx="160">
                  <c:v>28</c:v>
                </c:pt>
                <c:pt idx="161">
                  <c:v>30</c:v>
                </c:pt>
                <c:pt idx="162">
                  <c:v>24</c:v>
                </c:pt>
                <c:pt idx="163">
                  <c:v>25</c:v>
                </c:pt>
                <c:pt idx="164">
                  <c:v>35</c:v>
                </c:pt>
                <c:pt idx="165">
                  <c:v>24</c:v>
                </c:pt>
                <c:pt idx="166">
                  <c:v>32</c:v>
                </c:pt>
                <c:pt idx="167">
                  <c:v>23</c:v>
                </c:pt>
                <c:pt idx="168">
                  <c:v>42</c:v>
                </c:pt>
                <c:pt idx="169">
                  <c:v>28</c:v>
                </c:pt>
                <c:pt idx="170">
                  <c:v>22</c:v>
                </c:pt>
                <c:pt idx="171">
                  <c:v>32</c:v>
                </c:pt>
                <c:pt idx="172">
                  <c:v>21</c:v>
                </c:pt>
                <c:pt idx="173">
                  <c:v>21</c:v>
                </c:pt>
                <c:pt idx="174">
                  <c:v>23</c:v>
                </c:pt>
                <c:pt idx="175">
                  <c:v>32</c:v>
                </c:pt>
                <c:pt idx="176">
                  <c:v>32</c:v>
                </c:pt>
                <c:pt idx="177">
                  <c:v>25</c:v>
                </c:pt>
                <c:pt idx="178">
                  <c:v>40</c:v>
                </c:pt>
                <c:pt idx="179">
                  <c:v>22</c:v>
                </c:pt>
                <c:pt idx="180">
                  <c:v>21</c:v>
                </c:pt>
                <c:pt idx="181">
                  <c:v>26.3</c:v>
                </c:pt>
                <c:pt idx="182">
                  <c:v>24</c:v>
                </c:pt>
                <c:pt idx="183">
                  <c:v>28</c:v>
                </c:pt>
                <c:pt idx="184">
                  <c:v>11</c:v>
                </c:pt>
                <c:pt idx="185">
                  <c:v>29</c:v>
                </c:pt>
                <c:pt idx="186">
                  <c:v>20</c:v>
                </c:pt>
                <c:pt idx="187">
                  <c:v>20</c:v>
                </c:pt>
                <c:pt idx="188">
                  <c:v>18</c:v>
                </c:pt>
                <c:pt idx="189">
                  <c:v>29</c:v>
                </c:pt>
                <c:pt idx="190">
                  <c:v>24</c:v>
                </c:pt>
                <c:pt idx="191">
                  <c:v>28</c:v>
                </c:pt>
                <c:pt idx="192">
                  <c:v>22</c:v>
                </c:pt>
                <c:pt idx="193">
                  <c:v>28</c:v>
                </c:pt>
                <c:pt idx="194">
                  <c:v>22</c:v>
                </c:pt>
                <c:pt idx="195">
                  <c:v>23</c:v>
                </c:pt>
                <c:pt idx="196">
                  <c:v>33</c:v>
                </c:pt>
                <c:pt idx="197">
                  <c:v>33</c:v>
                </c:pt>
                <c:pt idx="198">
                  <c:v>25</c:v>
                </c:pt>
                <c:pt idx="199">
                  <c:v>27</c:v>
                </c:pt>
                <c:pt idx="200">
                  <c:v>25</c:v>
                </c:pt>
                <c:pt idx="201">
                  <c:v>28</c:v>
                </c:pt>
                <c:pt idx="202">
                  <c:v>24</c:v>
                </c:pt>
                <c:pt idx="203">
                  <c:v>27</c:v>
                </c:pt>
                <c:pt idx="204">
                  <c:v>35</c:v>
                </c:pt>
                <c:pt idx="205">
                  <c:v>26</c:v>
                </c:pt>
                <c:pt idx="206">
                  <c:v>32</c:v>
                </c:pt>
                <c:pt idx="207">
                  <c:v>27</c:v>
                </c:pt>
                <c:pt idx="208">
                  <c:v>29</c:v>
                </c:pt>
                <c:pt idx="209">
                  <c:v>38</c:v>
                </c:pt>
                <c:pt idx="210">
                  <c:v>30</c:v>
                </c:pt>
                <c:pt idx="211">
                  <c:v>33</c:v>
                </c:pt>
                <c:pt idx="212">
                  <c:v>30</c:v>
                </c:pt>
                <c:pt idx="213">
                  <c:v>37</c:v>
                </c:pt>
                <c:pt idx="214">
                  <c:v>30</c:v>
                </c:pt>
                <c:pt idx="215">
                  <c:v>40</c:v>
                </c:pt>
                <c:pt idx="216">
                  <c:v>28</c:v>
                </c:pt>
                <c:pt idx="217">
                  <c:v>34.5</c:v>
                </c:pt>
                <c:pt idx="218">
                  <c:v>30</c:v>
                </c:pt>
                <c:pt idx="219">
                  <c:v>30</c:v>
                </c:pt>
                <c:pt idx="220">
                  <c:v>23</c:v>
                </c:pt>
                <c:pt idx="221">
                  <c:v>20</c:v>
                </c:pt>
                <c:pt idx="222">
                  <c:v>41</c:v>
                </c:pt>
                <c:pt idx="223">
                  <c:v>35</c:v>
                </c:pt>
                <c:pt idx="224">
                  <c:v>30</c:v>
                </c:pt>
                <c:pt idx="225">
                  <c:v>22</c:v>
                </c:pt>
                <c:pt idx="226">
                  <c:v>26</c:v>
                </c:pt>
                <c:pt idx="227">
                  <c:v>25</c:v>
                </c:pt>
                <c:pt idx="228">
                  <c:v>22</c:v>
                </c:pt>
                <c:pt idx="229">
                  <c:v>27.5</c:v>
                </c:pt>
                <c:pt idx="230">
                  <c:v>20</c:v>
                </c:pt>
                <c:pt idx="231">
                  <c:v>23</c:v>
                </c:pt>
                <c:pt idx="232">
                  <c:v>16</c:v>
                </c:pt>
                <c:pt idx="233">
                  <c:v>15</c:v>
                </c:pt>
                <c:pt idx="234">
                  <c:v>35</c:v>
                </c:pt>
                <c:pt idx="235">
                  <c:v>23</c:v>
                </c:pt>
                <c:pt idx="236">
                  <c:v>24</c:v>
                </c:pt>
                <c:pt idx="237">
                  <c:v>30.5</c:v>
                </c:pt>
                <c:pt idx="238">
                  <c:v>30.5</c:v>
                </c:pt>
                <c:pt idx="239">
                  <c:v>28</c:v>
                </c:pt>
                <c:pt idx="240">
                  <c:v>35</c:v>
                </c:pt>
                <c:pt idx="241">
                  <c:v>35</c:v>
                </c:pt>
                <c:pt idx="242">
                  <c:v>20.6</c:v>
                </c:pt>
                <c:pt idx="243">
                  <c:v>20</c:v>
                </c:pt>
                <c:pt idx="244">
                  <c:v>25</c:v>
                </c:pt>
                <c:pt idx="245">
                  <c:v>23</c:v>
                </c:pt>
                <c:pt idx="246">
                  <c:v>40</c:v>
                </c:pt>
                <c:pt idx="247">
                  <c:v>20</c:v>
                </c:pt>
                <c:pt idx="248">
                  <c:v>24.5</c:v>
                </c:pt>
                <c:pt idx="249">
                  <c:v>23</c:v>
                </c:pt>
                <c:pt idx="250">
                  <c:v>28</c:v>
                </c:pt>
                <c:pt idx="251">
                  <c:v>22</c:v>
                </c:pt>
                <c:pt idx="252">
                  <c:v>23</c:v>
                </c:pt>
                <c:pt idx="253">
                  <c:v>42</c:v>
                </c:pt>
                <c:pt idx="254">
                  <c:v>24</c:v>
                </c:pt>
                <c:pt idx="255">
                  <c:v>27</c:v>
                </c:pt>
                <c:pt idx="256">
                  <c:v>27</c:v>
                </c:pt>
                <c:pt idx="257">
                  <c:v>30</c:v>
                </c:pt>
                <c:pt idx="258">
                  <c:v>26</c:v>
                </c:pt>
                <c:pt idx="259">
                  <c:v>24</c:v>
                </c:pt>
                <c:pt idx="260">
                  <c:v>30</c:v>
                </c:pt>
                <c:pt idx="261">
                  <c:v>22</c:v>
                </c:pt>
                <c:pt idx="262">
                  <c:v>31</c:v>
                </c:pt>
                <c:pt idx="263">
                  <c:v>28</c:v>
                </c:pt>
                <c:pt idx="264">
                  <c:v>38</c:v>
                </c:pt>
                <c:pt idx="265">
                  <c:v>20</c:v>
                </c:pt>
                <c:pt idx="266">
                  <c:v>15</c:v>
                </c:pt>
                <c:pt idx="267">
                  <c:v>15</c:v>
                </c:pt>
                <c:pt idx="268">
                  <c:v>15</c:v>
                </c:pt>
                <c:pt idx="269">
                  <c:v>24</c:v>
                </c:pt>
                <c:pt idx="270">
                  <c:v>25</c:v>
                </c:pt>
                <c:pt idx="271">
                  <c:v>24</c:v>
                </c:pt>
              </c:numCache>
            </c:numRef>
          </c:xVal>
          <c:yVal>
            <c:numRef>
              <c:f>'Task 1 Converted AMI PDF Stats'!$AE$5:$AE$279</c:f>
              <c:numCache>
                <c:formatCode>0.000</c:formatCode>
                <c:ptCount val="275"/>
                <c:pt idx="0">
                  <c:v>74.693443458185143</c:v>
                </c:pt>
                <c:pt idx="1">
                  <c:v>75.807368272330649</c:v>
                </c:pt>
                <c:pt idx="2">
                  <c:v>70.766041734035667</c:v>
                </c:pt>
                <c:pt idx="3">
                  <c:v>60.949896448041642</c:v>
                </c:pt>
                <c:pt idx="4">
                  <c:v>65.199754036808656</c:v>
                </c:pt>
                <c:pt idx="5">
                  <c:v>72.928269381198533</c:v>
                </c:pt>
                <c:pt idx="6">
                  <c:v>76.820356633567471</c:v>
                </c:pt>
                <c:pt idx="7">
                  <c:v>68.250480393762885</c:v>
                </c:pt>
                <c:pt idx="8">
                  <c:v>94.241903361005313</c:v>
                </c:pt>
                <c:pt idx="9">
                  <c:v>105.115969133429</c:v>
                </c:pt>
                <c:pt idx="10">
                  <c:v>113.94482881483445</c:v>
                </c:pt>
                <c:pt idx="11">
                  <c:v>113.94482881483445</c:v>
                </c:pt>
                <c:pt idx="12">
                  <c:v>140.04062561074153</c:v>
                </c:pt>
                <c:pt idx="13">
                  <c:v>95.925434489173099</c:v>
                </c:pt>
                <c:pt idx="14">
                  <c:v>123.76074023271204</c:v>
                </c:pt>
                <c:pt idx="15">
                  <c:v>63.509230401643009</c:v>
                </c:pt>
                <c:pt idx="16">
                  <c:v>64.963640258169178</c:v>
                </c:pt>
                <c:pt idx="17">
                  <c:v>64.963640258169178</c:v>
                </c:pt>
                <c:pt idx="18">
                  <c:v>67.387656685712813</c:v>
                </c:pt>
                <c:pt idx="19">
                  <c:v>122.71542069786108</c:v>
                </c:pt>
                <c:pt idx="20">
                  <c:v>113.71272702437696</c:v>
                </c:pt>
                <c:pt idx="21">
                  <c:v>82.740334888785114</c:v>
                </c:pt>
                <c:pt idx="22">
                  <c:v>61.631171085053985</c:v>
                </c:pt>
                <c:pt idx="23">
                  <c:v>93.175583350030948</c:v>
                </c:pt>
                <c:pt idx="24">
                  <c:v>61.155122806795617</c:v>
                </c:pt>
                <c:pt idx="25">
                  <c:v>95.814349194871312</c:v>
                </c:pt>
                <c:pt idx="26">
                  <c:v>115.21823767342488</c:v>
                </c:pt>
                <c:pt idx="27">
                  <c:v>47.729284889787074</c:v>
                </c:pt>
                <c:pt idx="28">
                  <c:v>88.315847011953025</c:v>
                </c:pt>
                <c:pt idx="29">
                  <c:v>70.088625305668728</c:v>
                </c:pt>
                <c:pt idx="30">
                  <c:v>70.139922175045882</c:v>
                </c:pt>
                <c:pt idx="31">
                  <c:v>70.088625305668728</c:v>
                </c:pt>
                <c:pt idx="32">
                  <c:v>100.93753118830074</c:v>
                </c:pt>
                <c:pt idx="33">
                  <c:v>100.93753118830074</c:v>
                </c:pt>
                <c:pt idx="34">
                  <c:v>100.93753118830074</c:v>
                </c:pt>
                <c:pt idx="35">
                  <c:v>100.93753118830074</c:v>
                </c:pt>
                <c:pt idx="36">
                  <c:v>116.10444667143229</c:v>
                </c:pt>
                <c:pt idx="37">
                  <c:v>103.39942219289344</c:v>
                </c:pt>
                <c:pt idx="38">
                  <c:v>103.39942219289344</c:v>
                </c:pt>
                <c:pt idx="39">
                  <c:v>63.73271241622178</c:v>
                </c:pt>
                <c:pt idx="40">
                  <c:v>122.16751360486808</c:v>
                </c:pt>
                <c:pt idx="41">
                  <c:v>50.545769348590554</c:v>
                </c:pt>
                <c:pt idx="42">
                  <c:v>81.999745610967082</c:v>
                </c:pt>
                <c:pt idx="43">
                  <c:v>76.332859979555849</c:v>
                </c:pt>
                <c:pt idx="44">
                  <c:v>55.171353428562576</c:v>
                </c:pt>
                <c:pt idx="45">
                  <c:v>117.13659266148193</c:v>
                </c:pt>
                <c:pt idx="46">
                  <c:v>79.461255880357314</c:v>
                </c:pt>
                <c:pt idx="47">
                  <c:v>69.551634050259679</c:v>
                </c:pt>
                <c:pt idx="48">
                  <c:v>79.243449130316733</c:v>
                </c:pt>
                <c:pt idx="49">
                  <c:v>79.774095470437459</c:v>
                </c:pt>
                <c:pt idx="50">
                  <c:v>81.025453830758053</c:v>
                </c:pt>
                <c:pt idx="51">
                  <c:v>81.338293420838198</c:v>
                </c:pt>
                <c:pt idx="52">
                  <c:v>80.79724225051902</c:v>
                </c:pt>
                <c:pt idx="53">
                  <c:v>81.351414274640732</c:v>
                </c:pt>
                <c:pt idx="54">
                  <c:v>81.338293420838198</c:v>
                </c:pt>
                <c:pt idx="55">
                  <c:v>72.279149111054181</c:v>
                </c:pt>
                <c:pt idx="56">
                  <c:v>72.279149111054181</c:v>
                </c:pt>
                <c:pt idx="57">
                  <c:v>72.275774261677569</c:v>
                </c:pt>
                <c:pt idx="58">
                  <c:v>72.279149111054181</c:v>
                </c:pt>
                <c:pt idx="59">
                  <c:v>72.279149111054181</c:v>
                </c:pt>
                <c:pt idx="60">
                  <c:v>83.841010141479373</c:v>
                </c:pt>
                <c:pt idx="61">
                  <c:v>49.008641938095366</c:v>
                </c:pt>
                <c:pt idx="62">
                  <c:v>81.101328179470457</c:v>
                </c:pt>
                <c:pt idx="63">
                  <c:v>84.153849731559518</c:v>
                </c:pt>
                <c:pt idx="64">
                  <c:v>60.438453612696463</c:v>
                </c:pt>
                <c:pt idx="65">
                  <c:v>60.438453612696463</c:v>
                </c:pt>
                <c:pt idx="66">
                  <c:v>61.90653078787799</c:v>
                </c:pt>
                <c:pt idx="67">
                  <c:v>75.006664171848669</c:v>
                </c:pt>
                <c:pt idx="68">
                  <c:v>74.857079622253991</c:v>
                </c:pt>
                <c:pt idx="69">
                  <c:v>55.910640084371678</c:v>
                </c:pt>
                <c:pt idx="70">
                  <c:v>93.08223081767521</c:v>
                </c:pt>
                <c:pt idx="71">
                  <c:v>56.167091490342926</c:v>
                </c:pt>
                <c:pt idx="72">
                  <c:v>57.938872337254963</c:v>
                </c:pt>
                <c:pt idx="73">
                  <c:v>54.602788220353212</c:v>
                </c:pt>
                <c:pt idx="74">
                  <c:v>56.744645130346456</c:v>
                </c:pt>
                <c:pt idx="75">
                  <c:v>61.207941842903679</c:v>
                </c:pt>
                <c:pt idx="76">
                  <c:v>63.693299290476084</c:v>
                </c:pt>
                <c:pt idx="77">
                  <c:v>68.530765059372996</c:v>
                </c:pt>
                <c:pt idx="78">
                  <c:v>67.801720511664655</c:v>
                </c:pt>
                <c:pt idx="79">
                  <c:v>61.365074250374661</c:v>
                </c:pt>
                <c:pt idx="80">
                  <c:v>68.599387811801876</c:v>
                </c:pt>
                <c:pt idx="81">
                  <c:v>66.800545666113152</c:v>
                </c:pt>
                <c:pt idx="82">
                  <c:v>50.600875682874907</c:v>
                </c:pt>
                <c:pt idx="83">
                  <c:v>63.498740664357847</c:v>
                </c:pt>
                <c:pt idx="84">
                  <c:v>62.953346760384363</c:v>
                </c:pt>
                <c:pt idx="85">
                  <c:v>65.311440747155572</c:v>
                </c:pt>
                <c:pt idx="86">
                  <c:v>57.831229967489271</c:v>
                </c:pt>
                <c:pt idx="87">
                  <c:v>54.65245767251448</c:v>
                </c:pt>
                <c:pt idx="88">
                  <c:v>54.65245767251448</c:v>
                </c:pt>
                <c:pt idx="89">
                  <c:v>54.65245767251448</c:v>
                </c:pt>
                <c:pt idx="90">
                  <c:v>58.833550904757047</c:v>
                </c:pt>
                <c:pt idx="91">
                  <c:v>60.039156456084037</c:v>
                </c:pt>
                <c:pt idx="92">
                  <c:v>64.101715393494189</c:v>
                </c:pt>
                <c:pt idx="93">
                  <c:v>68.914983455986217</c:v>
                </c:pt>
                <c:pt idx="94">
                  <c:v>98.189804732121047</c:v>
                </c:pt>
                <c:pt idx="95">
                  <c:v>101.72610209935796</c:v>
                </c:pt>
                <c:pt idx="96">
                  <c:v>103.39942219289344</c:v>
                </c:pt>
                <c:pt idx="97">
                  <c:v>78.583089543843457</c:v>
                </c:pt>
                <c:pt idx="98">
                  <c:v>120.63265922504235</c:v>
                </c:pt>
                <c:pt idx="99">
                  <c:v>63.502189531704843</c:v>
                </c:pt>
                <c:pt idx="100">
                  <c:v>58.322127565342186</c:v>
                </c:pt>
                <c:pt idx="101">
                  <c:v>93.227587212137323</c:v>
                </c:pt>
                <c:pt idx="102">
                  <c:v>61.828552017067437</c:v>
                </c:pt>
                <c:pt idx="103">
                  <c:v>54.602788220353212</c:v>
                </c:pt>
                <c:pt idx="104">
                  <c:v>58.976141151476916</c:v>
                </c:pt>
                <c:pt idx="105">
                  <c:v>65.311440747155572</c:v>
                </c:pt>
                <c:pt idx="106">
                  <c:v>52.641811997164069</c:v>
                </c:pt>
                <c:pt idx="107">
                  <c:v>60.493517245424478</c:v>
                </c:pt>
                <c:pt idx="111">
                  <c:v>70.681427520753985</c:v>
                </c:pt>
                <c:pt idx="112">
                  <c:v>79.889851346338347</c:v>
                </c:pt>
                <c:pt idx="113">
                  <c:v>48.245276382281048</c:v>
                </c:pt>
                <c:pt idx="114">
                  <c:v>71.583410563218536</c:v>
                </c:pt>
                <c:pt idx="115">
                  <c:v>88.014697108076518</c:v>
                </c:pt>
                <c:pt idx="116">
                  <c:v>79.128353343635041</c:v>
                </c:pt>
                <c:pt idx="117">
                  <c:v>83.44444534419695</c:v>
                </c:pt>
                <c:pt idx="118">
                  <c:v>105.115969133429</c:v>
                </c:pt>
                <c:pt idx="119">
                  <c:v>97.794107897862787</c:v>
                </c:pt>
                <c:pt idx="120">
                  <c:v>108.74065772423691</c:v>
                </c:pt>
                <c:pt idx="121">
                  <c:v>115.40991021922882</c:v>
                </c:pt>
                <c:pt idx="122">
                  <c:v>117.15854522255046</c:v>
                </c:pt>
                <c:pt idx="123">
                  <c:v>118.90718022587211</c:v>
                </c:pt>
                <c:pt idx="125">
                  <c:v>82.123082614411999</c:v>
                </c:pt>
                <c:pt idx="126">
                  <c:v>134.11347785989219</c:v>
                </c:pt>
                <c:pt idx="127">
                  <c:v>89.148880271606288</c:v>
                </c:pt>
                <c:pt idx="128">
                  <c:v>135.41142501288078</c:v>
                </c:pt>
                <c:pt idx="129">
                  <c:v>99.853936075651191</c:v>
                </c:pt>
                <c:pt idx="130">
                  <c:v>94.392932052288998</c:v>
                </c:pt>
                <c:pt idx="131">
                  <c:v>78.209475867298792</c:v>
                </c:pt>
                <c:pt idx="132">
                  <c:v>138.47280883024186</c:v>
                </c:pt>
                <c:pt idx="133">
                  <c:v>86.500186130962007</c:v>
                </c:pt>
                <c:pt idx="134">
                  <c:v>106.82048975534778</c:v>
                </c:pt>
                <c:pt idx="135">
                  <c:v>126.64757253492509</c:v>
                </c:pt>
                <c:pt idx="136">
                  <c:v>80.369958626063948</c:v>
                </c:pt>
                <c:pt idx="138">
                  <c:v>70.426794361452863</c:v>
                </c:pt>
                <c:pt idx="139">
                  <c:v>132.27624950876449</c:v>
                </c:pt>
                <c:pt idx="140">
                  <c:v>78.991619476293906</c:v>
                </c:pt>
                <c:pt idx="141">
                  <c:v>144.55952570190084</c:v>
                </c:pt>
                <c:pt idx="142">
                  <c:v>110.30376659519608</c:v>
                </c:pt>
                <c:pt idx="143">
                  <c:v>110.30376659519608</c:v>
                </c:pt>
                <c:pt idx="144">
                  <c:v>87.809806469646688</c:v>
                </c:pt>
                <c:pt idx="145">
                  <c:v>110.31968096909655</c:v>
                </c:pt>
                <c:pt idx="146">
                  <c:v>87.809806469646688</c:v>
                </c:pt>
                <c:pt idx="147">
                  <c:v>114.97231566017679</c:v>
                </c:pt>
                <c:pt idx="148">
                  <c:v>114.97231566017679</c:v>
                </c:pt>
                <c:pt idx="149">
                  <c:v>83.901883363589164</c:v>
                </c:pt>
                <c:pt idx="150">
                  <c:v>74.5695469709501</c:v>
                </c:pt>
                <c:pt idx="151">
                  <c:v>99.807048574767776</c:v>
                </c:pt>
                <c:pt idx="152">
                  <c:v>104.88103561365445</c:v>
                </c:pt>
                <c:pt idx="153">
                  <c:v>126.09732765268653</c:v>
                </c:pt>
                <c:pt idx="154">
                  <c:v>79.755633674727079</c:v>
                </c:pt>
                <c:pt idx="155">
                  <c:v>121.9146893946904</c:v>
                </c:pt>
                <c:pt idx="156">
                  <c:v>105.79547148925384</c:v>
                </c:pt>
                <c:pt idx="157">
                  <c:v>82.855052189944558</c:v>
                </c:pt>
                <c:pt idx="158">
                  <c:v>104.56066455391013</c:v>
                </c:pt>
                <c:pt idx="159">
                  <c:v>86.678541829466496</c:v>
                </c:pt>
                <c:pt idx="160">
                  <c:v>75.954662526040167</c:v>
                </c:pt>
                <c:pt idx="161">
                  <c:v>99.382206903197357</c:v>
                </c:pt>
                <c:pt idx="162">
                  <c:v>93.99522056483471</c:v>
                </c:pt>
                <c:pt idx="163">
                  <c:v>104.19020922639253</c:v>
                </c:pt>
                <c:pt idx="164">
                  <c:v>75.954662526040167</c:v>
                </c:pt>
                <c:pt idx="165">
                  <c:v>93.99522056483471</c:v>
                </c:pt>
                <c:pt idx="166">
                  <c:v>75.285620908828861</c:v>
                </c:pt>
                <c:pt idx="167">
                  <c:v>107.0182016348819</c:v>
                </c:pt>
                <c:pt idx="168">
                  <c:v>69.872059050066241</c:v>
                </c:pt>
                <c:pt idx="169">
                  <c:v>79.257039157607124</c:v>
                </c:pt>
                <c:pt idx="170">
                  <c:v>93.703971002604305</c:v>
                </c:pt>
                <c:pt idx="171">
                  <c:v>89.649278407331821</c:v>
                </c:pt>
                <c:pt idx="172">
                  <c:v>124.77530645600487</c:v>
                </c:pt>
                <c:pt idx="173">
                  <c:v>124.77530645600487</c:v>
                </c:pt>
                <c:pt idx="174">
                  <c:v>83.399007287915822</c:v>
                </c:pt>
                <c:pt idx="175">
                  <c:v>78.616898451588611</c:v>
                </c:pt>
                <c:pt idx="176">
                  <c:v>80.36394063940169</c:v>
                </c:pt>
                <c:pt idx="177">
                  <c:v>90.644047450925697</c:v>
                </c:pt>
                <c:pt idx="178">
                  <c:v>123.57961380136715</c:v>
                </c:pt>
                <c:pt idx="179">
                  <c:v>86.557164644176112</c:v>
                </c:pt>
                <c:pt idx="180">
                  <c:v>117.16342419814956</c:v>
                </c:pt>
                <c:pt idx="181">
                  <c:v>63.344462615078463</c:v>
                </c:pt>
                <c:pt idx="182">
                  <c:v>102.95492316914783</c:v>
                </c:pt>
                <c:pt idx="183">
                  <c:v>135.90027290399027</c:v>
                </c:pt>
                <c:pt idx="184">
                  <c:v>261.6209590692186</c:v>
                </c:pt>
                <c:pt idx="185">
                  <c:v>83.502085314167161</c:v>
                </c:pt>
                <c:pt idx="186">
                  <c:v>146.77229473630948</c:v>
                </c:pt>
                <c:pt idx="187">
                  <c:v>146.77229473630948</c:v>
                </c:pt>
                <c:pt idx="188">
                  <c:v>149.49030019438928</c:v>
                </c:pt>
                <c:pt idx="189">
                  <c:v>126.54226152646078</c:v>
                </c:pt>
                <c:pt idx="190">
                  <c:v>138.94945648714696</c:v>
                </c:pt>
                <c:pt idx="191">
                  <c:v>64.977317982220342</c:v>
                </c:pt>
                <c:pt idx="192">
                  <c:v>74.102266794457961</c:v>
                </c:pt>
                <c:pt idx="193">
                  <c:v>96.729105304140447</c:v>
                </c:pt>
                <c:pt idx="194">
                  <c:v>78.461223664720194</c:v>
                </c:pt>
                <c:pt idx="195">
                  <c:v>85.928932227846175</c:v>
                </c:pt>
                <c:pt idx="196">
                  <c:v>141.83761390276337</c:v>
                </c:pt>
                <c:pt idx="197">
                  <c:v>123.05660802878002</c:v>
                </c:pt>
                <c:pt idx="198">
                  <c:v>60.239253534579881</c:v>
                </c:pt>
                <c:pt idx="199">
                  <c:v>135.69104750524511</c:v>
                </c:pt>
                <c:pt idx="200">
                  <c:v>102.0282714449631</c:v>
                </c:pt>
                <c:pt idx="201">
                  <c:v>73.669120794371551</c:v>
                </c:pt>
                <c:pt idx="202">
                  <c:v>68.970525033956164</c:v>
                </c:pt>
                <c:pt idx="203">
                  <c:v>81.905320645486441</c:v>
                </c:pt>
                <c:pt idx="204">
                  <c:v>69.415038696440305</c:v>
                </c:pt>
                <c:pt idx="205">
                  <c:v>61.013560705980545</c:v>
                </c:pt>
                <c:pt idx="206">
                  <c:v>96.214809175002443</c:v>
                </c:pt>
                <c:pt idx="207">
                  <c:v>107.39818046838221</c:v>
                </c:pt>
                <c:pt idx="208">
                  <c:v>109.00915317540795</c:v>
                </c:pt>
                <c:pt idx="209">
                  <c:v>103.39942219289344</c:v>
                </c:pt>
                <c:pt idx="210">
                  <c:v>88.859103057354531</c:v>
                </c:pt>
                <c:pt idx="211">
                  <c:v>121.29328819850247</c:v>
                </c:pt>
                <c:pt idx="212">
                  <c:v>110.10438776943653</c:v>
                </c:pt>
                <c:pt idx="213">
                  <c:v>97.650848543365527</c:v>
                </c:pt>
                <c:pt idx="214">
                  <c:v>106.17440647999042</c:v>
                </c:pt>
                <c:pt idx="215">
                  <c:v>67.757341574101773</c:v>
                </c:pt>
                <c:pt idx="216">
                  <c:v>78.38093200975446</c:v>
                </c:pt>
                <c:pt idx="217">
                  <c:v>82.048921053647476</c:v>
                </c:pt>
                <c:pt idx="218">
                  <c:v>94.994392603268579</c:v>
                </c:pt>
                <c:pt idx="219">
                  <c:v>93.66859193980342</c:v>
                </c:pt>
                <c:pt idx="220">
                  <c:v>64.014303963412132</c:v>
                </c:pt>
                <c:pt idx="221">
                  <c:v>64.014303963412132</c:v>
                </c:pt>
                <c:pt idx="222">
                  <c:v>79.786964000128407</c:v>
                </c:pt>
                <c:pt idx="223">
                  <c:v>66.168661772958657</c:v>
                </c:pt>
                <c:pt idx="224">
                  <c:v>75.516613509747884</c:v>
                </c:pt>
                <c:pt idx="225">
                  <c:v>74.010769320793599</c:v>
                </c:pt>
                <c:pt idx="226">
                  <c:v>74.072605461759949</c:v>
                </c:pt>
                <c:pt idx="227">
                  <c:v>53.209981773949856</c:v>
                </c:pt>
                <c:pt idx="228">
                  <c:v>60.801083370252634</c:v>
                </c:pt>
                <c:pt idx="229">
                  <c:v>92.748502216103887</c:v>
                </c:pt>
                <c:pt idx="230">
                  <c:v>97.236332968496001</c:v>
                </c:pt>
                <c:pt idx="231">
                  <c:v>89.054056574538677</c:v>
                </c:pt>
                <c:pt idx="232">
                  <c:v>103.20541959741951</c:v>
                </c:pt>
                <c:pt idx="233">
                  <c:v>148.22636377603743</c:v>
                </c:pt>
                <c:pt idx="234">
                  <c:v>67.655814126111181</c:v>
                </c:pt>
                <c:pt idx="235">
                  <c:v>67.259100342089781</c:v>
                </c:pt>
                <c:pt idx="236">
                  <c:v>47.717109314560048</c:v>
                </c:pt>
                <c:pt idx="237">
                  <c:v>52.234810159776671</c:v>
                </c:pt>
                <c:pt idx="238">
                  <c:v>52.234810159776671</c:v>
                </c:pt>
                <c:pt idx="239">
                  <c:v>55.858396546106746</c:v>
                </c:pt>
                <c:pt idx="240">
                  <c:v>59.659649047520851</c:v>
                </c:pt>
                <c:pt idx="241">
                  <c:v>59.665514720748057</c:v>
                </c:pt>
                <c:pt idx="242">
                  <c:v>91.56636340030883</c:v>
                </c:pt>
                <c:pt idx="243">
                  <c:v>87.21906921631502</c:v>
                </c:pt>
                <c:pt idx="244">
                  <c:v>50.982122094169831</c:v>
                </c:pt>
                <c:pt idx="245">
                  <c:v>67.10944740301737</c:v>
                </c:pt>
                <c:pt idx="246">
                  <c:v>61.158007880196458</c:v>
                </c:pt>
                <c:pt idx="247">
                  <c:v>96.279202086500305</c:v>
                </c:pt>
                <c:pt idx="248">
                  <c:v>71.022712998512318</c:v>
                </c:pt>
                <c:pt idx="249">
                  <c:v>82.5746565888807</c:v>
                </c:pt>
                <c:pt idx="250">
                  <c:v>61.076297430372904</c:v>
                </c:pt>
                <c:pt idx="251">
                  <c:v>61.365074250374661</c:v>
                </c:pt>
                <c:pt idx="252">
                  <c:v>66.800545666113152</c:v>
                </c:pt>
                <c:pt idx="253">
                  <c:v>64.090057409938623</c:v>
                </c:pt>
                <c:pt idx="254">
                  <c:v>77.5921278215488</c:v>
                </c:pt>
                <c:pt idx="255">
                  <c:v>64.541619270394065</c:v>
                </c:pt>
                <c:pt idx="256">
                  <c:v>64.541619270394065</c:v>
                </c:pt>
                <c:pt idx="257">
                  <c:v>88.06337684178564</c:v>
                </c:pt>
                <c:pt idx="258">
                  <c:v>162.59649907104063</c:v>
                </c:pt>
                <c:pt idx="259">
                  <c:v>83.093075552446678</c:v>
                </c:pt>
                <c:pt idx="260">
                  <c:v>86.321840011238223</c:v>
                </c:pt>
                <c:pt idx="261">
                  <c:v>69.665536796965952</c:v>
                </c:pt>
                <c:pt idx="262">
                  <c:v>58.853012822942745</c:v>
                </c:pt>
                <c:pt idx="263">
                  <c:v>52.931827589746419</c:v>
                </c:pt>
                <c:pt idx="264">
                  <c:v>71.479598397337313</c:v>
                </c:pt>
                <c:pt idx="265">
                  <c:v>85.102568341657985</c:v>
                </c:pt>
                <c:pt idx="266">
                  <c:v>133.19723468234437</c:v>
                </c:pt>
                <c:pt idx="267">
                  <c:v>135.27950878835466</c:v>
                </c:pt>
                <c:pt idx="268">
                  <c:v>136.52060519925698</c:v>
                </c:pt>
                <c:pt idx="269">
                  <c:v>87.13815711977287</c:v>
                </c:pt>
                <c:pt idx="270">
                  <c:v>95.501905919678563</c:v>
                </c:pt>
                <c:pt idx="271">
                  <c:v>62.654000004189633</c:v>
                </c:pt>
              </c:numCache>
            </c:numRef>
          </c:yVal>
          <c:smooth val="1"/>
          <c:extLst>
            <c:ext xmlns:c16="http://schemas.microsoft.com/office/drawing/2014/chart" uri="{C3380CC4-5D6E-409C-BE32-E72D297353CC}">
              <c16:uniqueId val="{00000000-DB92-4EFB-A702-806ABB30FE3C}"/>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42698443921663048"/>
                  <c:y val="-0.55778357997327033"/>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Stats'!$Y$5:$Y$12</c:f>
              <c:numCache>
                <c:formatCode>0.0</c:formatCode>
                <c:ptCount val="8"/>
                <c:pt idx="0">
                  <c:v>38</c:v>
                </c:pt>
                <c:pt idx="1">
                  <c:v>32</c:v>
                </c:pt>
                <c:pt idx="2">
                  <c:v>36</c:v>
                </c:pt>
                <c:pt idx="3">
                  <c:v>30</c:v>
                </c:pt>
                <c:pt idx="4">
                  <c:v>32</c:v>
                </c:pt>
                <c:pt idx="5">
                  <c:v>36</c:v>
                </c:pt>
                <c:pt idx="6">
                  <c:v>31</c:v>
                </c:pt>
                <c:pt idx="7">
                  <c:v>35</c:v>
                </c:pt>
              </c:numCache>
            </c:numRef>
          </c:xVal>
          <c:yVal>
            <c:numRef>
              <c:f>'Task 1 Converted AMI PDF Stats'!$AE$5:$AE$12</c:f>
              <c:numCache>
                <c:formatCode>0.000</c:formatCode>
                <c:ptCount val="8"/>
                <c:pt idx="0">
                  <c:v>74.693443458185143</c:v>
                </c:pt>
                <c:pt idx="1">
                  <c:v>75.807368272330649</c:v>
                </c:pt>
                <c:pt idx="2">
                  <c:v>70.766041734035667</c:v>
                </c:pt>
                <c:pt idx="3">
                  <c:v>60.949896448041642</c:v>
                </c:pt>
                <c:pt idx="4">
                  <c:v>65.199754036808656</c:v>
                </c:pt>
                <c:pt idx="5">
                  <c:v>72.928269381198533</c:v>
                </c:pt>
                <c:pt idx="6">
                  <c:v>76.820356633567471</c:v>
                </c:pt>
                <c:pt idx="7">
                  <c:v>68.250480393762885</c:v>
                </c:pt>
              </c:numCache>
            </c:numRef>
          </c:yVal>
          <c:smooth val="1"/>
          <c:extLst>
            <c:ext xmlns:c16="http://schemas.microsoft.com/office/drawing/2014/chart" uri="{C3380CC4-5D6E-409C-BE32-E72D297353CC}">
              <c16:uniqueId val="{00000001-DB92-4EFB-A702-806ABB30FE3C}"/>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4296669792688652"/>
                  <c:y val="-0.45879280114478754"/>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Stats'!$Y$13:$Y$98</c:f>
              <c:numCache>
                <c:formatCode>0.0</c:formatCode>
                <c:ptCount val="86"/>
                <c:pt idx="0">
                  <c:v>50</c:v>
                </c:pt>
                <c:pt idx="1">
                  <c:v>40</c:v>
                </c:pt>
                <c:pt idx="2">
                  <c:v>37.5</c:v>
                </c:pt>
                <c:pt idx="3">
                  <c:v>37.5</c:v>
                </c:pt>
                <c:pt idx="4">
                  <c:v>38</c:v>
                </c:pt>
                <c:pt idx="5">
                  <c:v>30</c:v>
                </c:pt>
                <c:pt idx="6">
                  <c:v>32</c:v>
                </c:pt>
                <c:pt idx="7">
                  <c:v>30</c:v>
                </c:pt>
                <c:pt idx="8">
                  <c:v>30</c:v>
                </c:pt>
                <c:pt idx="9">
                  <c:v>30</c:v>
                </c:pt>
                <c:pt idx="10">
                  <c:v>28</c:v>
                </c:pt>
                <c:pt idx="11">
                  <c:v>25</c:v>
                </c:pt>
                <c:pt idx="12">
                  <c:v>37</c:v>
                </c:pt>
                <c:pt idx="13">
                  <c:v>37</c:v>
                </c:pt>
                <c:pt idx="14">
                  <c:v>29</c:v>
                </c:pt>
                <c:pt idx="15">
                  <c:v>32</c:v>
                </c:pt>
                <c:pt idx="16">
                  <c:v>32</c:v>
                </c:pt>
                <c:pt idx="17">
                  <c:v>31</c:v>
                </c:pt>
                <c:pt idx="18">
                  <c:v>45</c:v>
                </c:pt>
                <c:pt idx="19">
                  <c:v>37.5</c:v>
                </c:pt>
                <c:pt idx="20">
                  <c:v>23</c:v>
                </c:pt>
                <c:pt idx="21">
                  <c:v>42</c:v>
                </c:pt>
                <c:pt idx="22">
                  <c:v>42</c:v>
                </c:pt>
                <c:pt idx="23">
                  <c:v>42</c:v>
                </c:pt>
                <c:pt idx="24">
                  <c:v>35</c:v>
                </c:pt>
                <c:pt idx="25">
                  <c:v>35</c:v>
                </c:pt>
                <c:pt idx="26">
                  <c:v>35</c:v>
                </c:pt>
                <c:pt idx="27">
                  <c:v>35</c:v>
                </c:pt>
                <c:pt idx="28">
                  <c:v>32</c:v>
                </c:pt>
                <c:pt idx="29">
                  <c:v>35</c:v>
                </c:pt>
                <c:pt idx="30">
                  <c:v>35</c:v>
                </c:pt>
                <c:pt idx="31">
                  <c:v>28</c:v>
                </c:pt>
                <c:pt idx="32">
                  <c:v>36</c:v>
                </c:pt>
                <c:pt idx="33">
                  <c:v>16</c:v>
                </c:pt>
                <c:pt idx="34">
                  <c:v>34.5</c:v>
                </c:pt>
                <c:pt idx="35">
                  <c:v>32</c:v>
                </c:pt>
                <c:pt idx="36">
                  <c:v>40</c:v>
                </c:pt>
                <c:pt idx="37">
                  <c:v>37</c:v>
                </c:pt>
                <c:pt idx="38">
                  <c:v>35</c:v>
                </c:pt>
                <c:pt idx="39">
                  <c:v>36.5</c:v>
                </c:pt>
                <c:pt idx="40">
                  <c:v>40</c:v>
                </c:pt>
                <c:pt idx="41">
                  <c:v>41</c:v>
                </c:pt>
                <c:pt idx="42">
                  <c:v>40</c:v>
                </c:pt>
                <c:pt idx="43">
                  <c:v>40</c:v>
                </c:pt>
                <c:pt idx="44">
                  <c:v>38</c:v>
                </c:pt>
                <c:pt idx="45">
                  <c:v>40</c:v>
                </c:pt>
                <c:pt idx="46">
                  <c:v>40</c:v>
                </c:pt>
                <c:pt idx="47">
                  <c:v>36.5</c:v>
                </c:pt>
                <c:pt idx="48">
                  <c:v>31</c:v>
                </c:pt>
                <c:pt idx="49">
                  <c:v>31</c:v>
                </c:pt>
                <c:pt idx="50">
                  <c:v>36</c:v>
                </c:pt>
                <c:pt idx="51">
                  <c:v>36</c:v>
                </c:pt>
                <c:pt idx="52">
                  <c:v>38</c:v>
                </c:pt>
                <c:pt idx="53">
                  <c:v>40</c:v>
                </c:pt>
                <c:pt idx="54">
                  <c:v>40</c:v>
                </c:pt>
                <c:pt idx="55">
                  <c:v>27</c:v>
                </c:pt>
                <c:pt idx="56">
                  <c:v>41</c:v>
                </c:pt>
                <c:pt idx="57">
                  <c:v>38</c:v>
                </c:pt>
                <c:pt idx="58">
                  <c:v>37</c:v>
                </c:pt>
                <c:pt idx="59">
                  <c:v>37.5</c:v>
                </c:pt>
                <c:pt idx="60">
                  <c:v>39</c:v>
                </c:pt>
                <c:pt idx="61">
                  <c:v>32</c:v>
                </c:pt>
                <c:pt idx="62">
                  <c:v>31</c:v>
                </c:pt>
                <c:pt idx="63">
                  <c:v>30</c:v>
                </c:pt>
                <c:pt idx="64">
                  <c:v>40</c:v>
                </c:pt>
                <c:pt idx="65">
                  <c:v>30.5</c:v>
                </c:pt>
                <c:pt idx="66">
                  <c:v>26</c:v>
                </c:pt>
                <c:pt idx="67">
                  <c:v>38</c:v>
                </c:pt>
                <c:pt idx="68">
                  <c:v>38.5</c:v>
                </c:pt>
                <c:pt idx="69">
                  <c:v>38.5</c:v>
                </c:pt>
                <c:pt idx="70">
                  <c:v>36</c:v>
                </c:pt>
                <c:pt idx="71">
                  <c:v>30</c:v>
                </c:pt>
                <c:pt idx="72">
                  <c:v>38</c:v>
                </c:pt>
                <c:pt idx="73">
                  <c:v>40</c:v>
                </c:pt>
                <c:pt idx="74">
                  <c:v>32</c:v>
                </c:pt>
                <c:pt idx="75">
                  <c:v>38</c:v>
                </c:pt>
                <c:pt idx="76">
                  <c:v>38</c:v>
                </c:pt>
                <c:pt idx="77">
                  <c:v>32</c:v>
                </c:pt>
                <c:pt idx="78">
                  <c:v>30</c:v>
                </c:pt>
                <c:pt idx="79">
                  <c:v>28</c:v>
                </c:pt>
                <c:pt idx="80">
                  <c:v>28</c:v>
                </c:pt>
                <c:pt idx="81">
                  <c:v>28</c:v>
                </c:pt>
                <c:pt idx="82">
                  <c:v>31</c:v>
                </c:pt>
                <c:pt idx="83">
                  <c:v>31</c:v>
                </c:pt>
                <c:pt idx="84">
                  <c:v>38</c:v>
                </c:pt>
                <c:pt idx="85">
                  <c:v>34</c:v>
                </c:pt>
              </c:numCache>
            </c:numRef>
          </c:xVal>
          <c:yVal>
            <c:numRef>
              <c:f>'Task 1 Converted AMI PDF Stats'!$AE$13:$AE$98</c:f>
              <c:numCache>
                <c:formatCode>0.000</c:formatCode>
                <c:ptCount val="86"/>
                <c:pt idx="0">
                  <c:v>94.241903361005313</c:v>
                </c:pt>
                <c:pt idx="1">
                  <c:v>105.115969133429</c:v>
                </c:pt>
                <c:pt idx="2">
                  <c:v>113.94482881483445</c:v>
                </c:pt>
                <c:pt idx="3">
                  <c:v>113.94482881483445</c:v>
                </c:pt>
                <c:pt idx="4">
                  <c:v>140.04062561074153</c:v>
                </c:pt>
                <c:pt idx="5">
                  <c:v>95.925434489173099</c:v>
                </c:pt>
                <c:pt idx="6">
                  <c:v>123.76074023271204</c:v>
                </c:pt>
                <c:pt idx="7">
                  <c:v>63.509230401643009</c:v>
                </c:pt>
                <c:pt idx="8">
                  <c:v>64.963640258169178</c:v>
                </c:pt>
                <c:pt idx="9">
                  <c:v>64.963640258169178</c:v>
                </c:pt>
                <c:pt idx="10">
                  <c:v>67.387656685712813</c:v>
                </c:pt>
                <c:pt idx="11">
                  <c:v>122.71542069786108</c:v>
                </c:pt>
                <c:pt idx="12">
                  <c:v>113.71272702437696</c:v>
                </c:pt>
                <c:pt idx="13">
                  <c:v>82.740334888785114</c:v>
                </c:pt>
                <c:pt idx="14">
                  <c:v>61.631171085053985</c:v>
                </c:pt>
                <c:pt idx="15">
                  <c:v>93.175583350030948</c:v>
                </c:pt>
                <c:pt idx="16">
                  <c:v>61.155122806795617</c:v>
                </c:pt>
                <c:pt idx="17">
                  <c:v>95.814349194871312</c:v>
                </c:pt>
                <c:pt idx="18">
                  <c:v>115.21823767342488</c:v>
                </c:pt>
                <c:pt idx="19">
                  <c:v>47.729284889787074</c:v>
                </c:pt>
                <c:pt idx="20">
                  <c:v>88.315847011953025</c:v>
                </c:pt>
                <c:pt idx="21">
                  <c:v>70.088625305668728</c:v>
                </c:pt>
                <c:pt idx="22">
                  <c:v>70.139922175045882</c:v>
                </c:pt>
                <c:pt idx="23">
                  <c:v>70.088625305668728</c:v>
                </c:pt>
                <c:pt idx="24">
                  <c:v>100.93753118830074</c:v>
                </c:pt>
                <c:pt idx="25">
                  <c:v>100.93753118830074</c:v>
                </c:pt>
                <c:pt idx="26">
                  <c:v>100.93753118830074</c:v>
                </c:pt>
                <c:pt idx="27">
                  <c:v>100.93753118830074</c:v>
                </c:pt>
                <c:pt idx="28">
                  <c:v>116.10444667143229</c:v>
                </c:pt>
                <c:pt idx="29">
                  <c:v>103.39942219289344</c:v>
                </c:pt>
                <c:pt idx="30">
                  <c:v>103.39942219289344</c:v>
                </c:pt>
                <c:pt idx="31">
                  <c:v>63.73271241622178</c:v>
                </c:pt>
                <c:pt idx="32">
                  <c:v>122.16751360486808</c:v>
                </c:pt>
                <c:pt idx="33">
                  <c:v>50.545769348590554</c:v>
                </c:pt>
                <c:pt idx="34">
                  <c:v>81.999745610967082</c:v>
                </c:pt>
                <c:pt idx="35">
                  <c:v>76.332859979555849</c:v>
                </c:pt>
                <c:pt idx="36">
                  <c:v>55.171353428562576</c:v>
                </c:pt>
                <c:pt idx="37">
                  <c:v>117.13659266148193</c:v>
                </c:pt>
                <c:pt idx="38">
                  <c:v>79.461255880357314</c:v>
                </c:pt>
                <c:pt idx="39">
                  <c:v>69.551634050259679</c:v>
                </c:pt>
                <c:pt idx="40">
                  <c:v>79.243449130316733</c:v>
                </c:pt>
                <c:pt idx="41">
                  <c:v>79.774095470437459</c:v>
                </c:pt>
                <c:pt idx="42">
                  <c:v>81.025453830758053</c:v>
                </c:pt>
                <c:pt idx="43">
                  <c:v>81.338293420838198</c:v>
                </c:pt>
                <c:pt idx="44">
                  <c:v>80.79724225051902</c:v>
                </c:pt>
                <c:pt idx="45">
                  <c:v>81.351414274640732</c:v>
                </c:pt>
                <c:pt idx="46">
                  <c:v>81.338293420838198</c:v>
                </c:pt>
                <c:pt idx="47">
                  <c:v>72.279149111054181</c:v>
                </c:pt>
                <c:pt idx="48">
                  <c:v>72.279149111054181</c:v>
                </c:pt>
                <c:pt idx="49">
                  <c:v>72.275774261677569</c:v>
                </c:pt>
                <c:pt idx="50">
                  <c:v>72.279149111054181</c:v>
                </c:pt>
                <c:pt idx="51">
                  <c:v>72.279149111054181</c:v>
                </c:pt>
                <c:pt idx="52">
                  <c:v>83.841010141479373</c:v>
                </c:pt>
                <c:pt idx="53">
                  <c:v>49.008641938095366</c:v>
                </c:pt>
                <c:pt idx="54">
                  <c:v>81.101328179470457</c:v>
                </c:pt>
                <c:pt idx="55">
                  <c:v>84.153849731559518</c:v>
                </c:pt>
                <c:pt idx="56">
                  <c:v>60.438453612696463</c:v>
                </c:pt>
                <c:pt idx="57">
                  <c:v>60.438453612696463</c:v>
                </c:pt>
                <c:pt idx="58">
                  <c:v>61.90653078787799</c:v>
                </c:pt>
                <c:pt idx="59">
                  <c:v>75.006664171848669</c:v>
                </c:pt>
                <c:pt idx="60">
                  <c:v>74.857079622253991</c:v>
                </c:pt>
                <c:pt idx="61">
                  <c:v>55.910640084371678</c:v>
                </c:pt>
                <c:pt idx="62">
                  <c:v>93.08223081767521</c:v>
                </c:pt>
                <c:pt idx="63">
                  <c:v>56.167091490342926</c:v>
                </c:pt>
                <c:pt idx="64">
                  <c:v>57.938872337254963</c:v>
                </c:pt>
                <c:pt idx="65">
                  <c:v>54.602788220353212</c:v>
                </c:pt>
                <c:pt idx="66">
                  <c:v>56.744645130346456</c:v>
                </c:pt>
                <c:pt idx="67">
                  <c:v>61.207941842903679</c:v>
                </c:pt>
                <c:pt idx="68">
                  <c:v>63.693299290476084</c:v>
                </c:pt>
                <c:pt idx="69">
                  <c:v>68.530765059372996</c:v>
                </c:pt>
                <c:pt idx="70">
                  <c:v>67.801720511664655</c:v>
                </c:pt>
                <c:pt idx="71">
                  <c:v>61.365074250374661</c:v>
                </c:pt>
                <c:pt idx="72">
                  <c:v>68.599387811801876</c:v>
                </c:pt>
                <c:pt idx="73">
                  <c:v>66.800545666113152</c:v>
                </c:pt>
                <c:pt idx="74">
                  <c:v>50.600875682874907</c:v>
                </c:pt>
                <c:pt idx="75">
                  <c:v>63.498740664357847</c:v>
                </c:pt>
                <c:pt idx="76">
                  <c:v>62.953346760384363</c:v>
                </c:pt>
                <c:pt idx="77">
                  <c:v>65.311440747155572</c:v>
                </c:pt>
                <c:pt idx="78">
                  <c:v>57.831229967489271</c:v>
                </c:pt>
                <c:pt idx="79">
                  <c:v>54.65245767251448</c:v>
                </c:pt>
                <c:pt idx="80">
                  <c:v>54.65245767251448</c:v>
                </c:pt>
                <c:pt idx="81">
                  <c:v>54.65245767251448</c:v>
                </c:pt>
                <c:pt idx="82">
                  <c:v>58.833550904757047</c:v>
                </c:pt>
                <c:pt idx="83">
                  <c:v>60.039156456084037</c:v>
                </c:pt>
                <c:pt idx="84">
                  <c:v>64.101715393494189</c:v>
                </c:pt>
                <c:pt idx="85">
                  <c:v>68.914983455986217</c:v>
                </c:pt>
              </c:numCache>
            </c:numRef>
          </c:yVal>
          <c:smooth val="1"/>
          <c:extLst>
            <c:ext xmlns:c16="http://schemas.microsoft.com/office/drawing/2014/chart" uri="{C3380CC4-5D6E-409C-BE32-E72D297353CC}">
              <c16:uniqueId val="{00000002-DB92-4EFB-A702-806ABB30FE3C}"/>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38665886411327394"/>
                  <c:y val="-0.40188950212852681"/>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Stats'!$Y$99:$Y$112</c:f>
              <c:numCache>
                <c:formatCode>0.0</c:formatCode>
                <c:ptCount val="14"/>
                <c:pt idx="0">
                  <c:v>36</c:v>
                </c:pt>
                <c:pt idx="1">
                  <c:v>32</c:v>
                </c:pt>
                <c:pt idx="2">
                  <c:v>35</c:v>
                </c:pt>
                <c:pt idx="3">
                  <c:v>40.5</c:v>
                </c:pt>
                <c:pt idx="4">
                  <c:v>37</c:v>
                </c:pt>
                <c:pt idx="5">
                  <c:v>30</c:v>
                </c:pt>
                <c:pt idx="6">
                  <c:v>32</c:v>
                </c:pt>
                <c:pt idx="7">
                  <c:v>30</c:v>
                </c:pt>
                <c:pt idx="8">
                  <c:v>40</c:v>
                </c:pt>
                <c:pt idx="9">
                  <c:v>30.5</c:v>
                </c:pt>
                <c:pt idx="10">
                  <c:v>40</c:v>
                </c:pt>
                <c:pt idx="11">
                  <c:v>32</c:v>
                </c:pt>
                <c:pt idx="12">
                  <c:v>32</c:v>
                </c:pt>
                <c:pt idx="13">
                  <c:v>37</c:v>
                </c:pt>
              </c:numCache>
            </c:numRef>
          </c:xVal>
          <c:yVal>
            <c:numRef>
              <c:f>'Task 1 Converted AMI PDF Stats'!$AE$99:$AE$112</c:f>
              <c:numCache>
                <c:formatCode>0.000</c:formatCode>
                <c:ptCount val="14"/>
                <c:pt idx="0">
                  <c:v>98.189804732121047</c:v>
                </c:pt>
                <c:pt idx="1">
                  <c:v>101.72610209935796</c:v>
                </c:pt>
                <c:pt idx="2">
                  <c:v>103.39942219289344</c:v>
                </c:pt>
                <c:pt idx="3">
                  <c:v>78.583089543843457</c:v>
                </c:pt>
                <c:pt idx="4">
                  <c:v>120.63265922504235</c:v>
                </c:pt>
                <c:pt idx="5">
                  <c:v>63.502189531704843</c:v>
                </c:pt>
                <c:pt idx="6">
                  <c:v>58.322127565342186</c:v>
                </c:pt>
                <c:pt idx="7">
                  <c:v>93.227587212137323</c:v>
                </c:pt>
                <c:pt idx="8">
                  <c:v>61.828552017067437</c:v>
                </c:pt>
                <c:pt idx="9">
                  <c:v>54.602788220353212</c:v>
                </c:pt>
                <c:pt idx="10">
                  <c:v>58.976141151476916</c:v>
                </c:pt>
                <c:pt idx="11">
                  <c:v>65.311440747155572</c:v>
                </c:pt>
                <c:pt idx="12">
                  <c:v>52.641811997164069</c:v>
                </c:pt>
                <c:pt idx="13">
                  <c:v>60.493517245424478</c:v>
                </c:pt>
              </c:numCache>
            </c:numRef>
          </c:yVal>
          <c:smooth val="1"/>
          <c:extLst>
            <c:ext xmlns:c16="http://schemas.microsoft.com/office/drawing/2014/chart" uri="{C3380CC4-5D6E-409C-BE32-E72D297353CC}">
              <c16:uniqueId val="{00000003-DB92-4EFB-A702-806ABB30FE3C}"/>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4079317072523798"/>
                  <c:y val="-0.34523747578058123"/>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Stats'!$Y$113:$Y$276</c:f>
              <c:numCache>
                <c:formatCode>0.0</c:formatCode>
                <c:ptCount val="164"/>
                <c:pt idx="0">
                  <c:v>23.8</c:v>
                </c:pt>
                <c:pt idx="1">
                  <c:v>29</c:v>
                </c:pt>
                <c:pt idx="2">
                  <c:v>22.5</c:v>
                </c:pt>
                <c:pt idx="3">
                  <c:v>30</c:v>
                </c:pt>
                <c:pt idx="4">
                  <c:v>30</c:v>
                </c:pt>
                <c:pt idx="5">
                  <c:v>26</c:v>
                </c:pt>
                <c:pt idx="6">
                  <c:v>23</c:v>
                </c:pt>
                <c:pt idx="7">
                  <c:v>22</c:v>
                </c:pt>
                <c:pt idx="9">
                  <c:v>38</c:v>
                </c:pt>
                <c:pt idx="10">
                  <c:v>45</c:v>
                </c:pt>
                <c:pt idx="11">
                  <c:v>18.7</c:v>
                </c:pt>
                <c:pt idx="12">
                  <c:v>50</c:v>
                </c:pt>
                <c:pt idx="13">
                  <c:v>23</c:v>
                </c:pt>
                <c:pt idx="14">
                  <c:v>22</c:v>
                </c:pt>
                <c:pt idx="15">
                  <c:v>23</c:v>
                </c:pt>
                <c:pt idx="16">
                  <c:v>18</c:v>
                </c:pt>
                <c:pt idx="17">
                  <c:v>20</c:v>
                </c:pt>
                <c:pt idx="18">
                  <c:v>25</c:v>
                </c:pt>
                <c:pt idx="19">
                  <c:v>30</c:v>
                </c:pt>
                <c:pt idx="20">
                  <c:v>23</c:v>
                </c:pt>
                <c:pt idx="21">
                  <c:v>27</c:v>
                </c:pt>
                <c:pt idx="22">
                  <c:v>25</c:v>
                </c:pt>
                <c:pt idx="23">
                  <c:v>22</c:v>
                </c:pt>
                <c:pt idx="24">
                  <c:v>25</c:v>
                </c:pt>
                <c:pt idx="25">
                  <c:v>18</c:v>
                </c:pt>
                <c:pt idx="26">
                  <c:v>27</c:v>
                </c:pt>
                <c:pt idx="27">
                  <c:v>32</c:v>
                </c:pt>
                <c:pt idx="28">
                  <c:v>32</c:v>
                </c:pt>
                <c:pt idx="29">
                  <c:v>18</c:v>
                </c:pt>
                <c:pt idx="30">
                  <c:v>23</c:v>
                </c:pt>
                <c:pt idx="31">
                  <c:v>26</c:v>
                </c:pt>
                <c:pt idx="32">
                  <c:v>30</c:v>
                </c:pt>
                <c:pt idx="33">
                  <c:v>26</c:v>
                </c:pt>
                <c:pt idx="34">
                  <c:v>45</c:v>
                </c:pt>
                <c:pt idx="35">
                  <c:v>21</c:v>
                </c:pt>
                <c:pt idx="36">
                  <c:v>27</c:v>
                </c:pt>
                <c:pt idx="37">
                  <c:v>14</c:v>
                </c:pt>
                <c:pt idx="38">
                  <c:v>18</c:v>
                </c:pt>
                <c:pt idx="39">
                  <c:v>20</c:v>
                </c:pt>
                <c:pt idx="40">
                  <c:v>20</c:v>
                </c:pt>
                <c:pt idx="41">
                  <c:v>30</c:v>
                </c:pt>
                <c:pt idx="42">
                  <c:v>25</c:v>
                </c:pt>
                <c:pt idx="43">
                  <c:v>25</c:v>
                </c:pt>
                <c:pt idx="44">
                  <c:v>22</c:v>
                </c:pt>
                <c:pt idx="45">
                  <c:v>27</c:v>
                </c:pt>
                <c:pt idx="46">
                  <c:v>30</c:v>
                </c:pt>
                <c:pt idx="47">
                  <c:v>17</c:v>
                </c:pt>
                <c:pt idx="48">
                  <c:v>25</c:v>
                </c:pt>
                <c:pt idx="49">
                  <c:v>30</c:v>
                </c:pt>
                <c:pt idx="50">
                  <c:v>24</c:v>
                </c:pt>
                <c:pt idx="51">
                  <c:v>30</c:v>
                </c:pt>
                <c:pt idx="52">
                  <c:v>28</c:v>
                </c:pt>
                <c:pt idx="53">
                  <c:v>30</c:v>
                </c:pt>
                <c:pt idx="54">
                  <c:v>24</c:v>
                </c:pt>
                <c:pt idx="55">
                  <c:v>25</c:v>
                </c:pt>
                <c:pt idx="56">
                  <c:v>35</c:v>
                </c:pt>
                <c:pt idx="57">
                  <c:v>24</c:v>
                </c:pt>
                <c:pt idx="58">
                  <c:v>32</c:v>
                </c:pt>
                <c:pt idx="59">
                  <c:v>23</c:v>
                </c:pt>
                <c:pt idx="60">
                  <c:v>42</c:v>
                </c:pt>
                <c:pt idx="61">
                  <c:v>28</c:v>
                </c:pt>
                <c:pt idx="62">
                  <c:v>22</c:v>
                </c:pt>
                <c:pt idx="63">
                  <c:v>32</c:v>
                </c:pt>
                <c:pt idx="64">
                  <c:v>21</c:v>
                </c:pt>
                <c:pt idx="65">
                  <c:v>21</c:v>
                </c:pt>
                <c:pt idx="66">
                  <c:v>23</c:v>
                </c:pt>
                <c:pt idx="67">
                  <c:v>32</c:v>
                </c:pt>
                <c:pt idx="68">
                  <c:v>32</c:v>
                </c:pt>
                <c:pt idx="69">
                  <c:v>25</c:v>
                </c:pt>
                <c:pt idx="70">
                  <c:v>40</c:v>
                </c:pt>
                <c:pt idx="71">
                  <c:v>22</c:v>
                </c:pt>
                <c:pt idx="72">
                  <c:v>21</c:v>
                </c:pt>
                <c:pt idx="73">
                  <c:v>26.3</c:v>
                </c:pt>
                <c:pt idx="74">
                  <c:v>24</c:v>
                </c:pt>
                <c:pt idx="75">
                  <c:v>28</c:v>
                </c:pt>
                <c:pt idx="76">
                  <c:v>11</c:v>
                </c:pt>
                <c:pt idx="77">
                  <c:v>29</c:v>
                </c:pt>
                <c:pt idx="78">
                  <c:v>20</c:v>
                </c:pt>
                <c:pt idx="79">
                  <c:v>20</c:v>
                </c:pt>
                <c:pt idx="80">
                  <c:v>18</c:v>
                </c:pt>
                <c:pt idx="81">
                  <c:v>29</c:v>
                </c:pt>
                <c:pt idx="82">
                  <c:v>24</c:v>
                </c:pt>
                <c:pt idx="83">
                  <c:v>28</c:v>
                </c:pt>
                <c:pt idx="84">
                  <c:v>22</c:v>
                </c:pt>
                <c:pt idx="85">
                  <c:v>28</c:v>
                </c:pt>
                <c:pt idx="86">
                  <c:v>22</c:v>
                </c:pt>
                <c:pt idx="87">
                  <c:v>23</c:v>
                </c:pt>
                <c:pt idx="88">
                  <c:v>33</c:v>
                </c:pt>
                <c:pt idx="89">
                  <c:v>33</c:v>
                </c:pt>
                <c:pt idx="90">
                  <c:v>25</c:v>
                </c:pt>
                <c:pt idx="91">
                  <c:v>27</c:v>
                </c:pt>
                <c:pt idx="92">
                  <c:v>25</c:v>
                </c:pt>
                <c:pt idx="93">
                  <c:v>28</c:v>
                </c:pt>
                <c:pt idx="94">
                  <c:v>24</c:v>
                </c:pt>
                <c:pt idx="95">
                  <c:v>27</c:v>
                </c:pt>
                <c:pt idx="96">
                  <c:v>35</c:v>
                </c:pt>
                <c:pt idx="97">
                  <c:v>26</c:v>
                </c:pt>
                <c:pt idx="98">
                  <c:v>32</c:v>
                </c:pt>
                <c:pt idx="99">
                  <c:v>27</c:v>
                </c:pt>
                <c:pt idx="100">
                  <c:v>29</c:v>
                </c:pt>
                <c:pt idx="101">
                  <c:v>38</c:v>
                </c:pt>
                <c:pt idx="102">
                  <c:v>30</c:v>
                </c:pt>
                <c:pt idx="103">
                  <c:v>33</c:v>
                </c:pt>
                <c:pt idx="104">
                  <c:v>30</c:v>
                </c:pt>
                <c:pt idx="105">
                  <c:v>37</c:v>
                </c:pt>
                <c:pt idx="106">
                  <c:v>30</c:v>
                </c:pt>
                <c:pt idx="107">
                  <c:v>40</c:v>
                </c:pt>
                <c:pt idx="108">
                  <c:v>28</c:v>
                </c:pt>
                <c:pt idx="109">
                  <c:v>34.5</c:v>
                </c:pt>
                <c:pt idx="110">
                  <c:v>30</c:v>
                </c:pt>
                <c:pt idx="111">
                  <c:v>30</c:v>
                </c:pt>
                <c:pt idx="112">
                  <c:v>23</c:v>
                </c:pt>
                <c:pt idx="113">
                  <c:v>20</c:v>
                </c:pt>
                <c:pt idx="114">
                  <c:v>41</c:v>
                </c:pt>
                <c:pt idx="115">
                  <c:v>35</c:v>
                </c:pt>
                <c:pt idx="116">
                  <c:v>30</c:v>
                </c:pt>
                <c:pt idx="117">
                  <c:v>22</c:v>
                </c:pt>
                <c:pt idx="118">
                  <c:v>26</c:v>
                </c:pt>
                <c:pt idx="119">
                  <c:v>25</c:v>
                </c:pt>
                <c:pt idx="120">
                  <c:v>22</c:v>
                </c:pt>
                <c:pt idx="121">
                  <c:v>27.5</c:v>
                </c:pt>
                <c:pt idx="122">
                  <c:v>20</c:v>
                </c:pt>
                <c:pt idx="123">
                  <c:v>23</c:v>
                </c:pt>
                <c:pt idx="124">
                  <c:v>16</c:v>
                </c:pt>
                <c:pt idx="125">
                  <c:v>15</c:v>
                </c:pt>
                <c:pt idx="126">
                  <c:v>35</c:v>
                </c:pt>
                <c:pt idx="127">
                  <c:v>23</c:v>
                </c:pt>
                <c:pt idx="128">
                  <c:v>24</c:v>
                </c:pt>
                <c:pt idx="129">
                  <c:v>30.5</c:v>
                </c:pt>
                <c:pt idx="130">
                  <c:v>30.5</c:v>
                </c:pt>
                <c:pt idx="131">
                  <c:v>28</c:v>
                </c:pt>
                <c:pt idx="132">
                  <c:v>35</c:v>
                </c:pt>
                <c:pt idx="133">
                  <c:v>35</c:v>
                </c:pt>
                <c:pt idx="134">
                  <c:v>20.6</c:v>
                </c:pt>
                <c:pt idx="135">
                  <c:v>20</c:v>
                </c:pt>
                <c:pt idx="136">
                  <c:v>25</c:v>
                </c:pt>
                <c:pt idx="137">
                  <c:v>23</c:v>
                </c:pt>
                <c:pt idx="138">
                  <c:v>40</c:v>
                </c:pt>
                <c:pt idx="139">
                  <c:v>20</c:v>
                </c:pt>
                <c:pt idx="140">
                  <c:v>24.5</c:v>
                </c:pt>
                <c:pt idx="141">
                  <c:v>23</c:v>
                </c:pt>
                <c:pt idx="142">
                  <c:v>28</c:v>
                </c:pt>
                <c:pt idx="143">
                  <c:v>22</c:v>
                </c:pt>
                <c:pt idx="144">
                  <c:v>23</c:v>
                </c:pt>
                <c:pt idx="145">
                  <c:v>42</c:v>
                </c:pt>
                <c:pt idx="146">
                  <c:v>24</c:v>
                </c:pt>
                <c:pt idx="147">
                  <c:v>27</c:v>
                </c:pt>
                <c:pt idx="148">
                  <c:v>27</c:v>
                </c:pt>
                <c:pt idx="149">
                  <c:v>30</c:v>
                </c:pt>
                <c:pt idx="150">
                  <c:v>26</c:v>
                </c:pt>
                <c:pt idx="151">
                  <c:v>24</c:v>
                </c:pt>
                <c:pt idx="152">
                  <c:v>30</c:v>
                </c:pt>
                <c:pt idx="153">
                  <c:v>22</c:v>
                </c:pt>
                <c:pt idx="154">
                  <c:v>31</c:v>
                </c:pt>
                <c:pt idx="155">
                  <c:v>28</c:v>
                </c:pt>
                <c:pt idx="156">
                  <c:v>38</c:v>
                </c:pt>
                <c:pt idx="157">
                  <c:v>20</c:v>
                </c:pt>
                <c:pt idx="158">
                  <c:v>15</c:v>
                </c:pt>
                <c:pt idx="159">
                  <c:v>15</c:v>
                </c:pt>
                <c:pt idx="160">
                  <c:v>15</c:v>
                </c:pt>
                <c:pt idx="161">
                  <c:v>24</c:v>
                </c:pt>
                <c:pt idx="162">
                  <c:v>25</c:v>
                </c:pt>
                <c:pt idx="163">
                  <c:v>24</c:v>
                </c:pt>
              </c:numCache>
            </c:numRef>
          </c:xVal>
          <c:yVal>
            <c:numRef>
              <c:f>'Task 1 Converted AMI PDF Stats'!$AE$113:$AE$276</c:f>
              <c:numCache>
                <c:formatCode>0.000</c:formatCode>
                <c:ptCount val="164"/>
                <c:pt idx="3">
                  <c:v>70.681427520753985</c:v>
                </c:pt>
                <c:pt idx="4">
                  <c:v>79.889851346338347</c:v>
                </c:pt>
                <c:pt idx="5">
                  <c:v>48.245276382281048</c:v>
                </c:pt>
                <c:pt idx="6">
                  <c:v>71.583410563218536</c:v>
                </c:pt>
                <c:pt idx="7">
                  <c:v>88.014697108076518</c:v>
                </c:pt>
                <c:pt idx="8">
                  <c:v>79.128353343635041</c:v>
                </c:pt>
                <c:pt idx="9">
                  <c:v>83.44444534419695</c:v>
                </c:pt>
                <c:pt idx="10">
                  <c:v>105.115969133429</c:v>
                </c:pt>
                <c:pt idx="11">
                  <c:v>97.794107897862787</c:v>
                </c:pt>
                <c:pt idx="12">
                  <c:v>108.74065772423691</c:v>
                </c:pt>
                <c:pt idx="13">
                  <c:v>115.40991021922882</c:v>
                </c:pt>
                <c:pt idx="14">
                  <c:v>117.15854522255046</c:v>
                </c:pt>
                <c:pt idx="15">
                  <c:v>118.90718022587211</c:v>
                </c:pt>
                <c:pt idx="17">
                  <c:v>82.123082614411999</c:v>
                </c:pt>
                <c:pt idx="18">
                  <c:v>134.11347785989219</c:v>
                </c:pt>
                <c:pt idx="19">
                  <c:v>89.148880271606288</c:v>
                </c:pt>
                <c:pt idx="20">
                  <c:v>135.41142501288078</c:v>
                </c:pt>
                <c:pt idx="21">
                  <c:v>99.853936075651191</c:v>
                </c:pt>
                <c:pt idx="22">
                  <c:v>94.392932052288998</c:v>
                </c:pt>
                <c:pt idx="23">
                  <c:v>78.209475867298792</c:v>
                </c:pt>
                <c:pt idx="24">
                  <c:v>138.47280883024186</c:v>
                </c:pt>
                <c:pt idx="25">
                  <c:v>86.500186130962007</c:v>
                </c:pt>
                <c:pt idx="26">
                  <c:v>106.82048975534778</c:v>
                </c:pt>
                <c:pt idx="27">
                  <c:v>126.64757253492509</c:v>
                </c:pt>
                <c:pt idx="28">
                  <c:v>80.369958626063948</c:v>
                </c:pt>
                <c:pt idx="30">
                  <c:v>70.426794361452863</c:v>
                </c:pt>
                <c:pt idx="31">
                  <c:v>132.27624950876449</c:v>
                </c:pt>
                <c:pt idx="32">
                  <c:v>78.991619476293906</c:v>
                </c:pt>
                <c:pt idx="33">
                  <c:v>144.55952570190084</c:v>
                </c:pt>
                <c:pt idx="34">
                  <c:v>110.30376659519608</c:v>
                </c:pt>
                <c:pt idx="35">
                  <c:v>110.30376659519608</c:v>
                </c:pt>
                <c:pt idx="36">
                  <c:v>87.809806469646688</c:v>
                </c:pt>
                <c:pt idx="37">
                  <c:v>110.31968096909655</c:v>
                </c:pt>
                <c:pt idx="38">
                  <c:v>87.809806469646688</c:v>
                </c:pt>
                <c:pt idx="39">
                  <c:v>114.97231566017679</c:v>
                </c:pt>
                <c:pt idx="40">
                  <c:v>114.97231566017679</c:v>
                </c:pt>
                <c:pt idx="41">
                  <c:v>83.901883363589164</c:v>
                </c:pt>
                <c:pt idx="42">
                  <c:v>74.5695469709501</c:v>
                </c:pt>
                <c:pt idx="43">
                  <c:v>99.807048574767776</c:v>
                </c:pt>
                <c:pt idx="44">
                  <c:v>104.88103561365445</c:v>
                </c:pt>
                <c:pt idx="45">
                  <c:v>126.09732765268653</c:v>
                </c:pt>
                <c:pt idx="46">
                  <c:v>79.755633674727079</c:v>
                </c:pt>
                <c:pt idx="47">
                  <c:v>121.9146893946904</c:v>
                </c:pt>
                <c:pt idx="48">
                  <c:v>105.79547148925384</c:v>
                </c:pt>
                <c:pt idx="49">
                  <c:v>82.855052189944558</c:v>
                </c:pt>
                <c:pt idx="50">
                  <c:v>104.56066455391013</c:v>
                </c:pt>
                <c:pt idx="51">
                  <c:v>86.678541829466496</c:v>
                </c:pt>
                <c:pt idx="52">
                  <c:v>75.954662526040167</c:v>
                </c:pt>
                <c:pt idx="53">
                  <c:v>99.382206903197357</c:v>
                </c:pt>
                <c:pt idx="54">
                  <c:v>93.99522056483471</c:v>
                </c:pt>
                <c:pt idx="55">
                  <c:v>104.19020922639253</c:v>
                </c:pt>
                <c:pt idx="56">
                  <c:v>75.954662526040167</c:v>
                </c:pt>
                <c:pt idx="57">
                  <c:v>93.99522056483471</c:v>
                </c:pt>
                <c:pt idx="58">
                  <c:v>75.285620908828861</c:v>
                </c:pt>
                <c:pt idx="59">
                  <c:v>107.0182016348819</c:v>
                </c:pt>
                <c:pt idx="60">
                  <c:v>69.872059050066241</c:v>
                </c:pt>
                <c:pt idx="61">
                  <c:v>79.257039157607124</c:v>
                </c:pt>
                <c:pt idx="62">
                  <c:v>93.703971002604305</c:v>
                </c:pt>
                <c:pt idx="63">
                  <c:v>89.649278407331821</c:v>
                </c:pt>
                <c:pt idx="64">
                  <c:v>124.77530645600487</c:v>
                </c:pt>
                <c:pt idx="65">
                  <c:v>124.77530645600487</c:v>
                </c:pt>
                <c:pt idx="66">
                  <c:v>83.399007287915822</c:v>
                </c:pt>
                <c:pt idx="67">
                  <c:v>78.616898451588611</c:v>
                </c:pt>
                <c:pt idx="68">
                  <c:v>80.36394063940169</c:v>
                </c:pt>
                <c:pt idx="69">
                  <c:v>90.644047450925697</c:v>
                </c:pt>
                <c:pt idx="70">
                  <c:v>123.57961380136715</c:v>
                </c:pt>
                <c:pt idx="71">
                  <c:v>86.557164644176112</c:v>
                </c:pt>
                <c:pt idx="72">
                  <c:v>117.16342419814956</c:v>
                </c:pt>
                <c:pt idx="73">
                  <c:v>63.344462615078463</c:v>
                </c:pt>
                <c:pt idx="74">
                  <c:v>102.95492316914783</c:v>
                </c:pt>
                <c:pt idx="75">
                  <c:v>135.90027290399027</c:v>
                </c:pt>
                <c:pt idx="76">
                  <c:v>261.6209590692186</c:v>
                </c:pt>
                <c:pt idx="77">
                  <c:v>83.502085314167161</c:v>
                </c:pt>
                <c:pt idx="78">
                  <c:v>146.77229473630948</c:v>
                </c:pt>
                <c:pt idx="79">
                  <c:v>146.77229473630948</c:v>
                </c:pt>
                <c:pt idx="80">
                  <c:v>149.49030019438928</c:v>
                </c:pt>
                <c:pt idx="81">
                  <c:v>126.54226152646078</c:v>
                </c:pt>
                <c:pt idx="82">
                  <c:v>138.94945648714696</c:v>
                </c:pt>
                <c:pt idx="83">
                  <c:v>64.977317982220342</c:v>
                </c:pt>
                <c:pt idx="84">
                  <c:v>74.102266794457961</c:v>
                </c:pt>
                <c:pt idx="85">
                  <c:v>96.729105304140447</c:v>
                </c:pt>
                <c:pt idx="86">
                  <c:v>78.461223664720194</c:v>
                </c:pt>
                <c:pt idx="87">
                  <c:v>85.928932227846175</c:v>
                </c:pt>
                <c:pt idx="88">
                  <c:v>141.83761390276337</c:v>
                </c:pt>
                <c:pt idx="89">
                  <c:v>123.05660802878002</c:v>
                </c:pt>
                <c:pt idx="90">
                  <c:v>60.239253534579881</c:v>
                </c:pt>
                <c:pt idx="91">
                  <c:v>135.69104750524511</c:v>
                </c:pt>
                <c:pt idx="92">
                  <c:v>102.0282714449631</c:v>
                </c:pt>
                <c:pt idx="93">
                  <c:v>73.669120794371551</c:v>
                </c:pt>
                <c:pt idx="94">
                  <c:v>68.970525033956164</c:v>
                </c:pt>
                <c:pt idx="95">
                  <c:v>81.905320645486441</c:v>
                </c:pt>
                <c:pt idx="96">
                  <c:v>69.415038696440305</c:v>
                </c:pt>
                <c:pt idx="97">
                  <c:v>61.013560705980545</c:v>
                </c:pt>
                <c:pt idx="98">
                  <c:v>96.214809175002443</c:v>
                </c:pt>
                <c:pt idx="99">
                  <c:v>107.39818046838221</c:v>
                </c:pt>
                <c:pt idx="100">
                  <c:v>109.00915317540795</c:v>
                </c:pt>
                <c:pt idx="101">
                  <c:v>103.39942219289344</c:v>
                </c:pt>
                <c:pt idx="102">
                  <c:v>88.859103057354531</c:v>
                </c:pt>
                <c:pt idx="103">
                  <c:v>121.29328819850247</c:v>
                </c:pt>
                <c:pt idx="104">
                  <c:v>110.10438776943653</c:v>
                </c:pt>
                <c:pt idx="105">
                  <c:v>97.650848543365527</c:v>
                </c:pt>
                <c:pt idx="106">
                  <c:v>106.17440647999042</c:v>
                </c:pt>
                <c:pt idx="107">
                  <c:v>67.757341574101773</c:v>
                </c:pt>
                <c:pt idx="108">
                  <c:v>78.38093200975446</c:v>
                </c:pt>
                <c:pt idx="109">
                  <c:v>82.048921053647476</c:v>
                </c:pt>
                <c:pt idx="110">
                  <c:v>94.994392603268579</c:v>
                </c:pt>
                <c:pt idx="111">
                  <c:v>93.66859193980342</c:v>
                </c:pt>
                <c:pt idx="112">
                  <c:v>64.014303963412132</c:v>
                </c:pt>
                <c:pt idx="113">
                  <c:v>64.014303963412132</c:v>
                </c:pt>
                <c:pt idx="114">
                  <c:v>79.786964000128407</c:v>
                </c:pt>
                <c:pt idx="115">
                  <c:v>66.168661772958657</c:v>
                </c:pt>
                <c:pt idx="116">
                  <c:v>75.516613509747884</c:v>
                </c:pt>
                <c:pt idx="117">
                  <c:v>74.010769320793599</c:v>
                </c:pt>
                <c:pt idx="118">
                  <c:v>74.072605461759949</c:v>
                </c:pt>
                <c:pt idx="119">
                  <c:v>53.209981773949856</c:v>
                </c:pt>
                <c:pt idx="120">
                  <c:v>60.801083370252634</c:v>
                </c:pt>
                <c:pt idx="121">
                  <c:v>92.748502216103887</c:v>
                </c:pt>
                <c:pt idx="122">
                  <c:v>97.236332968496001</c:v>
                </c:pt>
                <c:pt idx="123">
                  <c:v>89.054056574538677</c:v>
                </c:pt>
                <c:pt idx="124">
                  <c:v>103.20541959741951</c:v>
                </c:pt>
                <c:pt idx="125">
                  <c:v>148.22636377603743</c:v>
                </c:pt>
                <c:pt idx="126">
                  <c:v>67.655814126111181</c:v>
                </c:pt>
                <c:pt idx="127">
                  <c:v>67.259100342089781</c:v>
                </c:pt>
                <c:pt idx="128">
                  <c:v>47.717109314560048</c:v>
                </c:pt>
                <c:pt idx="129">
                  <c:v>52.234810159776671</c:v>
                </c:pt>
                <c:pt idx="130">
                  <c:v>52.234810159776671</c:v>
                </c:pt>
                <c:pt idx="131">
                  <c:v>55.858396546106746</c:v>
                </c:pt>
                <c:pt idx="132">
                  <c:v>59.659649047520851</c:v>
                </c:pt>
                <c:pt idx="133">
                  <c:v>59.665514720748057</c:v>
                </c:pt>
                <c:pt idx="134">
                  <c:v>91.56636340030883</c:v>
                </c:pt>
                <c:pt idx="135">
                  <c:v>87.21906921631502</c:v>
                </c:pt>
                <c:pt idx="136">
                  <c:v>50.982122094169831</c:v>
                </c:pt>
                <c:pt idx="137">
                  <c:v>67.10944740301737</c:v>
                </c:pt>
                <c:pt idx="138">
                  <c:v>61.158007880196458</c:v>
                </c:pt>
                <c:pt idx="139">
                  <c:v>96.279202086500305</c:v>
                </c:pt>
                <c:pt idx="140">
                  <c:v>71.022712998512318</c:v>
                </c:pt>
                <c:pt idx="141">
                  <c:v>82.5746565888807</c:v>
                </c:pt>
                <c:pt idx="142">
                  <c:v>61.076297430372904</c:v>
                </c:pt>
                <c:pt idx="143">
                  <c:v>61.365074250374661</c:v>
                </c:pt>
                <c:pt idx="144">
                  <c:v>66.800545666113152</c:v>
                </c:pt>
                <c:pt idx="145">
                  <c:v>64.090057409938623</c:v>
                </c:pt>
                <c:pt idx="146">
                  <c:v>77.5921278215488</c:v>
                </c:pt>
                <c:pt idx="147">
                  <c:v>64.541619270394065</c:v>
                </c:pt>
                <c:pt idx="148">
                  <c:v>64.541619270394065</c:v>
                </c:pt>
                <c:pt idx="149">
                  <c:v>88.06337684178564</c:v>
                </c:pt>
                <c:pt idx="150">
                  <c:v>162.59649907104063</c:v>
                </c:pt>
                <c:pt idx="151">
                  <c:v>83.093075552446678</c:v>
                </c:pt>
                <c:pt idx="152">
                  <c:v>86.321840011238223</c:v>
                </c:pt>
                <c:pt idx="153">
                  <c:v>69.665536796965952</c:v>
                </c:pt>
                <c:pt idx="154">
                  <c:v>58.853012822942745</c:v>
                </c:pt>
                <c:pt idx="155">
                  <c:v>52.931827589746419</c:v>
                </c:pt>
                <c:pt idx="156">
                  <c:v>71.479598397337313</c:v>
                </c:pt>
                <c:pt idx="157">
                  <c:v>85.102568341657985</c:v>
                </c:pt>
                <c:pt idx="158">
                  <c:v>133.19723468234437</c:v>
                </c:pt>
                <c:pt idx="159">
                  <c:v>135.27950878835466</c:v>
                </c:pt>
                <c:pt idx="160">
                  <c:v>136.52060519925698</c:v>
                </c:pt>
                <c:pt idx="161">
                  <c:v>87.13815711977287</c:v>
                </c:pt>
                <c:pt idx="162">
                  <c:v>95.501905919678563</c:v>
                </c:pt>
                <c:pt idx="163">
                  <c:v>62.654000004189633</c:v>
                </c:pt>
              </c:numCache>
            </c:numRef>
          </c:yVal>
          <c:smooth val="1"/>
          <c:extLst>
            <c:ext xmlns:c16="http://schemas.microsoft.com/office/drawing/2014/chart" uri="{C3380CC4-5D6E-409C-BE32-E72D297353CC}">
              <c16:uniqueId val="{00000004-DB92-4EFB-A702-806ABB30FE3C}"/>
            </c:ext>
          </c:extLst>
        </c:ser>
        <c:ser>
          <c:idx val="5"/>
          <c:order val="5"/>
          <c:tx>
            <c:v>FRC</c:v>
          </c:tx>
          <c:spPr>
            <a:ln w="19050">
              <a:noFill/>
            </a:ln>
          </c:spPr>
          <c:marker>
            <c:symbol val="plus"/>
            <c:size val="5"/>
            <c:spPr>
              <a:solidFill>
                <a:srgbClr val="800000"/>
              </a:solidFill>
              <a:ln>
                <a:solidFill>
                  <a:srgbClr val="FF9900"/>
                </a:solidFill>
                <a:prstDash val="solid"/>
              </a:ln>
            </c:spPr>
          </c:marker>
          <c:xVal>
            <c:numRef>
              <c:f>'Task 1 Converted AMI PDF Stats'!$Y$283</c:f>
              <c:numCache>
                <c:formatCode>0.0</c:formatCode>
                <c:ptCount val="1"/>
                <c:pt idx="0">
                  <c:v>31</c:v>
                </c:pt>
              </c:numCache>
            </c:numRef>
          </c:xVal>
          <c:yVal>
            <c:numRef>
              <c:f>'Task 1 Converted AMI PDF Stats'!$AE$283</c:f>
              <c:numCache>
                <c:formatCode>0.000</c:formatCode>
                <c:ptCount val="1"/>
                <c:pt idx="0">
                  <c:v>134.77117892595302</c:v>
                </c:pt>
              </c:numCache>
            </c:numRef>
          </c:yVal>
          <c:smooth val="1"/>
          <c:extLst>
            <c:ext xmlns:c16="http://schemas.microsoft.com/office/drawing/2014/chart" uri="{C3380CC4-5D6E-409C-BE32-E72D297353CC}">
              <c16:uniqueId val="{00000005-DB92-4EFB-A702-806ABB30FE3C}"/>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Stats'!$Y$284:$Y$294</c:f>
              <c:numCache>
                <c:formatCode>0.0</c:formatCode>
                <c:ptCount val="11"/>
                <c:pt idx="0">
                  <c:v>23.8</c:v>
                </c:pt>
                <c:pt idx="1">
                  <c:v>29</c:v>
                </c:pt>
                <c:pt idx="2">
                  <c:v>22.5</c:v>
                </c:pt>
                <c:pt idx="3">
                  <c:v>25</c:v>
                </c:pt>
                <c:pt idx="4">
                  <c:v>18</c:v>
                </c:pt>
                <c:pt idx="5">
                  <c:v>18</c:v>
                </c:pt>
                <c:pt idx="6">
                  <c:v>30</c:v>
                </c:pt>
                <c:pt idx="7">
                  <c:v>27.5</c:v>
                </c:pt>
                <c:pt idx="8">
                  <c:v>35</c:v>
                </c:pt>
                <c:pt idx="9">
                  <c:v>29</c:v>
                </c:pt>
                <c:pt idx="10">
                  <c:v>28</c:v>
                </c:pt>
              </c:numCache>
            </c:numRef>
          </c:xVal>
          <c:yVal>
            <c:numRef>
              <c:f>'Task 1 Converted AMI PDF Stats'!$AE$284:$AE$294</c:f>
              <c:numCache>
                <c:formatCode>0.000</c:formatCode>
                <c:ptCount val="11"/>
                <c:pt idx="3">
                  <c:v>53.209981773949856</c:v>
                </c:pt>
                <c:pt idx="6">
                  <c:v>94.994392603268579</c:v>
                </c:pt>
                <c:pt idx="7">
                  <c:v>92.748502216103887</c:v>
                </c:pt>
                <c:pt idx="8">
                  <c:v>67.655814126111181</c:v>
                </c:pt>
                <c:pt idx="9">
                  <c:v>126.54226152646078</c:v>
                </c:pt>
                <c:pt idx="10">
                  <c:v>96.729105304140447</c:v>
                </c:pt>
              </c:numCache>
            </c:numRef>
          </c:yVal>
          <c:smooth val="1"/>
          <c:extLst>
            <c:ext xmlns:c16="http://schemas.microsoft.com/office/drawing/2014/chart" uri="{C3380CC4-5D6E-409C-BE32-E72D297353CC}">
              <c16:uniqueId val="{00000006-DB92-4EFB-A702-806ABB30FE3C}"/>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Stats'!$Y$295:$Y$298</c:f>
              <c:numCache>
                <c:formatCode>0.0</c:formatCode>
                <c:ptCount val="4"/>
                <c:pt idx="0">
                  <c:v>40</c:v>
                </c:pt>
                <c:pt idx="1">
                  <c:v>30</c:v>
                </c:pt>
                <c:pt idx="2">
                  <c:v>32</c:v>
                </c:pt>
                <c:pt idx="3">
                  <c:v>30</c:v>
                </c:pt>
              </c:numCache>
            </c:numRef>
          </c:xVal>
          <c:yVal>
            <c:numRef>
              <c:f>'Task 1 Converted AMI PDF Stats'!$AE$295:$AE$298</c:f>
              <c:numCache>
                <c:formatCode>0.000</c:formatCode>
                <c:ptCount val="4"/>
                <c:pt idx="0">
                  <c:v>61.828552017067437</c:v>
                </c:pt>
                <c:pt idx="1">
                  <c:v>63.502189531704843</c:v>
                </c:pt>
                <c:pt idx="2">
                  <c:v>58.322127565342186</c:v>
                </c:pt>
                <c:pt idx="3">
                  <c:v>93.227587212137323</c:v>
                </c:pt>
              </c:numCache>
            </c:numRef>
          </c:yVal>
          <c:smooth val="1"/>
          <c:extLst>
            <c:ext xmlns:c16="http://schemas.microsoft.com/office/drawing/2014/chart" uri="{C3380CC4-5D6E-409C-BE32-E72D297353CC}">
              <c16:uniqueId val="{00000007-DB92-4EFB-A702-806ABB30FE3C}"/>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Stats'!$Y$299:$Y$300</c:f>
              <c:numCache>
                <c:formatCode>0.0</c:formatCode>
                <c:ptCount val="2"/>
                <c:pt idx="0">
                  <c:v>40</c:v>
                </c:pt>
              </c:numCache>
            </c:numRef>
          </c:xVal>
          <c:yVal>
            <c:numRef>
              <c:f>'Task 1 Converted AMI PDF Stats'!$AE$299:$AE$300</c:f>
              <c:numCache>
                <c:formatCode>General</c:formatCode>
                <c:ptCount val="2"/>
                <c:pt idx="0" formatCode="0.000">
                  <c:v>81.338293420838198</c:v>
                </c:pt>
              </c:numCache>
            </c:numRef>
          </c:yVal>
          <c:smooth val="1"/>
          <c:extLst>
            <c:ext xmlns:c16="http://schemas.microsoft.com/office/drawing/2014/chart" uri="{C3380CC4-5D6E-409C-BE32-E72D297353CC}">
              <c16:uniqueId val="{00000008-DB92-4EFB-A702-806ABB30FE3C}"/>
            </c:ext>
          </c:extLst>
        </c:ser>
        <c:dLbls>
          <c:showLegendKey val="0"/>
          <c:showVal val="0"/>
          <c:showCatName val="0"/>
          <c:showSerName val="0"/>
          <c:showPercent val="0"/>
          <c:showBubbleSize val="0"/>
        </c:dLbls>
        <c:axId val="570096160"/>
        <c:axId val="1"/>
      </c:scatterChart>
      <c:valAx>
        <c:axId val="570096160"/>
        <c:scaling>
          <c:orientation val="minMax"/>
          <c:min val="1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Speed (kts)</a:t>
                </a:r>
              </a:p>
            </c:rich>
          </c:tx>
          <c:layout>
            <c:manualLayout>
              <c:xMode val="edge"/>
              <c:yMode val="edge"/>
              <c:x val="0.37846836847946724"/>
              <c:y val="0.9412724306688418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Cdl</a:t>
                </a:r>
              </a:p>
            </c:rich>
          </c:tx>
          <c:layout>
            <c:manualLayout>
              <c:xMode val="edge"/>
              <c:yMode val="edge"/>
              <c:x val="1.5538290788013319E-2"/>
              <c:y val="0.463295269168026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96160"/>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581576026637066"/>
          <c:y val="0.46818923327895595"/>
          <c:w val="0.21309655937846839"/>
          <c:h val="0.42414355628058725"/>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Merit Factor vs Max Speed</a:t>
            </a:r>
          </a:p>
        </c:rich>
      </c:tx>
      <c:layout>
        <c:manualLayout>
          <c:xMode val="edge"/>
          <c:yMode val="edge"/>
          <c:x val="0.3851276359600444"/>
          <c:y val="1.9575856443719411E-2"/>
        </c:manualLayout>
      </c:layout>
      <c:overlay val="0"/>
      <c:spPr>
        <a:noFill/>
        <a:ln w="25400">
          <a:noFill/>
        </a:ln>
      </c:spPr>
    </c:title>
    <c:autoTitleDeleted val="0"/>
    <c:plotArea>
      <c:layout>
        <c:manualLayout>
          <c:layoutTarget val="inner"/>
          <c:xMode val="edge"/>
          <c:yMode val="edge"/>
          <c:x val="6.7702552719200892E-2"/>
          <c:y val="7.01468189233279E-2"/>
          <c:w val="0.69478357380688127"/>
          <c:h val="0.82055464926590538"/>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4284348772507014"/>
                  <c:y val="-7.2210790033223782E-2"/>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Stats'!$Y$5:$Y$279</c:f>
              <c:numCache>
                <c:formatCode>0.0</c:formatCode>
                <c:ptCount val="275"/>
                <c:pt idx="0">
                  <c:v>38</c:v>
                </c:pt>
                <c:pt idx="1">
                  <c:v>32</c:v>
                </c:pt>
                <c:pt idx="2">
                  <c:v>36</c:v>
                </c:pt>
                <c:pt idx="3">
                  <c:v>30</c:v>
                </c:pt>
                <c:pt idx="4">
                  <c:v>32</c:v>
                </c:pt>
                <c:pt idx="5">
                  <c:v>36</c:v>
                </c:pt>
                <c:pt idx="6">
                  <c:v>31</c:v>
                </c:pt>
                <c:pt idx="7">
                  <c:v>35</c:v>
                </c:pt>
                <c:pt idx="8">
                  <c:v>50</c:v>
                </c:pt>
                <c:pt idx="9">
                  <c:v>40</c:v>
                </c:pt>
                <c:pt idx="10">
                  <c:v>37.5</c:v>
                </c:pt>
                <c:pt idx="11">
                  <c:v>37.5</c:v>
                </c:pt>
                <c:pt idx="12">
                  <c:v>38</c:v>
                </c:pt>
                <c:pt idx="13">
                  <c:v>30</c:v>
                </c:pt>
                <c:pt idx="14">
                  <c:v>32</c:v>
                </c:pt>
                <c:pt idx="15">
                  <c:v>30</c:v>
                </c:pt>
                <c:pt idx="16">
                  <c:v>30</c:v>
                </c:pt>
                <c:pt idx="17">
                  <c:v>30</c:v>
                </c:pt>
                <c:pt idx="18">
                  <c:v>28</c:v>
                </c:pt>
                <c:pt idx="19">
                  <c:v>25</c:v>
                </c:pt>
                <c:pt idx="20">
                  <c:v>37</c:v>
                </c:pt>
                <c:pt idx="21">
                  <c:v>37</c:v>
                </c:pt>
                <c:pt idx="22">
                  <c:v>29</c:v>
                </c:pt>
                <c:pt idx="23">
                  <c:v>32</c:v>
                </c:pt>
                <c:pt idx="24">
                  <c:v>32</c:v>
                </c:pt>
                <c:pt idx="25">
                  <c:v>31</c:v>
                </c:pt>
                <c:pt idx="26">
                  <c:v>45</c:v>
                </c:pt>
                <c:pt idx="27">
                  <c:v>37.5</c:v>
                </c:pt>
                <c:pt idx="28">
                  <c:v>23</c:v>
                </c:pt>
                <c:pt idx="29">
                  <c:v>42</c:v>
                </c:pt>
                <c:pt idx="30">
                  <c:v>42</c:v>
                </c:pt>
                <c:pt idx="31">
                  <c:v>42</c:v>
                </c:pt>
                <c:pt idx="32">
                  <c:v>35</c:v>
                </c:pt>
                <c:pt idx="33">
                  <c:v>35</c:v>
                </c:pt>
                <c:pt idx="34">
                  <c:v>35</c:v>
                </c:pt>
                <c:pt idx="35">
                  <c:v>35</c:v>
                </c:pt>
                <c:pt idx="36">
                  <c:v>32</c:v>
                </c:pt>
                <c:pt idx="37">
                  <c:v>35</c:v>
                </c:pt>
                <c:pt idx="38">
                  <c:v>35</c:v>
                </c:pt>
                <c:pt idx="39">
                  <c:v>28</c:v>
                </c:pt>
                <c:pt idx="40">
                  <c:v>36</c:v>
                </c:pt>
                <c:pt idx="41">
                  <c:v>16</c:v>
                </c:pt>
                <c:pt idx="42">
                  <c:v>34.5</c:v>
                </c:pt>
                <c:pt idx="43">
                  <c:v>32</c:v>
                </c:pt>
                <c:pt idx="44">
                  <c:v>40</c:v>
                </c:pt>
                <c:pt idx="45">
                  <c:v>37</c:v>
                </c:pt>
                <c:pt idx="46">
                  <c:v>35</c:v>
                </c:pt>
                <c:pt idx="47">
                  <c:v>36.5</c:v>
                </c:pt>
                <c:pt idx="48">
                  <c:v>40</c:v>
                </c:pt>
                <c:pt idx="49">
                  <c:v>41</c:v>
                </c:pt>
                <c:pt idx="50">
                  <c:v>40</c:v>
                </c:pt>
                <c:pt idx="51">
                  <c:v>40</c:v>
                </c:pt>
                <c:pt idx="52">
                  <c:v>38</c:v>
                </c:pt>
                <c:pt idx="53">
                  <c:v>40</c:v>
                </c:pt>
                <c:pt idx="54">
                  <c:v>40</c:v>
                </c:pt>
                <c:pt idx="55">
                  <c:v>36.5</c:v>
                </c:pt>
                <c:pt idx="56">
                  <c:v>31</c:v>
                </c:pt>
                <c:pt idx="57">
                  <c:v>31</c:v>
                </c:pt>
                <c:pt idx="58">
                  <c:v>36</c:v>
                </c:pt>
                <c:pt idx="59">
                  <c:v>36</c:v>
                </c:pt>
                <c:pt idx="60">
                  <c:v>38</c:v>
                </c:pt>
                <c:pt idx="61">
                  <c:v>40</c:v>
                </c:pt>
                <c:pt idx="62">
                  <c:v>40</c:v>
                </c:pt>
                <c:pt idx="63">
                  <c:v>27</c:v>
                </c:pt>
                <c:pt idx="64">
                  <c:v>41</c:v>
                </c:pt>
                <c:pt idx="65">
                  <c:v>38</c:v>
                </c:pt>
                <c:pt idx="66">
                  <c:v>37</c:v>
                </c:pt>
                <c:pt idx="67">
                  <c:v>37.5</c:v>
                </c:pt>
                <c:pt idx="68">
                  <c:v>39</c:v>
                </c:pt>
                <c:pt idx="69">
                  <c:v>32</c:v>
                </c:pt>
                <c:pt idx="70">
                  <c:v>31</c:v>
                </c:pt>
                <c:pt idx="71">
                  <c:v>30</c:v>
                </c:pt>
                <c:pt idx="72">
                  <c:v>40</c:v>
                </c:pt>
                <c:pt idx="73">
                  <c:v>30.5</c:v>
                </c:pt>
                <c:pt idx="74">
                  <c:v>26</c:v>
                </c:pt>
                <c:pt idx="75">
                  <c:v>38</c:v>
                </c:pt>
                <c:pt idx="76">
                  <c:v>38.5</c:v>
                </c:pt>
                <c:pt idx="77">
                  <c:v>38.5</c:v>
                </c:pt>
                <c:pt idx="78">
                  <c:v>36</c:v>
                </c:pt>
                <c:pt idx="79">
                  <c:v>30</c:v>
                </c:pt>
                <c:pt idx="80">
                  <c:v>38</c:v>
                </c:pt>
                <c:pt idx="81">
                  <c:v>40</c:v>
                </c:pt>
                <c:pt idx="82">
                  <c:v>32</c:v>
                </c:pt>
                <c:pt idx="83">
                  <c:v>38</c:v>
                </c:pt>
                <c:pt idx="84">
                  <c:v>38</c:v>
                </c:pt>
                <c:pt idx="85">
                  <c:v>32</c:v>
                </c:pt>
                <c:pt idx="86">
                  <c:v>30</c:v>
                </c:pt>
                <c:pt idx="87">
                  <c:v>28</c:v>
                </c:pt>
                <c:pt idx="88">
                  <c:v>28</c:v>
                </c:pt>
                <c:pt idx="89">
                  <c:v>28</c:v>
                </c:pt>
                <c:pt idx="90">
                  <c:v>31</c:v>
                </c:pt>
                <c:pt idx="91">
                  <c:v>31</c:v>
                </c:pt>
                <c:pt idx="92">
                  <c:v>38</c:v>
                </c:pt>
                <c:pt idx="93">
                  <c:v>34</c:v>
                </c:pt>
                <c:pt idx="94">
                  <c:v>36</c:v>
                </c:pt>
                <c:pt idx="95">
                  <c:v>32</c:v>
                </c:pt>
                <c:pt idx="96">
                  <c:v>35</c:v>
                </c:pt>
                <c:pt idx="97">
                  <c:v>40.5</c:v>
                </c:pt>
                <c:pt idx="98">
                  <c:v>37</c:v>
                </c:pt>
                <c:pt idx="99">
                  <c:v>30</c:v>
                </c:pt>
                <c:pt idx="100">
                  <c:v>32</c:v>
                </c:pt>
                <c:pt idx="101">
                  <c:v>30</c:v>
                </c:pt>
                <c:pt idx="102">
                  <c:v>40</c:v>
                </c:pt>
                <c:pt idx="103">
                  <c:v>30.5</c:v>
                </c:pt>
                <c:pt idx="104">
                  <c:v>40</c:v>
                </c:pt>
                <c:pt idx="105">
                  <c:v>32</c:v>
                </c:pt>
                <c:pt idx="106">
                  <c:v>32</c:v>
                </c:pt>
                <c:pt idx="107">
                  <c:v>37</c:v>
                </c:pt>
                <c:pt idx="108">
                  <c:v>23.8</c:v>
                </c:pt>
                <c:pt idx="109">
                  <c:v>29</c:v>
                </c:pt>
                <c:pt idx="110">
                  <c:v>22.5</c:v>
                </c:pt>
                <c:pt idx="111">
                  <c:v>30</c:v>
                </c:pt>
                <c:pt idx="112">
                  <c:v>30</c:v>
                </c:pt>
                <c:pt idx="113">
                  <c:v>26</c:v>
                </c:pt>
                <c:pt idx="114">
                  <c:v>23</c:v>
                </c:pt>
                <c:pt idx="115">
                  <c:v>22</c:v>
                </c:pt>
                <c:pt idx="117">
                  <c:v>38</c:v>
                </c:pt>
                <c:pt idx="118">
                  <c:v>45</c:v>
                </c:pt>
                <c:pt idx="119">
                  <c:v>18.7</c:v>
                </c:pt>
                <c:pt idx="120">
                  <c:v>50</c:v>
                </c:pt>
                <c:pt idx="121">
                  <c:v>23</c:v>
                </c:pt>
                <c:pt idx="122">
                  <c:v>22</c:v>
                </c:pt>
                <c:pt idx="123">
                  <c:v>23</c:v>
                </c:pt>
                <c:pt idx="124">
                  <c:v>18</c:v>
                </c:pt>
                <c:pt idx="125">
                  <c:v>20</c:v>
                </c:pt>
                <c:pt idx="126">
                  <c:v>25</c:v>
                </c:pt>
                <c:pt idx="127">
                  <c:v>30</c:v>
                </c:pt>
                <c:pt idx="128">
                  <c:v>23</c:v>
                </c:pt>
                <c:pt idx="129">
                  <c:v>27</c:v>
                </c:pt>
                <c:pt idx="130">
                  <c:v>25</c:v>
                </c:pt>
                <c:pt idx="131">
                  <c:v>22</c:v>
                </c:pt>
                <c:pt idx="132">
                  <c:v>25</c:v>
                </c:pt>
                <c:pt idx="133">
                  <c:v>18</c:v>
                </c:pt>
                <c:pt idx="134">
                  <c:v>27</c:v>
                </c:pt>
                <c:pt idx="135">
                  <c:v>32</c:v>
                </c:pt>
                <c:pt idx="136">
                  <c:v>32</c:v>
                </c:pt>
                <c:pt idx="137">
                  <c:v>18</c:v>
                </c:pt>
                <c:pt idx="138">
                  <c:v>23</c:v>
                </c:pt>
                <c:pt idx="139">
                  <c:v>26</c:v>
                </c:pt>
                <c:pt idx="140">
                  <c:v>30</c:v>
                </c:pt>
                <c:pt idx="141">
                  <c:v>26</c:v>
                </c:pt>
                <c:pt idx="142">
                  <c:v>45</c:v>
                </c:pt>
                <c:pt idx="143">
                  <c:v>21</c:v>
                </c:pt>
                <c:pt idx="144">
                  <c:v>27</c:v>
                </c:pt>
                <c:pt idx="145">
                  <c:v>14</c:v>
                </c:pt>
                <c:pt idx="146">
                  <c:v>18</c:v>
                </c:pt>
                <c:pt idx="147">
                  <c:v>20</c:v>
                </c:pt>
                <c:pt idx="148">
                  <c:v>20</c:v>
                </c:pt>
                <c:pt idx="149">
                  <c:v>30</c:v>
                </c:pt>
                <c:pt idx="150">
                  <c:v>25</c:v>
                </c:pt>
                <c:pt idx="151">
                  <c:v>25</c:v>
                </c:pt>
                <c:pt idx="152">
                  <c:v>22</c:v>
                </c:pt>
                <c:pt idx="153">
                  <c:v>27</c:v>
                </c:pt>
                <c:pt idx="154">
                  <c:v>30</c:v>
                </c:pt>
                <c:pt idx="155">
                  <c:v>17</c:v>
                </c:pt>
                <c:pt idx="156">
                  <c:v>25</c:v>
                </c:pt>
                <c:pt idx="157">
                  <c:v>30</c:v>
                </c:pt>
                <c:pt idx="158">
                  <c:v>24</c:v>
                </c:pt>
                <c:pt idx="159">
                  <c:v>30</c:v>
                </c:pt>
                <c:pt idx="160">
                  <c:v>28</c:v>
                </c:pt>
                <c:pt idx="161">
                  <c:v>30</c:v>
                </c:pt>
                <c:pt idx="162">
                  <c:v>24</c:v>
                </c:pt>
                <c:pt idx="163">
                  <c:v>25</c:v>
                </c:pt>
                <c:pt idx="164">
                  <c:v>35</c:v>
                </c:pt>
                <c:pt idx="165">
                  <c:v>24</c:v>
                </c:pt>
                <c:pt idx="166">
                  <c:v>32</c:v>
                </c:pt>
                <c:pt idx="167">
                  <c:v>23</c:v>
                </c:pt>
                <c:pt idx="168">
                  <c:v>42</c:v>
                </c:pt>
                <c:pt idx="169">
                  <c:v>28</c:v>
                </c:pt>
                <c:pt idx="170">
                  <c:v>22</c:v>
                </c:pt>
                <c:pt idx="171">
                  <c:v>32</c:v>
                </c:pt>
                <c:pt idx="172">
                  <c:v>21</c:v>
                </c:pt>
                <c:pt idx="173">
                  <c:v>21</c:v>
                </c:pt>
                <c:pt idx="174">
                  <c:v>23</c:v>
                </c:pt>
                <c:pt idx="175">
                  <c:v>32</c:v>
                </c:pt>
                <c:pt idx="176">
                  <c:v>32</c:v>
                </c:pt>
                <c:pt idx="177">
                  <c:v>25</c:v>
                </c:pt>
                <c:pt idx="178">
                  <c:v>40</c:v>
                </c:pt>
                <c:pt idx="179">
                  <c:v>22</c:v>
                </c:pt>
                <c:pt idx="180">
                  <c:v>21</c:v>
                </c:pt>
                <c:pt idx="181">
                  <c:v>26.3</c:v>
                </c:pt>
                <c:pt idx="182">
                  <c:v>24</c:v>
                </c:pt>
                <c:pt idx="183">
                  <c:v>28</c:v>
                </c:pt>
                <c:pt idx="184">
                  <c:v>11</c:v>
                </c:pt>
                <c:pt idx="185">
                  <c:v>29</c:v>
                </c:pt>
                <c:pt idx="186">
                  <c:v>20</c:v>
                </c:pt>
                <c:pt idx="187">
                  <c:v>20</c:v>
                </c:pt>
                <c:pt idx="188">
                  <c:v>18</c:v>
                </c:pt>
                <c:pt idx="189">
                  <c:v>29</c:v>
                </c:pt>
                <c:pt idx="190">
                  <c:v>24</c:v>
                </c:pt>
                <c:pt idx="191">
                  <c:v>28</c:v>
                </c:pt>
                <c:pt idx="192">
                  <c:v>22</c:v>
                </c:pt>
                <c:pt idx="193">
                  <c:v>28</c:v>
                </c:pt>
                <c:pt idx="194">
                  <c:v>22</c:v>
                </c:pt>
                <c:pt idx="195">
                  <c:v>23</c:v>
                </c:pt>
                <c:pt idx="196">
                  <c:v>33</c:v>
                </c:pt>
                <c:pt idx="197">
                  <c:v>33</c:v>
                </c:pt>
                <c:pt idx="198">
                  <c:v>25</c:v>
                </c:pt>
                <c:pt idx="199">
                  <c:v>27</c:v>
                </c:pt>
                <c:pt idx="200">
                  <c:v>25</c:v>
                </c:pt>
                <c:pt idx="201">
                  <c:v>28</c:v>
                </c:pt>
                <c:pt idx="202">
                  <c:v>24</c:v>
                </c:pt>
                <c:pt idx="203">
                  <c:v>27</c:v>
                </c:pt>
                <c:pt idx="204">
                  <c:v>35</c:v>
                </c:pt>
                <c:pt idx="205">
                  <c:v>26</c:v>
                </c:pt>
                <c:pt idx="206">
                  <c:v>32</c:v>
                </c:pt>
                <c:pt idx="207">
                  <c:v>27</c:v>
                </c:pt>
                <c:pt idx="208">
                  <c:v>29</c:v>
                </c:pt>
                <c:pt idx="209">
                  <c:v>38</c:v>
                </c:pt>
                <c:pt idx="210">
                  <c:v>30</c:v>
                </c:pt>
                <c:pt idx="211">
                  <c:v>33</c:v>
                </c:pt>
                <c:pt idx="212">
                  <c:v>30</c:v>
                </c:pt>
                <c:pt idx="213">
                  <c:v>37</c:v>
                </c:pt>
                <c:pt idx="214">
                  <c:v>30</c:v>
                </c:pt>
                <c:pt idx="215">
                  <c:v>40</c:v>
                </c:pt>
                <c:pt idx="216">
                  <c:v>28</c:v>
                </c:pt>
                <c:pt idx="217">
                  <c:v>34.5</c:v>
                </c:pt>
                <c:pt idx="218">
                  <c:v>30</c:v>
                </c:pt>
                <c:pt idx="219">
                  <c:v>30</c:v>
                </c:pt>
                <c:pt idx="220">
                  <c:v>23</c:v>
                </c:pt>
                <c:pt idx="221">
                  <c:v>20</c:v>
                </c:pt>
                <c:pt idx="222">
                  <c:v>41</c:v>
                </c:pt>
                <c:pt idx="223">
                  <c:v>35</c:v>
                </c:pt>
                <c:pt idx="224">
                  <c:v>30</c:v>
                </c:pt>
                <c:pt idx="225">
                  <c:v>22</c:v>
                </c:pt>
                <c:pt idx="226">
                  <c:v>26</c:v>
                </c:pt>
                <c:pt idx="227">
                  <c:v>25</c:v>
                </c:pt>
                <c:pt idx="228">
                  <c:v>22</c:v>
                </c:pt>
                <c:pt idx="229">
                  <c:v>27.5</c:v>
                </c:pt>
                <c:pt idx="230">
                  <c:v>20</c:v>
                </c:pt>
                <c:pt idx="231">
                  <c:v>23</c:v>
                </c:pt>
                <c:pt idx="232">
                  <c:v>16</c:v>
                </c:pt>
                <c:pt idx="233">
                  <c:v>15</c:v>
                </c:pt>
                <c:pt idx="234">
                  <c:v>35</c:v>
                </c:pt>
                <c:pt idx="235">
                  <c:v>23</c:v>
                </c:pt>
                <c:pt idx="236">
                  <c:v>24</c:v>
                </c:pt>
                <c:pt idx="237">
                  <c:v>30.5</c:v>
                </c:pt>
                <c:pt idx="238">
                  <c:v>30.5</c:v>
                </c:pt>
                <c:pt idx="239">
                  <c:v>28</c:v>
                </c:pt>
                <c:pt idx="240">
                  <c:v>35</c:v>
                </c:pt>
                <c:pt idx="241">
                  <c:v>35</c:v>
                </c:pt>
                <c:pt idx="242">
                  <c:v>20.6</c:v>
                </c:pt>
                <c:pt idx="243">
                  <c:v>20</c:v>
                </c:pt>
                <c:pt idx="244">
                  <c:v>25</c:v>
                </c:pt>
                <c:pt idx="245">
                  <c:v>23</c:v>
                </c:pt>
                <c:pt idx="246">
                  <c:v>40</c:v>
                </c:pt>
                <c:pt idx="247">
                  <c:v>20</c:v>
                </c:pt>
                <c:pt idx="248">
                  <c:v>24.5</c:v>
                </c:pt>
                <c:pt idx="249">
                  <c:v>23</c:v>
                </c:pt>
                <c:pt idx="250">
                  <c:v>28</c:v>
                </c:pt>
                <c:pt idx="251">
                  <c:v>22</c:v>
                </c:pt>
                <c:pt idx="252">
                  <c:v>23</c:v>
                </c:pt>
                <c:pt idx="253">
                  <c:v>42</c:v>
                </c:pt>
                <c:pt idx="254">
                  <c:v>24</c:v>
                </c:pt>
                <c:pt idx="255">
                  <c:v>27</c:v>
                </c:pt>
                <c:pt idx="256">
                  <c:v>27</c:v>
                </c:pt>
                <c:pt idx="257">
                  <c:v>30</c:v>
                </c:pt>
                <c:pt idx="258">
                  <c:v>26</c:v>
                </c:pt>
                <c:pt idx="259">
                  <c:v>24</c:v>
                </c:pt>
                <c:pt idx="260">
                  <c:v>30</c:v>
                </c:pt>
                <c:pt idx="261">
                  <c:v>22</c:v>
                </c:pt>
                <c:pt idx="262">
                  <c:v>31</c:v>
                </c:pt>
                <c:pt idx="263">
                  <c:v>28</c:v>
                </c:pt>
                <c:pt idx="264">
                  <c:v>38</c:v>
                </c:pt>
                <c:pt idx="265">
                  <c:v>20</c:v>
                </c:pt>
                <c:pt idx="266">
                  <c:v>15</c:v>
                </c:pt>
                <c:pt idx="267">
                  <c:v>15</c:v>
                </c:pt>
                <c:pt idx="268">
                  <c:v>15</c:v>
                </c:pt>
                <c:pt idx="269">
                  <c:v>24</c:v>
                </c:pt>
                <c:pt idx="270">
                  <c:v>25</c:v>
                </c:pt>
                <c:pt idx="271">
                  <c:v>24</c:v>
                </c:pt>
              </c:numCache>
            </c:numRef>
          </c:xVal>
          <c:yVal>
            <c:numRef>
              <c:f>'Task 1 Converted AMI PDF Stats'!$AP$5:$AP$279</c:f>
              <c:numCache>
                <c:formatCode>0.000</c:formatCode>
                <c:ptCount val="275"/>
                <c:pt idx="0">
                  <c:v>4.1716225246399556</c:v>
                </c:pt>
                <c:pt idx="2">
                  <c:v>5.0480965102935098</c:v>
                </c:pt>
                <c:pt idx="3">
                  <c:v>4.0903452277194416</c:v>
                </c:pt>
                <c:pt idx="4">
                  <c:v>2.8757050295387216</c:v>
                </c:pt>
                <c:pt idx="6">
                  <c:v>4.065488452143291</c:v>
                </c:pt>
                <c:pt idx="7">
                  <c:v>5.0715397118328971</c:v>
                </c:pt>
                <c:pt idx="8">
                  <c:v>2.9840659158711662</c:v>
                </c:pt>
                <c:pt idx="9">
                  <c:v>9.0633372095238673</c:v>
                </c:pt>
                <c:pt idx="10">
                  <c:v>5.9918931739209942</c:v>
                </c:pt>
                <c:pt idx="11">
                  <c:v>5.9918931739209942</c:v>
                </c:pt>
                <c:pt idx="12">
                  <c:v>6.5615211976036445</c:v>
                </c:pt>
                <c:pt idx="13">
                  <c:v>2.9022551664228233</c:v>
                </c:pt>
                <c:pt idx="14">
                  <c:v>4.2706488745385904</c:v>
                </c:pt>
                <c:pt idx="15">
                  <c:v>4.0164370257343984</c:v>
                </c:pt>
                <c:pt idx="16">
                  <c:v>7.2239656784741966</c:v>
                </c:pt>
                <c:pt idx="17">
                  <c:v>3.9403449155313801</c:v>
                </c:pt>
                <c:pt idx="18">
                  <c:v>3.0462532816151615</c:v>
                </c:pt>
                <c:pt idx="19">
                  <c:v>2.4360636715705271</c:v>
                </c:pt>
                <c:pt idx="20">
                  <c:v>9.0966791445748321</c:v>
                </c:pt>
                <c:pt idx="21">
                  <c:v>6.2786170039827685</c:v>
                </c:pt>
                <c:pt idx="22">
                  <c:v>3.4562904980046514</c:v>
                </c:pt>
                <c:pt idx="23">
                  <c:v>3.9160006681804655</c:v>
                </c:pt>
                <c:pt idx="24">
                  <c:v>4.2981042607150064</c:v>
                </c:pt>
                <c:pt idx="25">
                  <c:v>4.2531085297238409</c:v>
                </c:pt>
                <c:pt idx="26">
                  <c:v>10.343369170020187</c:v>
                </c:pt>
                <c:pt idx="27">
                  <c:v>2.9728907269895695</c:v>
                </c:pt>
                <c:pt idx="28">
                  <c:v>1.7932842050401701</c:v>
                </c:pt>
                <c:pt idx="29">
                  <c:v>5.131937690950557</c:v>
                </c:pt>
                <c:pt idx="30">
                  <c:v>5.1331893830703006</c:v>
                </c:pt>
                <c:pt idx="31">
                  <c:v>5.131937690950557</c:v>
                </c:pt>
                <c:pt idx="32">
                  <c:v>3.5280889184006252</c:v>
                </c:pt>
                <c:pt idx="33">
                  <c:v>3.5280889184006252</c:v>
                </c:pt>
                <c:pt idx="34">
                  <c:v>3.5280889184006252</c:v>
                </c:pt>
                <c:pt idx="35">
                  <c:v>5.2756469807859823</c:v>
                </c:pt>
                <c:pt idx="36">
                  <c:v>4.4287345254985508</c:v>
                </c:pt>
                <c:pt idx="37">
                  <c:v>3.614139867629909</c:v>
                </c:pt>
                <c:pt idx="38">
                  <c:v>5.4043212973905188</c:v>
                </c:pt>
                <c:pt idx="39">
                  <c:v>3.9619354879047632</c:v>
                </c:pt>
                <c:pt idx="40">
                  <c:v>6.3154337139998464</c:v>
                </c:pt>
                <c:pt idx="41">
                  <c:v>2.3568850225343256</c:v>
                </c:pt>
                <c:pt idx="42">
                  <c:v>4.5781438569535311</c:v>
                </c:pt>
                <c:pt idx="43">
                  <c:v>3.6787560520997258</c:v>
                </c:pt>
                <c:pt idx="44">
                  <c:v>4.3752892577247486</c:v>
                </c:pt>
                <c:pt idx="45">
                  <c:v>4.2890433686349505</c:v>
                </c:pt>
                <c:pt idx="46">
                  <c:v>3.3061855016632116</c:v>
                </c:pt>
                <c:pt idx="47">
                  <c:v>4.0878010281126294</c:v>
                </c:pt>
                <c:pt idx="48">
                  <c:v>4.9581402909859378</c:v>
                </c:pt>
                <c:pt idx="49">
                  <c:v>5.3355736364944049</c:v>
                </c:pt>
                <c:pt idx="50">
                  <c:v>5.0323299167208644</c:v>
                </c:pt>
                <c:pt idx="51">
                  <c:v>5.0517597619591692</c:v>
                </c:pt>
                <c:pt idx="52">
                  <c:v>4.0935416233920661</c:v>
                </c:pt>
                <c:pt idx="53">
                  <c:v>7.3542911503469419</c:v>
                </c:pt>
                <c:pt idx="54">
                  <c:v>7.3538957473984059</c:v>
                </c:pt>
                <c:pt idx="55">
                  <c:v>3.6412345292431829</c:v>
                </c:pt>
                <c:pt idx="56">
                  <c:v>2.3970223980703822</c:v>
                </c:pt>
                <c:pt idx="57">
                  <c:v>2.3969850903287782</c:v>
                </c:pt>
                <c:pt idx="58">
                  <c:v>4.0759077962302914</c:v>
                </c:pt>
                <c:pt idx="59">
                  <c:v>4.0759077962302914</c:v>
                </c:pt>
                <c:pt idx="60">
                  <c:v>5.0746731517671728</c:v>
                </c:pt>
                <c:pt idx="61">
                  <c:v>3.5349337536159386</c:v>
                </c:pt>
                <c:pt idx="62">
                  <c:v>5.1498505225014464</c:v>
                </c:pt>
                <c:pt idx="63">
                  <c:v>3.5709102840465841</c:v>
                </c:pt>
                <c:pt idx="64">
                  <c:v>2.9966350842930867</c:v>
                </c:pt>
                <c:pt idx="65">
                  <c:v>4.5727732814171249</c:v>
                </c:pt>
                <c:pt idx="66">
                  <c:v>4.4323821093628357</c:v>
                </c:pt>
                <c:pt idx="67">
                  <c:v>4.6717581403154202</c:v>
                </c:pt>
                <c:pt idx="68">
                  <c:v>4.5573983746925517</c:v>
                </c:pt>
                <c:pt idx="69">
                  <c:v>3.4254220316666517</c:v>
                </c:pt>
                <c:pt idx="70">
                  <c:v>2.9741454052988496</c:v>
                </c:pt>
                <c:pt idx="71">
                  <c:v>3.6494522162329148</c:v>
                </c:pt>
                <c:pt idx="72">
                  <c:v>6.1194218869176193</c:v>
                </c:pt>
                <c:pt idx="73">
                  <c:v>8.7922159483459321</c:v>
                </c:pt>
                <c:pt idx="74">
                  <c:v>2.9473063326563644</c:v>
                </c:pt>
                <c:pt idx="75">
                  <c:v>4.7263161893523051</c:v>
                </c:pt>
                <c:pt idx="76">
                  <c:v>3.9936660770203178</c:v>
                </c:pt>
                <c:pt idx="77">
                  <c:v>4.2969824879332537</c:v>
                </c:pt>
                <c:pt idx="78">
                  <c:v>3.8453083293747876</c:v>
                </c:pt>
                <c:pt idx="79">
                  <c:v>4.8962702099022062</c:v>
                </c:pt>
                <c:pt idx="80">
                  <c:v>4.4102147988495082</c:v>
                </c:pt>
                <c:pt idx="81">
                  <c:v>6.0162266670164462</c:v>
                </c:pt>
                <c:pt idx="82">
                  <c:v>2.8079335471728979</c:v>
                </c:pt>
                <c:pt idx="83">
                  <c:v>5.0548600410531721</c:v>
                </c:pt>
                <c:pt idx="84">
                  <c:v>4.3255163614925847</c:v>
                </c:pt>
                <c:pt idx="85">
                  <c:v>3.6280515551562487</c:v>
                </c:pt>
                <c:pt idx="86">
                  <c:v>2.9231367153462631</c:v>
                </c:pt>
                <c:pt idx="87">
                  <c:v>7.7666267509710991</c:v>
                </c:pt>
                <c:pt idx="88">
                  <c:v>7.7666267509710991</c:v>
                </c:pt>
                <c:pt idx="89">
                  <c:v>7.7666267509710991</c:v>
                </c:pt>
                <c:pt idx="90">
                  <c:v>2.6391357526511356</c:v>
                </c:pt>
                <c:pt idx="91">
                  <c:v>2.9804928196743719</c:v>
                </c:pt>
                <c:pt idx="92">
                  <c:v>5.9474003932418551</c:v>
                </c:pt>
                <c:pt idx="94">
                  <c:v>6.9470019927856113</c:v>
                </c:pt>
                <c:pt idx="95">
                  <c:v>4.7637178780651901</c:v>
                </c:pt>
                <c:pt idx="96">
                  <c:v>5.4043212973905188</c:v>
                </c:pt>
                <c:pt idx="97">
                  <c:v>5.1102989907230443</c:v>
                </c:pt>
                <c:pt idx="98">
                  <c:v>5.5349063254741582</c:v>
                </c:pt>
                <c:pt idx="99">
                  <c:v>3.4536979223994919</c:v>
                </c:pt>
                <c:pt idx="100">
                  <c:v>4.3118150947873977</c:v>
                </c:pt>
                <c:pt idx="101">
                  <c:v>3.2715001919995195</c:v>
                </c:pt>
                <c:pt idx="102">
                  <c:v>4.5737652323698397</c:v>
                </c:pt>
                <c:pt idx="103">
                  <c:v>8.7922159483459321</c:v>
                </c:pt>
                <c:pt idx="104">
                  <c:v>4.645338596545205</c:v>
                </c:pt>
                <c:pt idx="105">
                  <c:v>3.1513255808087179</c:v>
                </c:pt>
                <c:pt idx="106">
                  <c:v>3.0582320245391901</c:v>
                </c:pt>
                <c:pt idx="107">
                  <c:v>3.7120201881654871</c:v>
                </c:pt>
                <c:pt idx="111">
                  <c:v>3.5597193589146765</c:v>
                </c:pt>
                <c:pt idx="112">
                  <c:v>3.7080409988694547</c:v>
                </c:pt>
                <c:pt idx="113">
                  <c:v>1.7895699074557889</c:v>
                </c:pt>
                <c:pt idx="114">
                  <c:v>1.6019596523971911</c:v>
                </c:pt>
                <c:pt idx="115">
                  <c:v>3.17518302887725</c:v>
                </c:pt>
                <c:pt idx="117">
                  <c:v>4.5658733491680739</c:v>
                </c:pt>
                <c:pt idx="118">
                  <c:v>8.6012071027133814</c:v>
                </c:pt>
                <c:pt idx="119">
                  <c:v>3.4730059746431201</c:v>
                </c:pt>
                <c:pt idx="120">
                  <c:v>12.205487587219213</c:v>
                </c:pt>
                <c:pt idx="121">
                  <c:v>3.6883915508412577</c:v>
                </c:pt>
                <c:pt idx="122">
                  <c:v>3.2768187504638311</c:v>
                </c:pt>
                <c:pt idx="123">
                  <c:v>3.8001609917758414</c:v>
                </c:pt>
                <c:pt idx="125">
                  <c:v>1.334370704994293</c:v>
                </c:pt>
                <c:pt idx="126">
                  <c:v>3.2328099876611787</c:v>
                </c:pt>
                <c:pt idx="127">
                  <c:v>3.2326511272195249</c:v>
                </c:pt>
                <c:pt idx="128">
                  <c:v>2.647267824201244</c:v>
                </c:pt>
                <c:pt idx="129">
                  <c:v>4.0800002332850767</c:v>
                </c:pt>
                <c:pt idx="130">
                  <c:v>3.753437114663531</c:v>
                </c:pt>
                <c:pt idx="131">
                  <c:v>4.3069851044773317</c:v>
                </c:pt>
                <c:pt idx="132">
                  <c:v>3.7224667661815141</c:v>
                </c:pt>
                <c:pt idx="133">
                  <c:v>1.2732312339240626</c:v>
                </c:pt>
                <c:pt idx="134">
                  <c:v>4.2999899099462704</c:v>
                </c:pt>
                <c:pt idx="135">
                  <c:v>4.768480225952767</c:v>
                </c:pt>
                <c:pt idx="136">
                  <c:v>5.4148350480639085</c:v>
                </c:pt>
                <c:pt idx="138">
                  <c:v>6.1901364004168373</c:v>
                </c:pt>
                <c:pt idx="139">
                  <c:v>3.0523009239283598</c:v>
                </c:pt>
                <c:pt idx="140">
                  <c:v>7.0577915704908198</c:v>
                </c:pt>
                <c:pt idx="141">
                  <c:v>3.9698915653784006</c:v>
                </c:pt>
                <c:pt idx="142">
                  <c:v>7.502377284784953</c:v>
                </c:pt>
                <c:pt idx="143">
                  <c:v>2.0891508799367688</c:v>
                </c:pt>
                <c:pt idx="144">
                  <c:v>3.1967959167508133</c:v>
                </c:pt>
                <c:pt idx="145">
                  <c:v>1.3047362223414447</c:v>
                </c:pt>
                <c:pt idx="146">
                  <c:v>0.66303915310387251</c:v>
                </c:pt>
                <c:pt idx="147">
                  <c:v>2.4366769395547965</c:v>
                </c:pt>
                <c:pt idx="148">
                  <c:v>2.172231380223268</c:v>
                </c:pt>
                <c:pt idx="149">
                  <c:v>3.2748320577594039</c:v>
                </c:pt>
                <c:pt idx="150">
                  <c:v>3.5772496560722358</c:v>
                </c:pt>
                <c:pt idx="151">
                  <c:v>7.5596157344511399</c:v>
                </c:pt>
                <c:pt idx="152">
                  <c:v>2.4441795286304751</c:v>
                </c:pt>
                <c:pt idx="153">
                  <c:v>4.941303918300548</c:v>
                </c:pt>
                <c:pt idx="154">
                  <c:v>3.6025835530439863</c:v>
                </c:pt>
                <c:pt idx="155">
                  <c:v>3.0067371174092408</c:v>
                </c:pt>
                <c:pt idx="156">
                  <c:v>5.7043066525044877</c:v>
                </c:pt>
                <c:pt idx="157">
                  <c:v>3.2967932830361719</c:v>
                </c:pt>
                <c:pt idx="158">
                  <c:v>3.0401396984213127</c:v>
                </c:pt>
                <c:pt idx="159">
                  <c:v>4.8043995067693199</c:v>
                </c:pt>
                <c:pt idx="160">
                  <c:v>2.5095018448837507</c:v>
                </c:pt>
                <c:pt idx="161">
                  <c:v>6.9122780188179487</c:v>
                </c:pt>
                <c:pt idx="162">
                  <c:v>2.014890876533181</c:v>
                </c:pt>
                <c:pt idx="163">
                  <c:v>1.9936355029013058</c:v>
                </c:pt>
                <c:pt idx="164">
                  <c:v>5.0371010588411824</c:v>
                </c:pt>
                <c:pt idx="165">
                  <c:v>2.6667673365880336</c:v>
                </c:pt>
                <c:pt idx="166">
                  <c:v>4.3641326557500477</c:v>
                </c:pt>
                <c:pt idx="167">
                  <c:v>2.0624582347350282</c:v>
                </c:pt>
                <c:pt idx="168">
                  <c:v>5.0038123909740584</c:v>
                </c:pt>
                <c:pt idx="169">
                  <c:v>3.1804216266542529</c:v>
                </c:pt>
                <c:pt idx="170">
                  <c:v>1.3802826527009193</c:v>
                </c:pt>
                <c:pt idx="171">
                  <c:v>3.8262471625278152</c:v>
                </c:pt>
                <c:pt idx="172">
                  <c:v>4.9960276536045365</c:v>
                </c:pt>
                <c:pt idx="173">
                  <c:v>2.0580227550359593</c:v>
                </c:pt>
                <c:pt idx="174">
                  <c:v>2.0965978969128205</c:v>
                </c:pt>
                <c:pt idx="175">
                  <c:v>3.1297411590223567</c:v>
                </c:pt>
                <c:pt idx="176">
                  <c:v>3.8391491550674242</c:v>
                </c:pt>
                <c:pt idx="177">
                  <c:v>1.414255822494787</c:v>
                </c:pt>
                <c:pt idx="178">
                  <c:v>10.874448797714557</c:v>
                </c:pt>
                <c:pt idx="179">
                  <c:v>1.3216799522912031</c:v>
                </c:pt>
                <c:pt idx="180">
                  <c:v>1.91613888232198</c:v>
                </c:pt>
                <c:pt idx="181">
                  <c:v>2.8453667349760323</c:v>
                </c:pt>
                <c:pt idx="182">
                  <c:v>3.6860890423776391</c:v>
                </c:pt>
                <c:pt idx="183">
                  <c:v>3.351018955287048</c:v>
                </c:pt>
                <c:pt idx="184">
                  <c:v>3.8918772805848745</c:v>
                </c:pt>
                <c:pt idx="185">
                  <c:v>3.7607389986182236</c:v>
                </c:pt>
                <c:pt idx="186">
                  <c:v>2.7126603415728536</c:v>
                </c:pt>
                <c:pt idx="187">
                  <c:v>1.7385686734626018</c:v>
                </c:pt>
                <c:pt idx="188">
                  <c:v>1.2908872400459817</c:v>
                </c:pt>
                <c:pt idx="189">
                  <c:v>3.640881693397533</c:v>
                </c:pt>
                <c:pt idx="190">
                  <c:v>2.1411189339462195</c:v>
                </c:pt>
                <c:pt idx="191">
                  <c:v>2.5031096135704765</c:v>
                </c:pt>
                <c:pt idx="192">
                  <c:v>0.87210696800481036</c:v>
                </c:pt>
                <c:pt idx="193">
                  <c:v>3.4021138211382111</c:v>
                </c:pt>
                <c:pt idx="194">
                  <c:v>1.8468147557748922</c:v>
                </c:pt>
                <c:pt idx="195">
                  <c:v>1.7448170643634087</c:v>
                </c:pt>
                <c:pt idx="196">
                  <c:v>6.1658010055768706</c:v>
                </c:pt>
                <c:pt idx="197">
                  <c:v>4.8278726780300305</c:v>
                </c:pt>
                <c:pt idx="198">
                  <c:v>2.9702719920111225</c:v>
                </c:pt>
                <c:pt idx="199">
                  <c:v>6.7699525636531881</c:v>
                </c:pt>
                <c:pt idx="200">
                  <c:v>3.192945550729827</c:v>
                </c:pt>
                <c:pt idx="201">
                  <c:v>4.0331433671340156</c:v>
                </c:pt>
                <c:pt idx="202">
                  <c:v>3.5239294504337093</c:v>
                </c:pt>
                <c:pt idx="203">
                  <c:v>3.0761443962171637</c:v>
                </c:pt>
                <c:pt idx="204">
                  <c:v>5.0410663080577294</c:v>
                </c:pt>
                <c:pt idx="205">
                  <c:v>3.526272406421171</c:v>
                </c:pt>
                <c:pt idx="206">
                  <c:v>4.0680818546145767</c:v>
                </c:pt>
                <c:pt idx="207">
                  <c:v>3.8196115595881102</c:v>
                </c:pt>
                <c:pt idx="208">
                  <c:v>6.098779866345784</c:v>
                </c:pt>
                <c:pt idx="209">
                  <c:v>4.9272166946546117</c:v>
                </c:pt>
                <c:pt idx="210">
                  <c:v>3.8755406932243406</c:v>
                </c:pt>
                <c:pt idx="211">
                  <c:v>5.324730248719824</c:v>
                </c:pt>
                <c:pt idx="212">
                  <c:v>4.0893752399993994</c:v>
                </c:pt>
                <c:pt idx="213">
                  <c:v>3.6288362610408313</c:v>
                </c:pt>
                <c:pt idx="214">
                  <c:v>4.7081825334382374</c:v>
                </c:pt>
                <c:pt idx="215">
                  <c:v>4.3762440034906067</c:v>
                </c:pt>
                <c:pt idx="216">
                  <c:v>6.2888247842837588</c:v>
                </c:pt>
                <c:pt idx="217">
                  <c:v>4.6457181272409063</c:v>
                </c:pt>
                <c:pt idx="218">
                  <c:v>4.7922037464453782</c:v>
                </c:pt>
                <c:pt idx="220">
                  <c:v>1.9637269830867807</c:v>
                </c:pt>
                <c:pt idx="221">
                  <c:v>1.6841509140577233</c:v>
                </c:pt>
                <c:pt idx="222">
                  <c:v>5.3358605186614172</c:v>
                </c:pt>
                <c:pt idx="223">
                  <c:v>3.9382529475035901</c:v>
                </c:pt>
                <c:pt idx="224">
                  <c:v>4.1582024043036645</c:v>
                </c:pt>
                <c:pt idx="226">
                  <c:v>3.186727474610541</c:v>
                </c:pt>
                <c:pt idx="227">
                  <c:v>2.3813547274579232</c:v>
                </c:pt>
                <c:pt idx="228">
                  <c:v>1.5644431457070753</c:v>
                </c:pt>
                <c:pt idx="229">
                  <c:v>6.0540313253542504</c:v>
                </c:pt>
                <c:pt idx="230">
                  <c:v>2.6368291547516121</c:v>
                </c:pt>
                <c:pt idx="231">
                  <c:v>3.7392081794944612</c:v>
                </c:pt>
                <c:pt idx="232">
                  <c:v>1.3679107051455262</c:v>
                </c:pt>
                <c:pt idx="233">
                  <c:v>2.3867021816733849</c:v>
                </c:pt>
                <c:pt idx="234">
                  <c:v>3.8284988623712031</c:v>
                </c:pt>
                <c:pt idx="235">
                  <c:v>2.7429837224069318</c:v>
                </c:pt>
                <c:pt idx="236">
                  <c:v>2.4098971711362793</c:v>
                </c:pt>
                <c:pt idx="237">
                  <c:v>8.4109208689533776</c:v>
                </c:pt>
                <c:pt idx="238">
                  <c:v>8.4109208689533776</c:v>
                </c:pt>
                <c:pt idx="239">
                  <c:v>2.4111183173083792</c:v>
                </c:pt>
                <c:pt idx="240">
                  <c:v>2.8765771165466472</c:v>
                </c:pt>
                <c:pt idx="241">
                  <c:v>2.840953172573661</c:v>
                </c:pt>
                <c:pt idx="242">
                  <c:v>2.9054237778841996</c:v>
                </c:pt>
                <c:pt idx="243">
                  <c:v>2.4683844983141201</c:v>
                </c:pt>
                <c:pt idx="244">
                  <c:v>2.1254308410584253</c:v>
                </c:pt>
                <c:pt idx="245">
                  <c:v>2.2267903881869668</c:v>
                </c:pt>
                <c:pt idx="246">
                  <c:v>5.5009144429347652</c:v>
                </c:pt>
                <c:pt idx="247">
                  <c:v>1.9840497362888907</c:v>
                </c:pt>
                <c:pt idx="248">
                  <c:v>2.5461728102090784</c:v>
                </c:pt>
                <c:pt idx="249">
                  <c:v>4.0446373078344271</c:v>
                </c:pt>
                <c:pt idx="250">
                  <c:v>3.3577250989998948</c:v>
                </c:pt>
                <c:pt idx="251">
                  <c:v>1.7364603382307051</c:v>
                </c:pt>
                <c:pt idx="252">
                  <c:v>3.899117357471011</c:v>
                </c:pt>
                <c:pt idx="253">
                  <c:v>6.0367186435640292</c:v>
                </c:pt>
                <c:pt idx="254">
                  <c:v>2.6244362806176995</c:v>
                </c:pt>
                <c:pt idx="255">
                  <c:v>3.181482152361641</c:v>
                </c:pt>
                <c:pt idx="256">
                  <c:v>3.181482152361641</c:v>
                </c:pt>
                <c:pt idx="257">
                  <c:v>7.0321252930543201</c:v>
                </c:pt>
                <c:pt idx="258">
                  <c:v>6.0445617121078863</c:v>
                </c:pt>
                <c:pt idx="259">
                  <c:v>2.8002120762669209</c:v>
                </c:pt>
                <c:pt idx="260">
                  <c:v>3.9665122327887503</c:v>
                </c:pt>
                <c:pt idx="263">
                  <c:v>3.5510566990312782</c:v>
                </c:pt>
                <c:pt idx="264">
                  <c:v>3.7688617091519001</c:v>
                </c:pt>
                <c:pt idx="265">
                  <c:v>1.5808043948559751</c:v>
                </c:pt>
                <c:pt idx="266">
                  <c:v>3.8254285047882584</c:v>
                </c:pt>
                <c:pt idx="267">
                  <c:v>3.5257265326284508</c:v>
                </c:pt>
                <c:pt idx="268">
                  <c:v>3.5580726476066933</c:v>
                </c:pt>
                <c:pt idx="269">
                  <c:v>2.7443564051561107</c:v>
                </c:pt>
                <c:pt idx="270">
                  <c:v>2.9422700389525791</c:v>
                </c:pt>
                <c:pt idx="271">
                  <c:v>2.3293343087051941</c:v>
                </c:pt>
              </c:numCache>
            </c:numRef>
          </c:yVal>
          <c:smooth val="1"/>
          <c:extLst>
            <c:ext xmlns:c16="http://schemas.microsoft.com/office/drawing/2014/chart" uri="{C3380CC4-5D6E-409C-BE32-E72D297353CC}">
              <c16:uniqueId val="{00000000-BBDB-4FF9-AA4B-26B9734932F3}"/>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42442045287482594"/>
                  <c:y val="-0.48269800202228053"/>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Stats'!$Y$5:$Y$12</c:f>
              <c:numCache>
                <c:formatCode>0.0</c:formatCode>
                <c:ptCount val="8"/>
                <c:pt idx="0">
                  <c:v>38</c:v>
                </c:pt>
                <c:pt idx="1">
                  <c:v>32</c:v>
                </c:pt>
                <c:pt idx="2">
                  <c:v>36</c:v>
                </c:pt>
                <c:pt idx="3">
                  <c:v>30</c:v>
                </c:pt>
                <c:pt idx="4">
                  <c:v>32</c:v>
                </c:pt>
                <c:pt idx="5">
                  <c:v>36</c:v>
                </c:pt>
                <c:pt idx="6">
                  <c:v>31</c:v>
                </c:pt>
                <c:pt idx="7">
                  <c:v>35</c:v>
                </c:pt>
              </c:numCache>
            </c:numRef>
          </c:xVal>
          <c:yVal>
            <c:numRef>
              <c:f>'Task 1 Converted AMI PDF Stats'!$AP$5:$AP$12</c:f>
              <c:numCache>
                <c:formatCode>0.000</c:formatCode>
                <c:ptCount val="8"/>
                <c:pt idx="0">
                  <c:v>4.1716225246399556</c:v>
                </c:pt>
                <c:pt idx="2">
                  <c:v>5.0480965102935098</c:v>
                </c:pt>
                <c:pt idx="3">
                  <c:v>4.0903452277194416</c:v>
                </c:pt>
                <c:pt idx="4">
                  <c:v>2.8757050295387216</c:v>
                </c:pt>
                <c:pt idx="6">
                  <c:v>4.065488452143291</c:v>
                </c:pt>
                <c:pt idx="7">
                  <c:v>5.0715397118328971</c:v>
                </c:pt>
              </c:numCache>
            </c:numRef>
          </c:yVal>
          <c:smooth val="1"/>
          <c:extLst>
            <c:ext xmlns:c16="http://schemas.microsoft.com/office/drawing/2014/chart" uri="{C3380CC4-5D6E-409C-BE32-E72D297353CC}">
              <c16:uniqueId val="{00000001-BBDB-4FF9-AA4B-26B9734932F3}"/>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4617312146535875"/>
                  <c:y val="-0.3337949852688267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Stats'!$Y$13:$Y$98</c:f>
              <c:numCache>
                <c:formatCode>0.0</c:formatCode>
                <c:ptCount val="86"/>
                <c:pt idx="0">
                  <c:v>50</c:v>
                </c:pt>
                <c:pt idx="1">
                  <c:v>40</c:v>
                </c:pt>
                <c:pt idx="2">
                  <c:v>37.5</c:v>
                </c:pt>
                <c:pt idx="3">
                  <c:v>37.5</c:v>
                </c:pt>
                <c:pt idx="4">
                  <c:v>38</c:v>
                </c:pt>
                <c:pt idx="5">
                  <c:v>30</c:v>
                </c:pt>
                <c:pt idx="6">
                  <c:v>32</c:v>
                </c:pt>
                <c:pt idx="7">
                  <c:v>30</c:v>
                </c:pt>
                <c:pt idx="8">
                  <c:v>30</c:v>
                </c:pt>
                <c:pt idx="9">
                  <c:v>30</c:v>
                </c:pt>
                <c:pt idx="10">
                  <c:v>28</c:v>
                </c:pt>
                <c:pt idx="11">
                  <c:v>25</c:v>
                </c:pt>
                <c:pt idx="12">
                  <c:v>37</c:v>
                </c:pt>
                <c:pt idx="13">
                  <c:v>37</c:v>
                </c:pt>
                <c:pt idx="14">
                  <c:v>29</c:v>
                </c:pt>
                <c:pt idx="15">
                  <c:v>32</c:v>
                </c:pt>
                <c:pt idx="16">
                  <c:v>32</c:v>
                </c:pt>
                <c:pt idx="17">
                  <c:v>31</c:v>
                </c:pt>
                <c:pt idx="18">
                  <c:v>45</c:v>
                </c:pt>
                <c:pt idx="19">
                  <c:v>37.5</c:v>
                </c:pt>
                <c:pt idx="20">
                  <c:v>23</c:v>
                </c:pt>
                <c:pt idx="21">
                  <c:v>42</c:v>
                </c:pt>
                <c:pt idx="22">
                  <c:v>42</c:v>
                </c:pt>
                <c:pt idx="23">
                  <c:v>42</c:v>
                </c:pt>
                <c:pt idx="24">
                  <c:v>35</c:v>
                </c:pt>
                <c:pt idx="25">
                  <c:v>35</c:v>
                </c:pt>
                <c:pt idx="26">
                  <c:v>35</c:v>
                </c:pt>
                <c:pt idx="27">
                  <c:v>35</c:v>
                </c:pt>
                <c:pt idx="28">
                  <c:v>32</c:v>
                </c:pt>
                <c:pt idx="29">
                  <c:v>35</c:v>
                </c:pt>
                <c:pt idx="30">
                  <c:v>35</c:v>
                </c:pt>
                <c:pt idx="31">
                  <c:v>28</c:v>
                </c:pt>
                <c:pt idx="32">
                  <c:v>36</c:v>
                </c:pt>
                <c:pt idx="33">
                  <c:v>16</c:v>
                </c:pt>
                <c:pt idx="34">
                  <c:v>34.5</c:v>
                </c:pt>
                <c:pt idx="35">
                  <c:v>32</c:v>
                </c:pt>
                <c:pt idx="36">
                  <c:v>40</c:v>
                </c:pt>
                <c:pt idx="37">
                  <c:v>37</c:v>
                </c:pt>
                <c:pt idx="38">
                  <c:v>35</c:v>
                </c:pt>
                <c:pt idx="39">
                  <c:v>36.5</c:v>
                </c:pt>
                <c:pt idx="40">
                  <c:v>40</c:v>
                </c:pt>
                <c:pt idx="41">
                  <c:v>41</c:v>
                </c:pt>
                <c:pt idx="42">
                  <c:v>40</c:v>
                </c:pt>
                <c:pt idx="43">
                  <c:v>40</c:v>
                </c:pt>
                <c:pt idx="44">
                  <c:v>38</c:v>
                </c:pt>
                <c:pt idx="45">
                  <c:v>40</c:v>
                </c:pt>
                <c:pt idx="46">
                  <c:v>40</c:v>
                </c:pt>
                <c:pt idx="47">
                  <c:v>36.5</c:v>
                </c:pt>
                <c:pt idx="48">
                  <c:v>31</c:v>
                </c:pt>
                <c:pt idx="49">
                  <c:v>31</c:v>
                </c:pt>
                <c:pt idx="50">
                  <c:v>36</c:v>
                </c:pt>
                <c:pt idx="51">
                  <c:v>36</c:v>
                </c:pt>
                <c:pt idx="52">
                  <c:v>38</c:v>
                </c:pt>
                <c:pt idx="53">
                  <c:v>40</c:v>
                </c:pt>
                <c:pt idx="54">
                  <c:v>40</c:v>
                </c:pt>
                <c:pt idx="55">
                  <c:v>27</c:v>
                </c:pt>
                <c:pt idx="56">
                  <c:v>41</c:v>
                </c:pt>
                <c:pt idx="57">
                  <c:v>38</c:v>
                </c:pt>
                <c:pt idx="58">
                  <c:v>37</c:v>
                </c:pt>
                <c:pt idx="59">
                  <c:v>37.5</c:v>
                </c:pt>
                <c:pt idx="60">
                  <c:v>39</c:v>
                </c:pt>
                <c:pt idx="61">
                  <c:v>32</c:v>
                </c:pt>
                <c:pt idx="62">
                  <c:v>31</c:v>
                </c:pt>
                <c:pt idx="63">
                  <c:v>30</c:v>
                </c:pt>
                <c:pt idx="64">
                  <c:v>40</c:v>
                </c:pt>
                <c:pt idx="65">
                  <c:v>30.5</c:v>
                </c:pt>
                <c:pt idx="66">
                  <c:v>26</c:v>
                </c:pt>
                <c:pt idx="67">
                  <c:v>38</c:v>
                </c:pt>
                <c:pt idx="68">
                  <c:v>38.5</c:v>
                </c:pt>
                <c:pt idx="69">
                  <c:v>38.5</c:v>
                </c:pt>
                <c:pt idx="70">
                  <c:v>36</c:v>
                </c:pt>
                <c:pt idx="71">
                  <c:v>30</c:v>
                </c:pt>
                <c:pt idx="72">
                  <c:v>38</c:v>
                </c:pt>
                <c:pt idx="73">
                  <c:v>40</c:v>
                </c:pt>
                <c:pt idx="74">
                  <c:v>32</c:v>
                </c:pt>
                <c:pt idx="75">
                  <c:v>38</c:v>
                </c:pt>
                <c:pt idx="76">
                  <c:v>38</c:v>
                </c:pt>
                <c:pt idx="77">
                  <c:v>32</c:v>
                </c:pt>
                <c:pt idx="78">
                  <c:v>30</c:v>
                </c:pt>
                <c:pt idx="79">
                  <c:v>28</c:v>
                </c:pt>
                <c:pt idx="80">
                  <c:v>28</c:v>
                </c:pt>
                <c:pt idx="81">
                  <c:v>28</c:v>
                </c:pt>
                <c:pt idx="82">
                  <c:v>31</c:v>
                </c:pt>
                <c:pt idx="83">
                  <c:v>31</c:v>
                </c:pt>
                <c:pt idx="84">
                  <c:v>38</c:v>
                </c:pt>
                <c:pt idx="85">
                  <c:v>34</c:v>
                </c:pt>
              </c:numCache>
            </c:numRef>
          </c:xVal>
          <c:yVal>
            <c:numRef>
              <c:f>'Task 1 Converted AMI PDF Stats'!$AP$13:$AP$98</c:f>
              <c:numCache>
                <c:formatCode>0.000</c:formatCode>
                <c:ptCount val="86"/>
                <c:pt idx="0">
                  <c:v>2.9840659158711662</c:v>
                </c:pt>
                <c:pt idx="1">
                  <c:v>9.0633372095238673</c:v>
                </c:pt>
                <c:pt idx="2">
                  <c:v>5.9918931739209942</c:v>
                </c:pt>
                <c:pt idx="3">
                  <c:v>5.9918931739209942</c:v>
                </c:pt>
                <c:pt idx="4">
                  <c:v>6.5615211976036445</c:v>
                </c:pt>
                <c:pt idx="5">
                  <c:v>2.9022551664228233</c:v>
                </c:pt>
                <c:pt idx="6">
                  <c:v>4.2706488745385904</c:v>
                </c:pt>
                <c:pt idx="7">
                  <c:v>4.0164370257343984</c:v>
                </c:pt>
                <c:pt idx="8">
                  <c:v>7.2239656784741966</c:v>
                </c:pt>
                <c:pt idx="9">
                  <c:v>3.9403449155313801</c:v>
                </c:pt>
                <c:pt idx="10">
                  <c:v>3.0462532816151615</c:v>
                </c:pt>
                <c:pt idx="11">
                  <c:v>2.4360636715705271</c:v>
                </c:pt>
                <c:pt idx="12">
                  <c:v>9.0966791445748321</c:v>
                </c:pt>
                <c:pt idx="13">
                  <c:v>6.2786170039827685</c:v>
                </c:pt>
                <c:pt idx="14">
                  <c:v>3.4562904980046514</c:v>
                </c:pt>
                <c:pt idx="15">
                  <c:v>3.9160006681804655</c:v>
                </c:pt>
                <c:pt idx="16">
                  <c:v>4.2981042607150064</c:v>
                </c:pt>
                <c:pt idx="17">
                  <c:v>4.2531085297238409</c:v>
                </c:pt>
                <c:pt idx="18">
                  <c:v>10.343369170020187</c:v>
                </c:pt>
                <c:pt idx="19">
                  <c:v>2.9728907269895695</c:v>
                </c:pt>
                <c:pt idx="20">
                  <c:v>1.7932842050401701</c:v>
                </c:pt>
                <c:pt idx="21">
                  <c:v>5.131937690950557</c:v>
                </c:pt>
                <c:pt idx="22">
                  <c:v>5.1331893830703006</c:v>
                </c:pt>
                <c:pt idx="23">
                  <c:v>5.131937690950557</c:v>
                </c:pt>
                <c:pt idx="24">
                  <c:v>3.5280889184006252</c:v>
                </c:pt>
                <c:pt idx="25">
                  <c:v>3.5280889184006252</c:v>
                </c:pt>
                <c:pt idx="26">
                  <c:v>3.5280889184006252</c:v>
                </c:pt>
                <c:pt idx="27">
                  <c:v>5.2756469807859823</c:v>
                </c:pt>
                <c:pt idx="28">
                  <c:v>4.4287345254985508</c:v>
                </c:pt>
                <c:pt idx="29">
                  <c:v>3.614139867629909</c:v>
                </c:pt>
                <c:pt idx="30">
                  <c:v>5.4043212973905188</c:v>
                </c:pt>
                <c:pt idx="31">
                  <c:v>3.9619354879047632</c:v>
                </c:pt>
                <c:pt idx="32">
                  <c:v>6.3154337139998464</c:v>
                </c:pt>
                <c:pt idx="33">
                  <c:v>2.3568850225343256</c:v>
                </c:pt>
                <c:pt idx="34">
                  <c:v>4.5781438569535311</c:v>
                </c:pt>
                <c:pt idx="35">
                  <c:v>3.6787560520997258</c:v>
                </c:pt>
                <c:pt idx="36">
                  <c:v>4.3752892577247486</c:v>
                </c:pt>
                <c:pt idx="37">
                  <c:v>4.2890433686349505</c:v>
                </c:pt>
                <c:pt idx="38">
                  <c:v>3.3061855016632116</c:v>
                </c:pt>
                <c:pt idx="39">
                  <c:v>4.0878010281126294</c:v>
                </c:pt>
                <c:pt idx="40">
                  <c:v>4.9581402909859378</c:v>
                </c:pt>
                <c:pt idx="41">
                  <c:v>5.3355736364944049</c:v>
                </c:pt>
                <c:pt idx="42">
                  <c:v>5.0323299167208644</c:v>
                </c:pt>
                <c:pt idx="43">
                  <c:v>5.0517597619591692</c:v>
                </c:pt>
                <c:pt idx="44">
                  <c:v>4.0935416233920661</c:v>
                </c:pt>
                <c:pt idx="45">
                  <c:v>7.3542911503469419</c:v>
                </c:pt>
                <c:pt idx="46">
                  <c:v>7.3538957473984059</c:v>
                </c:pt>
                <c:pt idx="47">
                  <c:v>3.6412345292431829</c:v>
                </c:pt>
                <c:pt idx="48">
                  <c:v>2.3970223980703822</c:v>
                </c:pt>
                <c:pt idx="49">
                  <c:v>2.3969850903287782</c:v>
                </c:pt>
                <c:pt idx="50">
                  <c:v>4.0759077962302914</c:v>
                </c:pt>
                <c:pt idx="51">
                  <c:v>4.0759077962302914</c:v>
                </c:pt>
                <c:pt idx="52">
                  <c:v>5.0746731517671728</c:v>
                </c:pt>
                <c:pt idx="53">
                  <c:v>3.5349337536159386</c:v>
                </c:pt>
                <c:pt idx="54">
                  <c:v>5.1498505225014464</c:v>
                </c:pt>
                <c:pt idx="55">
                  <c:v>3.5709102840465841</c:v>
                </c:pt>
                <c:pt idx="56">
                  <c:v>2.9966350842930867</c:v>
                </c:pt>
                <c:pt idx="57">
                  <c:v>4.5727732814171249</c:v>
                </c:pt>
                <c:pt idx="58">
                  <c:v>4.4323821093628357</c:v>
                </c:pt>
                <c:pt idx="59">
                  <c:v>4.6717581403154202</c:v>
                </c:pt>
                <c:pt idx="60">
                  <c:v>4.5573983746925517</c:v>
                </c:pt>
                <c:pt idx="61">
                  <c:v>3.4254220316666517</c:v>
                </c:pt>
                <c:pt idx="62">
                  <c:v>2.9741454052988496</c:v>
                </c:pt>
                <c:pt idx="63">
                  <c:v>3.6494522162329148</c:v>
                </c:pt>
                <c:pt idx="64">
                  <c:v>6.1194218869176193</c:v>
                </c:pt>
                <c:pt idx="65">
                  <c:v>8.7922159483459321</c:v>
                </c:pt>
                <c:pt idx="66">
                  <c:v>2.9473063326563644</c:v>
                </c:pt>
                <c:pt idx="67">
                  <c:v>4.7263161893523051</c:v>
                </c:pt>
                <c:pt idx="68">
                  <c:v>3.9936660770203178</c:v>
                </c:pt>
                <c:pt idx="69">
                  <c:v>4.2969824879332537</c:v>
                </c:pt>
                <c:pt idx="70">
                  <c:v>3.8453083293747876</c:v>
                </c:pt>
                <c:pt idx="71">
                  <c:v>4.8962702099022062</c:v>
                </c:pt>
                <c:pt idx="72">
                  <c:v>4.4102147988495082</c:v>
                </c:pt>
                <c:pt idx="73">
                  <c:v>6.0162266670164462</c:v>
                </c:pt>
                <c:pt idx="74">
                  <c:v>2.8079335471728979</c:v>
                </c:pt>
                <c:pt idx="75">
                  <c:v>5.0548600410531721</c:v>
                </c:pt>
                <c:pt idx="76">
                  <c:v>4.3255163614925847</c:v>
                </c:pt>
                <c:pt idx="77">
                  <c:v>3.6280515551562487</c:v>
                </c:pt>
                <c:pt idx="78">
                  <c:v>2.9231367153462631</c:v>
                </c:pt>
                <c:pt idx="79">
                  <c:v>7.7666267509710991</c:v>
                </c:pt>
                <c:pt idx="80">
                  <c:v>7.7666267509710991</c:v>
                </c:pt>
                <c:pt idx="81">
                  <c:v>7.7666267509710991</c:v>
                </c:pt>
                <c:pt idx="82">
                  <c:v>2.6391357526511356</c:v>
                </c:pt>
                <c:pt idx="83">
                  <c:v>2.9804928196743719</c:v>
                </c:pt>
                <c:pt idx="84">
                  <c:v>5.9474003932418551</c:v>
                </c:pt>
              </c:numCache>
            </c:numRef>
          </c:yVal>
          <c:smooth val="1"/>
          <c:extLst>
            <c:ext xmlns:c16="http://schemas.microsoft.com/office/drawing/2014/chart" uri="{C3380CC4-5D6E-409C-BE32-E72D297353CC}">
              <c16:uniqueId val="{00000002-BBDB-4FF9-AA4B-26B9734932F3}"/>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38951998149918649"/>
                  <c:y val="-0.31758290813710466"/>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Stats'!$Y$99:$Y$112</c:f>
              <c:numCache>
                <c:formatCode>0.0</c:formatCode>
                <c:ptCount val="14"/>
                <c:pt idx="0">
                  <c:v>36</c:v>
                </c:pt>
                <c:pt idx="1">
                  <c:v>32</c:v>
                </c:pt>
                <c:pt idx="2">
                  <c:v>35</c:v>
                </c:pt>
                <c:pt idx="3">
                  <c:v>40.5</c:v>
                </c:pt>
                <c:pt idx="4">
                  <c:v>37</c:v>
                </c:pt>
                <c:pt idx="5">
                  <c:v>30</c:v>
                </c:pt>
                <c:pt idx="6">
                  <c:v>32</c:v>
                </c:pt>
                <c:pt idx="7">
                  <c:v>30</c:v>
                </c:pt>
                <c:pt idx="8">
                  <c:v>40</c:v>
                </c:pt>
                <c:pt idx="9">
                  <c:v>30.5</c:v>
                </c:pt>
                <c:pt idx="10">
                  <c:v>40</c:v>
                </c:pt>
                <c:pt idx="11">
                  <c:v>32</c:v>
                </c:pt>
                <c:pt idx="12">
                  <c:v>32</c:v>
                </c:pt>
                <c:pt idx="13">
                  <c:v>37</c:v>
                </c:pt>
              </c:numCache>
            </c:numRef>
          </c:xVal>
          <c:yVal>
            <c:numRef>
              <c:f>'Task 1 Converted AMI PDF Stats'!$AP$99:$AP$112</c:f>
              <c:numCache>
                <c:formatCode>0.000</c:formatCode>
                <c:ptCount val="14"/>
                <c:pt idx="0">
                  <c:v>6.9470019927856113</c:v>
                </c:pt>
                <c:pt idx="1">
                  <c:v>4.7637178780651901</c:v>
                </c:pt>
                <c:pt idx="2">
                  <c:v>5.4043212973905188</c:v>
                </c:pt>
                <c:pt idx="3">
                  <c:v>5.1102989907230443</c:v>
                </c:pt>
                <c:pt idx="4">
                  <c:v>5.5349063254741582</c:v>
                </c:pt>
                <c:pt idx="5">
                  <c:v>3.4536979223994919</c:v>
                </c:pt>
                <c:pt idx="6">
                  <c:v>4.3118150947873977</c:v>
                </c:pt>
                <c:pt idx="7">
                  <c:v>3.2715001919995195</c:v>
                </c:pt>
                <c:pt idx="8">
                  <c:v>4.5737652323698397</c:v>
                </c:pt>
                <c:pt idx="9">
                  <c:v>8.7922159483459321</c:v>
                </c:pt>
                <c:pt idx="10">
                  <c:v>4.645338596545205</c:v>
                </c:pt>
                <c:pt idx="11">
                  <c:v>3.1513255808087179</c:v>
                </c:pt>
                <c:pt idx="12">
                  <c:v>3.0582320245391901</c:v>
                </c:pt>
                <c:pt idx="13">
                  <c:v>3.7120201881654871</c:v>
                </c:pt>
              </c:numCache>
            </c:numRef>
          </c:yVal>
          <c:smooth val="1"/>
          <c:extLst>
            <c:ext xmlns:c16="http://schemas.microsoft.com/office/drawing/2014/chart" uri="{C3380CC4-5D6E-409C-BE32-E72D297353CC}">
              <c16:uniqueId val="{00000003-BBDB-4FF9-AA4B-26B9734932F3}"/>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4284348772507014"/>
                  <c:y val="-0.11778493925442829"/>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Stats'!$Y$113:$Y$276</c:f>
              <c:numCache>
                <c:formatCode>0.0</c:formatCode>
                <c:ptCount val="164"/>
                <c:pt idx="0">
                  <c:v>23.8</c:v>
                </c:pt>
                <c:pt idx="1">
                  <c:v>29</c:v>
                </c:pt>
                <c:pt idx="2">
                  <c:v>22.5</c:v>
                </c:pt>
                <c:pt idx="3">
                  <c:v>30</c:v>
                </c:pt>
                <c:pt idx="4">
                  <c:v>30</c:v>
                </c:pt>
                <c:pt idx="5">
                  <c:v>26</c:v>
                </c:pt>
                <c:pt idx="6">
                  <c:v>23</c:v>
                </c:pt>
                <c:pt idx="7">
                  <c:v>22</c:v>
                </c:pt>
                <c:pt idx="9">
                  <c:v>38</c:v>
                </c:pt>
                <c:pt idx="10">
                  <c:v>45</c:v>
                </c:pt>
                <c:pt idx="11">
                  <c:v>18.7</c:v>
                </c:pt>
                <c:pt idx="12">
                  <c:v>50</c:v>
                </c:pt>
                <c:pt idx="13">
                  <c:v>23</c:v>
                </c:pt>
                <c:pt idx="14">
                  <c:v>22</c:v>
                </c:pt>
                <c:pt idx="15">
                  <c:v>23</c:v>
                </c:pt>
                <c:pt idx="16">
                  <c:v>18</c:v>
                </c:pt>
                <c:pt idx="17">
                  <c:v>20</c:v>
                </c:pt>
                <c:pt idx="18">
                  <c:v>25</c:v>
                </c:pt>
                <c:pt idx="19">
                  <c:v>30</c:v>
                </c:pt>
                <c:pt idx="20">
                  <c:v>23</c:v>
                </c:pt>
                <c:pt idx="21">
                  <c:v>27</c:v>
                </c:pt>
                <c:pt idx="22">
                  <c:v>25</c:v>
                </c:pt>
                <c:pt idx="23">
                  <c:v>22</c:v>
                </c:pt>
                <c:pt idx="24">
                  <c:v>25</c:v>
                </c:pt>
                <c:pt idx="25">
                  <c:v>18</c:v>
                </c:pt>
                <c:pt idx="26">
                  <c:v>27</c:v>
                </c:pt>
                <c:pt idx="27">
                  <c:v>32</c:v>
                </c:pt>
                <c:pt idx="28">
                  <c:v>32</c:v>
                </c:pt>
                <c:pt idx="29">
                  <c:v>18</c:v>
                </c:pt>
                <c:pt idx="30">
                  <c:v>23</c:v>
                </c:pt>
                <c:pt idx="31">
                  <c:v>26</c:v>
                </c:pt>
                <c:pt idx="32">
                  <c:v>30</c:v>
                </c:pt>
                <c:pt idx="33">
                  <c:v>26</c:v>
                </c:pt>
                <c:pt idx="34">
                  <c:v>45</c:v>
                </c:pt>
                <c:pt idx="35">
                  <c:v>21</c:v>
                </c:pt>
                <c:pt idx="36">
                  <c:v>27</c:v>
                </c:pt>
                <c:pt idx="37">
                  <c:v>14</c:v>
                </c:pt>
                <c:pt idx="38">
                  <c:v>18</c:v>
                </c:pt>
                <c:pt idx="39">
                  <c:v>20</c:v>
                </c:pt>
                <c:pt idx="40">
                  <c:v>20</c:v>
                </c:pt>
                <c:pt idx="41">
                  <c:v>30</c:v>
                </c:pt>
                <c:pt idx="42">
                  <c:v>25</c:v>
                </c:pt>
                <c:pt idx="43">
                  <c:v>25</c:v>
                </c:pt>
                <c:pt idx="44">
                  <c:v>22</c:v>
                </c:pt>
                <c:pt idx="45">
                  <c:v>27</c:v>
                </c:pt>
                <c:pt idx="46">
                  <c:v>30</c:v>
                </c:pt>
                <c:pt idx="47">
                  <c:v>17</c:v>
                </c:pt>
                <c:pt idx="48">
                  <c:v>25</c:v>
                </c:pt>
                <c:pt idx="49">
                  <c:v>30</c:v>
                </c:pt>
                <c:pt idx="50">
                  <c:v>24</c:v>
                </c:pt>
                <c:pt idx="51">
                  <c:v>30</c:v>
                </c:pt>
                <c:pt idx="52">
                  <c:v>28</c:v>
                </c:pt>
                <c:pt idx="53">
                  <c:v>30</c:v>
                </c:pt>
                <c:pt idx="54">
                  <c:v>24</c:v>
                </c:pt>
                <c:pt idx="55">
                  <c:v>25</c:v>
                </c:pt>
                <c:pt idx="56">
                  <c:v>35</c:v>
                </c:pt>
                <c:pt idx="57">
                  <c:v>24</c:v>
                </c:pt>
                <c:pt idx="58">
                  <c:v>32</c:v>
                </c:pt>
                <c:pt idx="59">
                  <c:v>23</c:v>
                </c:pt>
                <c:pt idx="60">
                  <c:v>42</c:v>
                </c:pt>
                <c:pt idx="61">
                  <c:v>28</c:v>
                </c:pt>
                <c:pt idx="62">
                  <c:v>22</c:v>
                </c:pt>
                <c:pt idx="63">
                  <c:v>32</c:v>
                </c:pt>
                <c:pt idx="64">
                  <c:v>21</c:v>
                </c:pt>
                <c:pt idx="65">
                  <c:v>21</c:v>
                </c:pt>
                <c:pt idx="66">
                  <c:v>23</c:v>
                </c:pt>
                <c:pt idx="67">
                  <c:v>32</c:v>
                </c:pt>
                <c:pt idx="68">
                  <c:v>32</c:v>
                </c:pt>
                <c:pt idx="69">
                  <c:v>25</c:v>
                </c:pt>
                <c:pt idx="70">
                  <c:v>40</c:v>
                </c:pt>
                <c:pt idx="71">
                  <c:v>22</c:v>
                </c:pt>
                <c:pt idx="72">
                  <c:v>21</c:v>
                </c:pt>
                <c:pt idx="73">
                  <c:v>26.3</c:v>
                </c:pt>
                <c:pt idx="74">
                  <c:v>24</c:v>
                </c:pt>
                <c:pt idx="75">
                  <c:v>28</c:v>
                </c:pt>
                <c:pt idx="76">
                  <c:v>11</c:v>
                </c:pt>
                <c:pt idx="77">
                  <c:v>29</c:v>
                </c:pt>
                <c:pt idx="78">
                  <c:v>20</c:v>
                </c:pt>
                <c:pt idx="79">
                  <c:v>20</c:v>
                </c:pt>
                <c:pt idx="80">
                  <c:v>18</c:v>
                </c:pt>
                <c:pt idx="81">
                  <c:v>29</c:v>
                </c:pt>
                <c:pt idx="82">
                  <c:v>24</c:v>
                </c:pt>
                <c:pt idx="83">
                  <c:v>28</c:v>
                </c:pt>
                <c:pt idx="84">
                  <c:v>22</c:v>
                </c:pt>
                <c:pt idx="85">
                  <c:v>28</c:v>
                </c:pt>
                <c:pt idx="86">
                  <c:v>22</c:v>
                </c:pt>
                <c:pt idx="87">
                  <c:v>23</c:v>
                </c:pt>
                <c:pt idx="88">
                  <c:v>33</c:v>
                </c:pt>
                <c:pt idx="89">
                  <c:v>33</c:v>
                </c:pt>
                <c:pt idx="90">
                  <c:v>25</c:v>
                </c:pt>
                <c:pt idx="91">
                  <c:v>27</c:v>
                </c:pt>
                <c:pt idx="92">
                  <c:v>25</c:v>
                </c:pt>
                <c:pt idx="93">
                  <c:v>28</c:v>
                </c:pt>
                <c:pt idx="94">
                  <c:v>24</c:v>
                </c:pt>
                <c:pt idx="95">
                  <c:v>27</c:v>
                </c:pt>
                <c:pt idx="96">
                  <c:v>35</c:v>
                </c:pt>
                <c:pt idx="97">
                  <c:v>26</c:v>
                </c:pt>
                <c:pt idx="98">
                  <c:v>32</c:v>
                </c:pt>
                <c:pt idx="99">
                  <c:v>27</c:v>
                </c:pt>
                <c:pt idx="100">
                  <c:v>29</c:v>
                </c:pt>
                <c:pt idx="101">
                  <c:v>38</c:v>
                </c:pt>
                <c:pt idx="102">
                  <c:v>30</c:v>
                </c:pt>
                <c:pt idx="103">
                  <c:v>33</c:v>
                </c:pt>
                <c:pt idx="104">
                  <c:v>30</c:v>
                </c:pt>
                <c:pt idx="105">
                  <c:v>37</c:v>
                </c:pt>
                <c:pt idx="106">
                  <c:v>30</c:v>
                </c:pt>
                <c:pt idx="107">
                  <c:v>40</c:v>
                </c:pt>
                <c:pt idx="108">
                  <c:v>28</c:v>
                </c:pt>
                <c:pt idx="109">
                  <c:v>34.5</c:v>
                </c:pt>
                <c:pt idx="110">
                  <c:v>30</c:v>
                </c:pt>
                <c:pt idx="111">
                  <c:v>30</c:v>
                </c:pt>
                <c:pt idx="112">
                  <c:v>23</c:v>
                </c:pt>
                <c:pt idx="113">
                  <c:v>20</c:v>
                </c:pt>
                <c:pt idx="114">
                  <c:v>41</c:v>
                </c:pt>
                <c:pt idx="115">
                  <c:v>35</c:v>
                </c:pt>
                <c:pt idx="116">
                  <c:v>30</c:v>
                </c:pt>
                <c:pt idx="117">
                  <c:v>22</c:v>
                </c:pt>
                <c:pt idx="118">
                  <c:v>26</c:v>
                </c:pt>
                <c:pt idx="119">
                  <c:v>25</c:v>
                </c:pt>
                <c:pt idx="120">
                  <c:v>22</c:v>
                </c:pt>
                <c:pt idx="121">
                  <c:v>27.5</c:v>
                </c:pt>
                <c:pt idx="122">
                  <c:v>20</c:v>
                </c:pt>
                <c:pt idx="123">
                  <c:v>23</c:v>
                </c:pt>
                <c:pt idx="124">
                  <c:v>16</c:v>
                </c:pt>
                <c:pt idx="125">
                  <c:v>15</c:v>
                </c:pt>
                <c:pt idx="126">
                  <c:v>35</c:v>
                </c:pt>
                <c:pt idx="127">
                  <c:v>23</c:v>
                </c:pt>
                <c:pt idx="128">
                  <c:v>24</c:v>
                </c:pt>
                <c:pt idx="129">
                  <c:v>30.5</c:v>
                </c:pt>
                <c:pt idx="130">
                  <c:v>30.5</c:v>
                </c:pt>
                <c:pt idx="131">
                  <c:v>28</c:v>
                </c:pt>
                <c:pt idx="132">
                  <c:v>35</c:v>
                </c:pt>
                <c:pt idx="133">
                  <c:v>35</c:v>
                </c:pt>
                <c:pt idx="134">
                  <c:v>20.6</c:v>
                </c:pt>
                <c:pt idx="135">
                  <c:v>20</c:v>
                </c:pt>
                <c:pt idx="136">
                  <c:v>25</c:v>
                </c:pt>
                <c:pt idx="137">
                  <c:v>23</c:v>
                </c:pt>
                <c:pt idx="138">
                  <c:v>40</c:v>
                </c:pt>
                <c:pt idx="139">
                  <c:v>20</c:v>
                </c:pt>
                <c:pt idx="140">
                  <c:v>24.5</c:v>
                </c:pt>
                <c:pt idx="141">
                  <c:v>23</c:v>
                </c:pt>
                <c:pt idx="142">
                  <c:v>28</c:v>
                </c:pt>
                <c:pt idx="143">
                  <c:v>22</c:v>
                </c:pt>
                <c:pt idx="144">
                  <c:v>23</c:v>
                </c:pt>
                <c:pt idx="145">
                  <c:v>42</c:v>
                </c:pt>
                <c:pt idx="146">
                  <c:v>24</c:v>
                </c:pt>
                <c:pt idx="147">
                  <c:v>27</c:v>
                </c:pt>
                <c:pt idx="148">
                  <c:v>27</c:v>
                </c:pt>
                <c:pt idx="149">
                  <c:v>30</c:v>
                </c:pt>
                <c:pt idx="150">
                  <c:v>26</c:v>
                </c:pt>
                <c:pt idx="151">
                  <c:v>24</c:v>
                </c:pt>
                <c:pt idx="152">
                  <c:v>30</c:v>
                </c:pt>
                <c:pt idx="153">
                  <c:v>22</c:v>
                </c:pt>
                <c:pt idx="154">
                  <c:v>31</c:v>
                </c:pt>
                <c:pt idx="155">
                  <c:v>28</c:v>
                </c:pt>
                <c:pt idx="156">
                  <c:v>38</c:v>
                </c:pt>
                <c:pt idx="157">
                  <c:v>20</c:v>
                </c:pt>
                <c:pt idx="158">
                  <c:v>15</c:v>
                </c:pt>
                <c:pt idx="159">
                  <c:v>15</c:v>
                </c:pt>
                <c:pt idx="160">
                  <c:v>15</c:v>
                </c:pt>
                <c:pt idx="161">
                  <c:v>24</c:v>
                </c:pt>
                <c:pt idx="162">
                  <c:v>25</c:v>
                </c:pt>
                <c:pt idx="163">
                  <c:v>24</c:v>
                </c:pt>
              </c:numCache>
            </c:numRef>
          </c:xVal>
          <c:yVal>
            <c:numRef>
              <c:f>'Task 1 Converted AMI PDF Stats'!$AP$113:$AP$276</c:f>
              <c:numCache>
                <c:formatCode>0.000</c:formatCode>
                <c:ptCount val="164"/>
                <c:pt idx="3">
                  <c:v>3.5597193589146765</c:v>
                </c:pt>
                <c:pt idx="4">
                  <c:v>3.7080409988694547</c:v>
                </c:pt>
                <c:pt idx="5">
                  <c:v>1.7895699074557889</c:v>
                </c:pt>
                <c:pt idx="6">
                  <c:v>1.6019596523971911</c:v>
                </c:pt>
                <c:pt idx="7">
                  <c:v>3.17518302887725</c:v>
                </c:pt>
                <c:pt idx="9">
                  <c:v>4.5658733491680739</c:v>
                </c:pt>
                <c:pt idx="10">
                  <c:v>8.6012071027133814</c:v>
                </c:pt>
                <c:pt idx="11">
                  <c:v>3.4730059746431201</c:v>
                </c:pt>
                <c:pt idx="12">
                  <c:v>12.205487587219213</c:v>
                </c:pt>
                <c:pt idx="13">
                  <c:v>3.6883915508412577</c:v>
                </c:pt>
                <c:pt idx="14">
                  <c:v>3.2768187504638311</c:v>
                </c:pt>
                <c:pt idx="15">
                  <c:v>3.8001609917758414</c:v>
                </c:pt>
                <c:pt idx="17">
                  <c:v>1.334370704994293</c:v>
                </c:pt>
                <c:pt idx="18">
                  <c:v>3.2328099876611787</c:v>
                </c:pt>
                <c:pt idx="19">
                  <c:v>3.2326511272195249</c:v>
                </c:pt>
                <c:pt idx="20">
                  <c:v>2.647267824201244</c:v>
                </c:pt>
                <c:pt idx="21">
                  <c:v>4.0800002332850767</c:v>
                </c:pt>
                <c:pt idx="22">
                  <c:v>3.753437114663531</c:v>
                </c:pt>
                <c:pt idx="23">
                  <c:v>4.3069851044773317</c:v>
                </c:pt>
                <c:pt idx="24">
                  <c:v>3.7224667661815141</c:v>
                </c:pt>
                <c:pt idx="25">
                  <c:v>1.2732312339240626</c:v>
                </c:pt>
                <c:pt idx="26">
                  <c:v>4.2999899099462704</c:v>
                </c:pt>
                <c:pt idx="27">
                  <c:v>4.768480225952767</c:v>
                </c:pt>
                <c:pt idx="28">
                  <c:v>5.4148350480639085</c:v>
                </c:pt>
                <c:pt idx="30">
                  <c:v>6.1901364004168373</c:v>
                </c:pt>
                <c:pt idx="31">
                  <c:v>3.0523009239283598</c:v>
                </c:pt>
                <c:pt idx="32">
                  <c:v>7.0577915704908198</c:v>
                </c:pt>
                <c:pt idx="33">
                  <c:v>3.9698915653784006</c:v>
                </c:pt>
                <c:pt idx="34">
                  <c:v>7.502377284784953</c:v>
                </c:pt>
                <c:pt idx="35">
                  <c:v>2.0891508799367688</c:v>
                </c:pt>
                <c:pt idx="36">
                  <c:v>3.1967959167508133</c:v>
                </c:pt>
                <c:pt idx="37">
                  <c:v>1.3047362223414447</c:v>
                </c:pt>
                <c:pt idx="38">
                  <c:v>0.66303915310387251</c:v>
                </c:pt>
                <c:pt idx="39">
                  <c:v>2.4366769395547965</c:v>
                </c:pt>
                <c:pt idx="40">
                  <c:v>2.172231380223268</c:v>
                </c:pt>
                <c:pt idx="41">
                  <c:v>3.2748320577594039</c:v>
                </c:pt>
                <c:pt idx="42">
                  <c:v>3.5772496560722358</c:v>
                </c:pt>
                <c:pt idx="43">
                  <c:v>7.5596157344511399</c:v>
                </c:pt>
                <c:pt idx="44">
                  <c:v>2.4441795286304751</c:v>
                </c:pt>
                <c:pt idx="45">
                  <c:v>4.941303918300548</c:v>
                </c:pt>
                <c:pt idx="46">
                  <c:v>3.6025835530439863</c:v>
                </c:pt>
                <c:pt idx="47">
                  <c:v>3.0067371174092408</c:v>
                </c:pt>
                <c:pt idx="48">
                  <c:v>5.7043066525044877</c:v>
                </c:pt>
                <c:pt idx="49">
                  <c:v>3.2967932830361719</c:v>
                </c:pt>
                <c:pt idx="50">
                  <c:v>3.0401396984213127</c:v>
                </c:pt>
                <c:pt idx="51">
                  <c:v>4.8043995067693199</c:v>
                </c:pt>
                <c:pt idx="52">
                  <c:v>2.5095018448837507</c:v>
                </c:pt>
                <c:pt idx="53">
                  <c:v>6.9122780188179487</c:v>
                </c:pt>
                <c:pt idx="54">
                  <c:v>2.014890876533181</c:v>
                </c:pt>
                <c:pt idx="55">
                  <c:v>1.9936355029013058</c:v>
                </c:pt>
                <c:pt idx="56">
                  <c:v>5.0371010588411824</c:v>
                </c:pt>
                <c:pt idx="57">
                  <c:v>2.6667673365880336</c:v>
                </c:pt>
                <c:pt idx="58">
                  <c:v>4.3641326557500477</c:v>
                </c:pt>
                <c:pt idx="59">
                  <c:v>2.0624582347350282</c:v>
                </c:pt>
                <c:pt idx="60">
                  <c:v>5.0038123909740584</c:v>
                </c:pt>
                <c:pt idx="61">
                  <c:v>3.1804216266542529</c:v>
                </c:pt>
                <c:pt idx="62">
                  <c:v>1.3802826527009193</c:v>
                </c:pt>
                <c:pt idx="63">
                  <c:v>3.8262471625278152</c:v>
                </c:pt>
                <c:pt idx="64">
                  <c:v>4.9960276536045365</c:v>
                </c:pt>
                <c:pt idx="65">
                  <c:v>2.0580227550359593</c:v>
                </c:pt>
                <c:pt idx="66">
                  <c:v>2.0965978969128205</c:v>
                </c:pt>
                <c:pt idx="67">
                  <c:v>3.1297411590223567</c:v>
                </c:pt>
                <c:pt idx="68">
                  <c:v>3.8391491550674242</c:v>
                </c:pt>
                <c:pt idx="69">
                  <c:v>1.414255822494787</c:v>
                </c:pt>
                <c:pt idx="70">
                  <c:v>10.874448797714557</c:v>
                </c:pt>
                <c:pt idx="71">
                  <c:v>1.3216799522912031</c:v>
                </c:pt>
                <c:pt idx="72">
                  <c:v>1.91613888232198</c:v>
                </c:pt>
                <c:pt idx="73">
                  <c:v>2.8453667349760323</c:v>
                </c:pt>
                <c:pt idx="74">
                  <c:v>3.6860890423776391</c:v>
                </c:pt>
                <c:pt idx="75">
                  <c:v>3.351018955287048</c:v>
                </c:pt>
                <c:pt idx="76">
                  <c:v>3.8918772805848745</c:v>
                </c:pt>
                <c:pt idx="77">
                  <c:v>3.7607389986182236</c:v>
                </c:pt>
                <c:pt idx="78">
                  <c:v>2.7126603415728536</c:v>
                </c:pt>
                <c:pt idx="79">
                  <c:v>1.7385686734626018</c:v>
                </c:pt>
                <c:pt idx="80">
                  <c:v>1.2908872400459817</c:v>
                </c:pt>
                <c:pt idx="81">
                  <c:v>3.640881693397533</c:v>
                </c:pt>
                <c:pt idx="82">
                  <c:v>2.1411189339462195</c:v>
                </c:pt>
                <c:pt idx="83">
                  <c:v>2.5031096135704765</c:v>
                </c:pt>
                <c:pt idx="84">
                  <c:v>0.87210696800481036</c:v>
                </c:pt>
                <c:pt idx="85">
                  <c:v>3.4021138211382111</c:v>
                </c:pt>
                <c:pt idx="86">
                  <c:v>1.8468147557748922</c:v>
                </c:pt>
                <c:pt idx="87">
                  <c:v>1.7448170643634087</c:v>
                </c:pt>
                <c:pt idx="88">
                  <c:v>6.1658010055768706</c:v>
                </c:pt>
                <c:pt idx="89">
                  <c:v>4.8278726780300305</c:v>
                </c:pt>
                <c:pt idx="90">
                  <c:v>2.9702719920111225</c:v>
                </c:pt>
                <c:pt idx="91">
                  <c:v>6.7699525636531881</c:v>
                </c:pt>
                <c:pt idx="92">
                  <c:v>3.192945550729827</c:v>
                </c:pt>
                <c:pt idx="93">
                  <c:v>4.0331433671340156</c:v>
                </c:pt>
                <c:pt idx="94">
                  <c:v>3.5239294504337093</c:v>
                </c:pt>
                <c:pt idx="95">
                  <c:v>3.0761443962171637</c:v>
                </c:pt>
                <c:pt idx="96">
                  <c:v>5.0410663080577294</c:v>
                </c:pt>
                <c:pt idx="97">
                  <c:v>3.526272406421171</c:v>
                </c:pt>
                <c:pt idx="98">
                  <c:v>4.0680818546145767</c:v>
                </c:pt>
                <c:pt idx="99">
                  <c:v>3.8196115595881102</c:v>
                </c:pt>
                <c:pt idx="100">
                  <c:v>6.098779866345784</c:v>
                </c:pt>
                <c:pt idx="101">
                  <c:v>4.9272166946546117</c:v>
                </c:pt>
                <c:pt idx="102">
                  <c:v>3.8755406932243406</c:v>
                </c:pt>
                <c:pt idx="103">
                  <c:v>5.324730248719824</c:v>
                </c:pt>
                <c:pt idx="104">
                  <c:v>4.0893752399993994</c:v>
                </c:pt>
                <c:pt idx="105">
                  <c:v>3.6288362610408313</c:v>
                </c:pt>
                <c:pt idx="106">
                  <c:v>4.7081825334382374</c:v>
                </c:pt>
                <c:pt idx="107">
                  <c:v>4.3762440034906067</c:v>
                </c:pt>
                <c:pt idx="108">
                  <c:v>6.2888247842837588</c:v>
                </c:pt>
                <c:pt idx="109">
                  <c:v>4.6457181272409063</c:v>
                </c:pt>
                <c:pt idx="110">
                  <c:v>4.7922037464453782</c:v>
                </c:pt>
                <c:pt idx="112">
                  <c:v>1.9637269830867807</c:v>
                </c:pt>
                <c:pt idx="113">
                  <c:v>1.6841509140577233</c:v>
                </c:pt>
                <c:pt idx="114">
                  <c:v>5.3358605186614172</c:v>
                </c:pt>
                <c:pt idx="115">
                  <c:v>3.9382529475035901</c:v>
                </c:pt>
                <c:pt idx="116">
                  <c:v>4.1582024043036645</c:v>
                </c:pt>
                <c:pt idx="118">
                  <c:v>3.186727474610541</c:v>
                </c:pt>
                <c:pt idx="119">
                  <c:v>2.3813547274579232</c:v>
                </c:pt>
                <c:pt idx="120">
                  <c:v>1.5644431457070753</c:v>
                </c:pt>
                <c:pt idx="121">
                  <c:v>6.0540313253542504</c:v>
                </c:pt>
                <c:pt idx="122">
                  <c:v>2.6368291547516121</c:v>
                </c:pt>
                <c:pt idx="123">
                  <c:v>3.7392081794944612</c:v>
                </c:pt>
                <c:pt idx="124">
                  <c:v>1.3679107051455262</c:v>
                </c:pt>
                <c:pt idx="125">
                  <c:v>2.3867021816733849</c:v>
                </c:pt>
                <c:pt idx="126">
                  <c:v>3.8284988623712031</c:v>
                </c:pt>
                <c:pt idx="127">
                  <c:v>2.7429837224069318</c:v>
                </c:pt>
                <c:pt idx="128">
                  <c:v>2.4098971711362793</c:v>
                </c:pt>
                <c:pt idx="129">
                  <c:v>8.4109208689533776</c:v>
                </c:pt>
                <c:pt idx="130">
                  <c:v>8.4109208689533776</c:v>
                </c:pt>
                <c:pt idx="131">
                  <c:v>2.4111183173083792</c:v>
                </c:pt>
                <c:pt idx="132">
                  <c:v>2.8765771165466472</c:v>
                </c:pt>
                <c:pt idx="133">
                  <c:v>2.840953172573661</c:v>
                </c:pt>
                <c:pt idx="134">
                  <c:v>2.9054237778841996</c:v>
                </c:pt>
                <c:pt idx="135">
                  <c:v>2.4683844983141201</c:v>
                </c:pt>
                <c:pt idx="136">
                  <c:v>2.1254308410584253</c:v>
                </c:pt>
                <c:pt idx="137">
                  <c:v>2.2267903881869668</c:v>
                </c:pt>
                <c:pt idx="138">
                  <c:v>5.5009144429347652</c:v>
                </c:pt>
                <c:pt idx="139">
                  <c:v>1.9840497362888907</c:v>
                </c:pt>
                <c:pt idx="140">
                  <c:v>2.5461728102090784</c:v>
                </c:pt>
                <c:pt idx="141">
                  <c:v>4.0446373078344271</c:v>
                </c:pt>
                <c:pt idx="142">
                  <c:v>3.3577250989998948</c:v>
                </c:pt>
                <c:pt idx="143">
                  <c:v>1.7364603382307051</c:v>
                </c:pt>
                <c:pt idx="144">
                  <c:v>3.899117357471011</c:v>
                </c:pt>
                <c:pt idx="145">
                  <c:v>6.0367186435640292</c:v>
                </c:pt>
                <c:pt idx="146">
                  <c:v>2.6244362806176995</c:v>
                </c:pt>
                <c:pt idx="147">
                  <c:v>3.181482152361641</c:v>
                </c:pt>
                <c:pt idx="148">
                  <c:v>3.181482152361641</c:v>
                </c:pt>
                <c:pt idx="149">
                  <c:v>7.0321252930543201</c:v>
                </c:pt>
                <c:pt idx="150">
                  <c:v>6.0445617121078863</c:v>
                </c:pt>
                <c:pt idx="151">
                  <c:v>2.8002120762669209</c:v>
                </c:pt>
                <c:pt idx="152">
                  <c:v>3.9665122327887503</c:v>
                </c:pt>
                <c:pt idx="155">
                  <c:v>3.5510566990312782</c:v>
                </c:pt>
                <c:pt idx="156">
                  <c:v>3.7688617091519001</c:v>
                </c:pt>
                <c:pt idx="157">
                  <c:v>1.5808043948559751</c:v>
                </c:pt>
                <c:pt idx="158">
                  <c:v>3.8254285047882584</c:v>
                </c:pt>
                <c:pt idx="159">
                  <c:v>3.5257265326284508</c:v>
                </c:pt>
                <c:pt idx="160">
                  <c:v>3.5580726476066933</c:v>
                </c:pt>
                <c:pt idx="161">
                  <c:v>2.7443564051561107</c:v>
                </c:pt>
                <c:pt idx="162">
                  <c:v>2.9422700389525791</c:v>
                </c:pt>
                <c:pt idx="163">
                  <c:v>2.3293343087051941</c:v>
                </c:pt>
              </c:numCache>
            </c:numRef>
          </c:yVal>
          <c:smooth val="1"/>
          <c:extLst>
            <c:ext xmlns:c16="http://schemas.microsoft.com/office/drawing/2014/chart" uri="{C3380CC4-5D6E-409C-BE32-E72D297353CC}">
              <c16:uniqueId val="{00000004-BBDB-4FF9-AA4B-26B9734932F3}"/>
            </c:ext>
          </c:extLst>
        </c:ser>
        <c:ser>
          <c:idx val="5"/>
          <c:order val="5"/>
          <c:tx>
            <c:v>FRC</c:v>
          </c:tx>
          <c:spPr>
            <a:ln w="19050">
              <a:noFill/>
            </a:ln>
          </c:spPr>
          <c:marker>
            <c:symbol val="plus"/>
            <c:size val="5"/>
            <c:spPr>
              <a:solidFill>
                <a:srgbClr val="800000"/>
              </a:solidFill>
              <a:ln>
                <a:solidFill>
                  <a:srgbClr val="FF8080"/>
                </a:solidFill>
                <a:prstDash val="solid"/>
              </a:ln>
            </c:spPr>
          </c:marker>
          <c:xVal>
            <c:numRef>
              <c:f>'Task 1 Converted AMI PDF Stats'!$Y$283</c:f>
              <c:numCache>
                <c:formatCode>0.0</c:formatCode>
                <c:ptCount val="1"/>
                <c:pt idx="0">
                  <c:v>31</c:v>
                </c:pt>
              </c:numCache>
            </c:numRef>
          </c:xVal>
          <c:yVal>
            <c:numRef>
              <c:f>'Task 1 Converted AMI PDF Stats'!$AP$283</c:f>
              <c:numCache>
                <c:formatCode>0.000</c:formatCode>
                <c:ptCount val="1"/>
                <c:pt idx="0">
                  <c:v>3.0165924785224685</c:v>
                </c:pt>
              </c:numCache>
            </c:numRef>
          </c:yVal>
          <c:smooth val="1"/>
          <c:extLst>
            <c:ext xmlns:c16="http://schemas.microsoft.com/office/drawing/2014/chart" uri="{C3380CC4-5D6E-409C-BE32-E72D297353CC}">
              <c16:uniqueId val="{00000005-BBDB-4FF9-AA4B-26B9734932F3}"/>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Stats'!$Y$284:$Y$294</c:f>
              <c:numCache>
                <c:formatCode>0.0</c:formatCode>
                <c:ptCount val="11"/>
                <c:pt idx="0">
                  <c:v>23.8</c:v>
                </c:pt>
                <c:pt idx="1">
                  <c:v>29</c:v>
                </c:pt>
                <c:pt idx="2">
                  <c:v>22.5</c:v>
                </c:pt>
                <c:pt idx="3">
                  <c:v>25</c:v>
                </c:pt>
                <c:pt idx="4">
                  <c:v>18</c:v>
                </c:pt>
                <c:pt idx="5">
                  <c:v>18</c:v>
                </c:pt>
                <c:pt idx="6">
                  <c:v>30</c:v>
                </c:pt>
                <c:pt idx="7">
                  <c:v>27.5</c:v>
                </c:pt>
                <c:pt idx="8">
                  <c:v>35</c:v>
                </c:pt>
                <c:pt idx="9">
                  <c:v>29</c:v>
                </c:pt>
                <c:pt idx="10">
                  <c:v>28</c:v>
                </c:pt>
              </c:numCache>
            </c:numRef>
          </c:xVal>
          <c:yVal>
            <c:numRef>
              <c:f>'Task 1 Converted AMI PDF Stats'!$AP$284:$AP$294</c:f>
              <c:numCache>
                <c:formatCode>0.000</c:formatCode>
                <c:ptCount val="11"/>
                <c:pt idx="3">
                  <c:v>2.3813547274579232</c:v>
                </c:pt>
                <c:pt idx="6">
                  <c:v>4.7922037464453782</c:v>
                </c:pt>
                <c:pt idx="7">
                  <c:v>6.0540313253542504</c:v>
                </c:pt>
                <c:pt idx="8">
                  <c:v>3.8284988623712031</c:v>
                </c:pt>
                <c:pt idx="9">
                  <c:v>3.640881693397533</c:v>
                </c:pt>
                <c:pt idx="10">
                  <c:v>3.4021138211382111</c:v>
                </c:pt>
              </c:numCache>
            </c:numRef>
          </c:yVal>
          <c:smooth val="1"/>
          <c:extLst>
            <c:ext xmlns:c16="http://schemas.microsoft.com/office/drawing/2014/chart" uri="{C3380CC4-5D6E-409C-BE32-E72D297353CC}">
              <c16:uniqueId val="{00000006-BBDB-4FF9-AA4B-26B9734932F3}"/>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Stats'!$Y$295:$Y$298</c:f>
              <c:numCache>
                <c:formatCode>0.0</c:formatCode>
                <c:ptCount val="4"/>
                <c:pt idx="0">
                  <c:v>40</c:v>
                </c:pt>
                <c:pt idx="1">
                  <c:v>30</c:v>
                </c:pt>
                <c:pt idx="2">
                  <c:v>32</c:v>
                </c:pt>
                <c:pt idx="3">
                  <c:v>30</c:v>
                </c:pt>
              </c:numCache>
            </c:numRef>
          </c:xVal>
          <c:yVal>
            <c:numRef>
              <c:f>'Task 1 Converted AMI PDF Stats'!$AP$295:$AP$298</c:f>
              <c:numCache>
                <c:formatCode>0.000</c:formatCode>
                <c:ptCount val="4"/>
                <c:pt idx="0">
                  <c:v>4.5737652323698397</c:v>
                </c:pt>
                <c:pt idx="1">
                  <c:v>3.4536979223994919</c:v>
                </c:pt>
                <c:pt idx="2">
                  <c:v>4.3118150947873977</c:v>
                </c:pt>
                <c:pt idx="3">
                  <c:v>3.2715001919995195</c:v>
                </c:pt>
              </c:numCache>
            </c:numRef>
          </c:yVal>
          <c:smooth val="1"/>
          <c:extLst>
            <c:ext xmlns:c16="http://schemas.microsoft.com/office/drawing/2014/chart" uri="{C3380CC4-5D6E-409C-BE32-E72D297353CC}">
              <c16:uniqueId val="{00000007-BBDB-4FF9-AA4B-26B9734932F3}"/>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Stats'!$Y$299:$Y$300</c:f>
              <c:numCache>
                <c:formatCode>0.0</c:formatCode>
                <c:ptCount val="2"/>
                <c:pt idx="0">
                  <c:v>40</c:v>
                </c:pt>
              </c:numCache>
            </c:numRef>
          </c:xVal>
          <c:yVal>
            <c:numRef>
              <c:f>'Task 1 Converted AMI PDF Stats'!$AP$299:$AP$300</c:f>
              <c:numCache>
                <c:formatCode>0.000</c:formatCode>
                <c:ptCount val="2"/>
                <c:pt idx="0">
                  <c:v>7.3538957473984059</c:v>
                </c:pt>
              </c:numCache>
            </c:numRef>
          </c:yVal>
          <c:smooth val="1"/>
          <c:extLst>
            <c:ext xmlns:c16="http://schemas.microsoft.com/office/drawing/2014/chart" uri="{C3380CC4-5D6E-409C-BE32-E72D297353CC}">
              <c16:uniqueId val="{00000008-BBDB-4FF9-AA4B-26B9734932F3}"/>
            </c:ext>
          </c:extLst>
        </c:ser>
        <c:dLbls>
          <c:showLegendKey val="0"/>
          <c:showVal val="0"/>
          <c:showCatName val="0"/>
          <c:showSerName val="0"/>
          <c:showPercent val="0"/>
          <c:showBubbleSize val="0"/>
        </c:dLbls>
        <c:axId val="570095176"/>
        <c:axId val="1"/>
      </c:scatterChart>
      <c:valAx>
        <c:axId val="570095176"/>
        <c:scaling>
          <c:orientation val="minMax"/>
          <c:min val="1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Speed (kts)</a:t>
                </a:r>
              </a:p>
            </c:rich>
          </c:tx>
          <c:layout>
            <c:manualLayout>
              <c:xMode val="edge"/>
              <c:yMode val="edge"/>
              <c:x val="0.37402885682574916"/>
              <c:y val="0.94127243066884181"/>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Mf</a:t>
                </a:r>
              </a:p>
            </c:rich>
          </c:tx>
          <c:layout>
            <c:manualLayout>
              <c:xMode val="edge"/>
              <c:yMode val="edge"/>
              <c:x val="1.4428412874583796E-2"/>
              <c:y val="0.46492659053833607"/>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95176"/>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702552719200888"/>
          <c:y val="0.46818923327895595"/>
          <c:w val="0.21309655937846839"/>
          <c:h val="0.42740619902120719"/>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Admiralty Coefficient vs Max Speed</a:t>
            </a:r>
          </a:p>
        </c:rich>
      </c:tx>
      <c:layout>
        <c:manualLayout>
          <c:xMode val="edge"/>
          <c:yMode val="edge"/>
          <c:x val="0.34739178690344064"/>
          <c:y val="1.9575856443719411E-2"/>
        </c:manualLayout>
      </c:layout>
      <c:overlay val="0"/>
      <c:spPr>
        <a:noFill/>
        <a:ln w="25400">
          <a:noFill/>
        </a:ln>
      </c:spPr>
    </c:title>
    <c:autoTitleDeleted val="0"/>
    <c:plotArea>
      <c:layout>
        <c:manualLayout>
          <c:layoutTarget val="inner"/>
          <c:xMode val="edge"/>
          <c:yMode val="edge"/>
          <c:x val="7.4361820199778023E-2"/>
          <c:y val="7.177814029363784E-2"/>
          <c:w val="0.68812430632630406"/>
          <c:h val="0.8189233278955954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4001016512722018"/>
                  <c:y val="-3.2748971567476692E-3"/>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Stats'!$Y$5:$Y$279</c:f>
              <c:numCache>
                <c:formatCode>0.0</c:formatCode>
                <c:ptCount val="275"/>
                <c:pt idx="0">
                  <c:v>38</c:v>
                </c:pt>
                <c:pt idx="1">
                  <c:v>32</c:v>
                </c:pt>
                <c:pt idx="2">
                  <c:v>36</c:v>
                </c:pt>
                <c:pt idx="3">
                  <c:v>30</c:v>
                </c:pt>
                <c:pt idx="4">
                  <c:v>32</c:v>
                </c:pt>
                <c:pt idx="5">
                  <c:v>36</c:v>
                </c:pt>
                <c:pt idx="6">
                  <c:v>31</c:v>
                </c:pt>
                <c:pt idx="7">
                  <c:v>35</c:v>
                </c:pt>
                <c:pt idx="8">
                  <c:v>50</c:v>
                </c:pt>
                <c:pt idx="9">
                  <c:v>40</c:v>
                </c:pt>
                <c:pt idx="10">
                  <c:v>37.5</c:v>
                </c:pt>
                <c:pt idx="11">
                  <c:v>37.5</c:v>
                </c:pt>
                <c:pt idx="12">
                  <c:v>38</c:v>
                </c:pt>
                <c:pt idx="13">
                  <c:v>30</c:v>
                </c:pt>
                <c:pt idx="14">
                  <c:v>32</c:v>
                </c:pt>
                <c:pt idx="15">
                  <c:v>30</c:v>
                </c:pt>
                <c:pt idx="16">
                  <c:v>30</c:v>
                </c:pt>
                <c:pt idx="17">
                  <c:v>30</c:v>
                </c:pt>
                <c:pt idx="18">
                  <c:v>28</c:v>
                </c:pt>
                <c:pt idx="19">
                  <c:v>25</c:v>
                </c:pt>
                <c:pt idx="20">
                  <c:v>37</c:v>
                </c:pt>
                <c:pt idx="21">
                  <c:v>37</c:v>
                </c:pt>
                <c:pt idx="22">
                  <c:v>29</c:v>
                </c:pt>
                <c:pt idx="23">
                  <c:v>32</c:v>
                </c:pt>
                <c:pt idx="24">
                  <c:v>32</c:v>
                </c:pt>
                <c:pt idx="25">
                  <c:v>31</c:v>
                </c:pt>
                <c:pt idx="26">
                  <c:v>45</c:v>
                </c:pt>
                <c:pt idx="27">
                  <c:v>37.5</c:v>
                </c:pt>
                <c:pt idx="28">
                  <c:v>23</c:v>
                </c:pt>
                <c:pt idx="29">
                  <c:v>42</c:v>
                </c:pt>
                <c:pt idx="30">
                  <c:v>42</c:v>
                </c:pt>
                <c:pt idx="31">
                  <c:v>42</c:v>
                </c:pt>
                <c:pt idx="32">
                  <c:v>35</c:v>
                </c:pt>
                <c:pt idx="33">
                  <c:v>35</c:v>
                </c:pt>
                <c:pt idx="34">
                  <c:v>35</c:v>
                </c:pt>
                <c:pt idx="35">
                  <c:v>35</c:v>
                </c:pt>
                <c:pt idx="36">
                  <c:v>32</c:v>
                </c:pt>
                <c:pt idx="37">
                  <c:v>35</c:v>
                </c:pt>
                <c:pt idx="38">
                  <c:v>35</c:v>
                </c:pt>
                <c:pt idx="39">
                  <c:v>28</c:v>
                </c:pt>
                <c:pt idx="40">
                  <c:v>36</c:v>
                </c:pt>
                <c:pt idx="41">
                  <c:v>16</c:v>
                </c:pt>
                <c:pt idx="42">
                  <c:v>34.5</c:v>
                </c:pt>
                <c:pt idx="43">
                  <c:v>32</c:v>
                </c:pt>
                <c:pt idx="44">
                  <c:v>40</c:v>
                </c:pt>
                <c:pt idx="45">
                  <c:v>37</c:v>
                </c:pt>
                <c:pt idx="46">
                  <c:v>35</c:v>
                </c:pt>
                <c:pt idx="47">
                  <c:v>36.5</c:v>
                </c:pt>
                <c:pt idx="48">
                  <c:v>40</c:v>
                </c:pt>
                <c:pt idx="49">
                  <c:v>41</c:v>
                </c:pt>
                <c:pt idx="50">
                  <c:v>40</c:v>
                </c:pt>
                <c:pt idx="51">
                  <c:v>40</c:v>
                </c:pt>
                <c:pt idx="52">
                  <c:v>38</c:v>
                </c:pt>
                <c:pt idx="53">
                  <c:v>40</c:v>
                </c:pt>
                <c:pt idx="54">
                  <c:v>40</c:v>
                </c:pt>
                <c:pt idx="55">
                  <c:v>36.5</c:v>
                </c:pt>
                <c:pt idx="56">
                  <c:v>31</c:v>
                </c:pt>
                <c:pt idx="57">
                  <c:v>31</c:v>
                </c:pt>
                <c:pt idx="58">
                  <c:v>36</c:v>
                </c:pt>
                <c:pt idx="59">
                  <c:v>36</c:v>
                </c:pt>
                <c:pt idx="60">
                  <c:v>38</c:v>
                </c:pt>
                <c:pt idx="61">
                  <c:v>40</c:v>
                </c:pt>
                <c:pt idx="62">
                  <c:v>40</c:v>
                </c:pt>
                <c:pt idx="63">
                  <c:v>27</c:v>
                </c:pt>
                <c:pt idx="64">
                  <c:v>41</c:v>
                </c:pt>
                <c:pt idx="65">
                  <c:v>38</c:v>
                </c:pt>
                <c:pt idx="66">
                  <c:v>37</c:v>
                </c:pt>
                <c:pt idx="67">
                  <c:v>37.5</c:v>
                </c:pt>
                <c:pt idx="68">
                  <c:v>39</c:v>
                </c:pt>
                <c:pt idx="69">
                  <c:v>32</c:v>
                </c:pt>
                <c:pt idx="70">
                  <c:v>31</c:v>
                </c:pt>
                <c:pt idx="71">
                  <c:v>30</c:v>
                </c:pt>
                <c:pt idx="72">
                  <c:v>40</c:v>
                </c:pt>
                <c:pt idx="73">
                  <c:v>30.5</c:v>
                </c:pt>
                <c:pt idx="74">
                  <c:v>26</c:v>
                </c:pt>
                <c:pt idx="75">
                  <c:v>38</c:v>
                </c:pt>
                <c:pt idx="76">
                  <c:v>38.5</c:v>
                </c:pt>
                <c:pt idx="77">
                  <c:v>38.5</c:v>
                </c:pt>
                <c:pt idx="78">
                  <c:v>36</c:v>
                </c:pt>
                <c:pt idx="79">
                  <c:v>30</c:v>
                </c:pt>
                <c:pt idx="80">
                  <c:v>38</c:v>
                </c:pt>
                <c:pt idx="81">
                  <c:v>40</c:v>
                </c:pt>
                <c:pt idx="82">
                  <c:v>32</c:v>
                </c:pt>
                <c:pt idx="83">
                  <c:v>38</c:v>
                </c:pt>
                <c:pt idx="84">
                  <c:v>38</c:v>
                </c:pt>
                <c:pt idx="85">
                  <c:v>32</c:v>
                </c:pt>
                <c:pt idx="86">
                  <c:v>30</c:v>
                </c:pt>
                <c:pt idx="87">
                  <c:v>28</c:v>
                </c:pt>
                <c:pt idx="88">
                  <c:v>28</c:v>
                </c:pt>
                <c:pt idx="89">
                  <c:v>28</c:v>
                </c:pt>
                <c:pt idx="90">
                  <c:v>31</c:v>
                </c:pt>
                <c:pt idx="91">
                  <c:v>31</c:v>
                </c:pt>
                <c:pt idx="92">
                  <c:v>38</c:v>
                </c:pt>
                <c:pt idx="93">
                  <c:v>34</c:v>
                </c:pt>
                <c:pt idx="94">
                  <c:v>36</c:v>
                </c:pt>
                <c:pt idx="95">
                  <c:v>32</c:v>
                </c:pt>
                <c:pt idx="96">
                  <c:v>35</c:v>
                </c:pt>
                <c:pt idx="97">
                  <c:v>40.5</c:v>
                </c:pt>
                <c:pt idx="98">
                  <c:v>37</c:v>
                </c:pt>
                <c:pt idx="99">
                  <c:v>30</c:v>
                </c:pt>
                <c:pt idx="100">
                  <c:v>32</c:v>
                </c:pt>
                <c:pt idx="101">
                  <c:v>30</c:v>
                </c:pt>
                <c:pt idx="102">
                  <c:v>40</c:v>
                </c:pt>
                <c:pt idx="103">
                  <c:v>30.5</c:v>
                </c:pt>
                <c:pt idx="104">
                  <c:v>40</c:v>
                </c:pt>
                <c:pt idx="105">
                  <c:v>32</c:v>
                </c:pt>
                <c:pt idx="106">
                  <c:v>32</c:v>
                </c:pt>
                <c:pt idx="107">
                  <c:v>37</c:v>
                </c:pt>
                <c:pt idx="108">
                  <c:v>23.8</c:v>
                </c:pt>
                <c:pt idx="109">
                  <c:v>29</c:v>
                </c:pt>
                <c:pt idx="110">
                  <c:v>22.5</c:v>
                </c:pt>
                <c:pt idx="111">
                  <c:v>30</c:v>
                </c:pt>
                <c:pt idx="112">
                  <c:v>30</c:v>
                </c:pt>
                <c:pt idx="113">
                  <c:v>26</c:v>
                </c:pt>
                <c:pt idx="114">
                  <c:v>23</c:v>
                </c:pt>
                <c:pt idx="115">
                  <c:v>22</c:v>
                </c:pt>
                <c:pt idx="117">
                  <c:v>38</c:v>
                </c:pt>
                <c:pt idx="118">
                  <c:v>45</c:v>
                </c:pt>
                <c:pt idx="119">
                  <c:v>18.7</c:v>
                </c:pt>
                <c:pt idx="120">
                  <c:v>50</c:v>
                </c:pt>
                <c:pt idx="121">
                  <c:v>23</c:v>
                </c:pt>
                <c:pt idx="122">
                  <c:v>22</c:v>
                </c:pt>
                <c:pt idx="123">
                  <c:v>23</c:v>
                </c:pt>
                <c:pt idx="124">
                  <c:v>18</c:v>
                </c:pt>
                <c:pt idx="125">
                  <c:v>20</c:v>
                </c:pt>
                <c:pt idx="126">
                  <c:v>25</c:v>
                </c:pt>
                <c:pt idx="127">
                  <c:v>30</c:v>
                </c:pt>
                <c:pt idx="128">
                  <c:v>23</c:v>
                </c:pt>
                <c:pt idx="129">
                  <c:v>27</c:v>
                </c:pt>
                <c:pt idx="130">
                  <c:v>25</c:v>
                </c:pt>
                <c:pt idx="131">
                  <c:v>22</c:v>
                </c:pt>
                <c:pt idx="132">
                  <c:v>25</c:v>
                </c:pt>
                <c:pt idx="133">
                  <c:v>18</c:v>
                </c:pt>
                <c:pt idx="134">
                  <c:v>27</c:v>
                </c:pt>
                <c:pt idx="135">
                  <c:v>32</c:v>
                </c:pt>
                <c:pt idx="136">
                  <c:v>32</c:v>
                </c:pt>
                <c:pt idx="137">
                  <c:v>18</c:v>
                </c:pt>
                <c:pt idx="138">
                  <c:v>23</c:v>
                </c:pt>
                <c:pt idx="139">
                  <c:v>26</c:v>
                </c:pt>
                <c:pt idx="140">
                  <c:v>30</c:v>
                </c:pt>
                <c:pt idx="141">
                  <c:v>26</c:v>
                </c:pt>
                <c:pt idx="142">
                  <c:v>45</c:v>
                </c:pt>
                <c:pt idx="143">
                  <c:v>21</c:v>
                </c:pt>
                <c:pt idx="144">
                  <c:v>27</c:v>
                </c:pt>
                <c:pt idx="145">
                  <c:v>14</c:v>
                </c:pt>
                <c:pt idx="146">
                  <c:v>18</c:v>
                </c:pt>
                <c:pt idx="147">
                  <c:v>20</c:v>
                </c:pt>
                <c:pt idx="148">
                  <c:v>20</c:v>
                </c:pt>
                <c:pt idx="149">
                  <c:v>30</c:v>
                </c:pt>
                <c:pt idx="150">
                  <c:v>25</c:v>
                </c:pt>
                <c:pt idx="151">
                  <c:v>25</c:v>
                </c:pt>
                <c:pt idx="152">
                  <c:v>22</c:v>
                </c:pt>
                <c:pt idx="153">
                  <c:v>27</c:v>
                </c:pt>
                <c:pt idx="154">
                  <c:v>30</c:v>
                </c:pt>
                <c:pt idx="155">
                  <c:v>17</c:v>
                </c:pt>
                <c:pt idx="156">
                  <c:v>25</c:v>
                </c:pt>
                <c:pt idx="157">
                  <c:v>30</c:v>
                </c:pt>
                <c:pt idx="158">
                  <c:v>24</c:v>
                </c:pt>
                <c:pt idx="159">
                  <c:v>30</c:v>
                </c:pt>
                <c:pt idx="160">
                  <c:v>28</c:v>
                </c:pt>
                <c:pt idx="161">
                  <c:v>30</c:v>
                </c:pt>
                <c:pt idx="162">
                  <c:v>24</c:v>
                </c:pt>
                <c:pt idx="163">
                  <c:v>25</c:v>
                </c:pt>
                <c:pt idx="164">
                  <c:v>35</c:v>
                </c:pt>
                <c:pt idx="165">
                  <c:v>24</c:v>
                </c:pt>
                <c:pt idx="166">
                  <c:v>32</c:v>
                </c:pt>
                <c:pt idx="167">
                  <c:v>23</c:v>
                </c:pt>
                <c:pt idx="168">
                  <c:v>42</c:v>
                </c:pt>
                <c:pt idx="169">
                  <c:v>28</c:v>
                </c:pt>
                <c:pt idx="170">
                  <c:v>22</c:v>
                </c:pt>
                <c:pt idx="171">
                  <c:v>32</c:v>
                </c:pt>
                <c:pt idx="172">
                  <c:v>21</c:v>
                </c:pt>
                <c:pt idx="173">
                  <c:v>21</c:v>
                </c:pt>
                <c:pt idx="174">
                  <c:v>23</c:v>
                </c:pt>
                <c:pt idx="175">
                  <c:v>32</c:v>
                </c:pt>
                <c:pt idx="176">
                  <c:v>32</c:v>
                </c:pt>
                <c:pt idx="177">
                  <c:v>25</c:v>
                </c:pt>
                <c:pt idx="178">
                  <c:v>40</c:v>
                </c:pt>
                <c:pt idx="179">
                  <c:v>22</c:v>
                </c:pt>
                <c:pt idx="180">
                  <c:v>21</c:v>
                </c:pt>
                <c:pt idx="181">
                  <c:v>26.3</c:v>
                </c:pt>
                <c:pt idx="182">
                  <c:v>24</c:v>
                </c:pt>
                <c:pt idx="183">
                  <c:v>28</c:v>
                </c:pt>
                <c:pt idx="184">
                  <c:v>11</c:v>
                </c:pt>
                <c:pt idx="185">
                  <c:v>29</c:v>
                </c:pt>
                <c:pt idx="186">
                  <c:v>20</c:v>
                </c:pt>
                <c:pt idx="187">
                  <c:v>20</c:v>
                </c:pt>
                <c:pt idx="188">
                  <c:v>18</c:v>
                </c:pt>
                <c:pt idx="189">
                  <c:v>29</c:v>
                </c:pt>
                <c:pt idx="190">
                  <c:v>24</c:v>
                </c:pt>
                <c:pt idx="191">
                  <c:v>28</c:v>
                </c:pt>
                <c:pt idx="192">
                  <c:v>22</c:v>
                </c:pt>
                <c:pt idx="193">
                  <c:v>28</c:v>
                </c:pt>
                <c:pt idx="194">
                  <c:v>22</c:v>
                </c:pt>
                <c:pt idx="195">
                  <c:v>23</c:v>
                </c:pt>
                <c:pt idx="196">
                  <c:v>33</c:v>
                </c:pt>
                <c:pt idx="197">
                  <c:v>33</c:v>
                </c:pt>
                <c:pt idx="198">
                  <c:v>25</c:v>
                </c:pt>
                <c:pt idx="199">
                  <c:v>27</c:v>
                </c:pt>
                <c:pt idx="200">
                  <c:v>25</c:v>
                </c:pt>
                <c:pt idx="201">
                  <c:v>28</c:v>
                </c:pt>
                <c:pt idx="202">
                  <c:v>24</c:v>
                </c:pt>
                <c:pt idx="203">
                  <c:v>27</c:v>
                </c:pt>
                <c:pt idx="204">
                  <c:v>35</c:v>
                </c:pt>
                <c:pt idx="205">
                  <c:v>26</c:v>
                </c:pt>
                <c:pt idx="206">
                  <c:v>32</c:v>
                </c:pt>
                <c:pt idx="207">
                  <c:v>27</c:v>
                </c:pt>
                <c:pt idx="208">
                  <c:v>29</c:v>
                </c:pt>
                <c:pt idx="209">
                  <c:v>38</c:v>
                </c:pt>
                <c:pt idx="210">
                  <c:v>30</c:v>
                </c:pt>
                <c:pt idx="211">
                  <c:v>33</c:v>
                </c:pt>
                <c:pt idx="212">
                  <c:v>30</c:v>
                </c:pt>
                <c:pt idx="213">
                  <c:v>37</c:v>
                </c:pt>
                <c:pt idx="214">
                  <c:v>30</c:v>
                </c:pt>
                <c:pt idx="215">
                  <c:v>40</c:v>
                </c:pt>
                <c:pt idx="216">
                  <c:v>28</c:v>
                </c:pt>
                <c:pt idx="217">
                  <c:v>34.5</c:v>
                </c:pt>
                <c:pt idx="218">
                  <c:v>30</c:v>
                </c:pt>
                <c:pt idx="219">
                  <c:v>30</c:v>
                </c:pt>
                <c:pt idx="220">
                  <c:v>23</c:v>
                </c:pt>
                <c:pt idx="221">
                  <c:v>20</c:v>
                </c:pt>
                <c:pt idx="222">
                  <c:v>41</c:v>
                </c:pt>
                <c:pt idx="223">
                  <c:v>35</c:v>
                </c:pt>
                <c:pt idx="224">
                  <c:v>30</c:v>
                </c:pt>
                <c:pt idx="225">
                  <c:v>22</c:v>
                </c:pt>
                <c:pt idx="226">
                  <c:v>26</c:v>
                </c:pt>
                <c:pt idx="227">
                  <c:v>25</c:v>
                </c:pt>
                <c:pt idx="228">
                  <c:v>22</c:v>
                </c:pt>
                <c:pt idx="229">
                  <c:v>27.5</c:v>
                </c:pt>
                <c:pt idx="230">
                  <c:v>20</c:v>
                </c:pt>
                <c:pt idx="231">
                  <c:v>23</c:v>
                </c:pt>
                <c:pt idx="232">
                  <c:v>16</c:v>
                </c:pt>
                <c:pt idx="233">
                  <c:v>15</c:v>
                </c:pt>
                <c:pt idx="234">
                  <c:v>35</c:v>
                </c:pt>
                <c:pt idx="235">
                  <c:v>23</c:v>
                </c:pt>
                <c:pt idx="236">
                  <c:v>24</c:v>
                </c:pt>
                <c:pt idx="237">
                  <c:v>30.5</c:v>
                </c:pt>
                <c:pt idx="238">
                  <c:v>30.5</c:v>
                </c:pt>
                <c:pt idx="239">
                  <c:v>28</c:v>
                </c:pt>
                <c:pt idx="240">
                  <c:v>35</c:v>
                </c:pt>
                <c:pt idx="241">
                  <c:v>35</c:v>
                </c:pt>
                <c:pt idx="242">
                  <c:v>20.6</c:v>
                </c:pt>
                <c:pt idx="243">
                  <c:v>20</c:v>
                </c:pt>
                <c:pt idx="244">
                  <c:v>25</c:v>
                </c:pt>
                <c:pt idx="245">
                  <c:v>23</c:v>
                </c:pt>
                <c:pt idx="246">
                  <c:v>40</c:v>
                </c:pt>
                <c:pt idx="247">
                  <c:v>20</c:v>
                </c:pt>
                <c:pt idx="248">
                  <c:v>24.5</c:v>
                </c:pt>
                <c:pt idx="249">
                  <c:v>23</c:v>
                </c:pt>
                <c:pt idx="250">
                  <c:v>28</c:v>
                </c:pt>
                <c:pt idx="251">
                  <c:v>22</c:v>
                </c:pt>
                <c:pt idx="252">
                  <c:v>23</c:v>
                </c:pt>
                <c:pt idx="253">
                  <c:v>42</c:v>
                </c:pt>
                <c:pt idx="254">
                  <c:v>24</c:v>
                </c:pt>
                <c:pt idx="255">
                  <c:v>27</c:v>
                </c:pt>
                <c:pt idx="256">
                  <c:v>27</c:v>
                </c:pt>
                <c:pt idx="257">
                  <c:v>30</c:v>
                </c:pt>
                <c:pt idx="258">
                  <c:v>26</c:v>
                </c:pt>
                <c:pt idx="259">
                  <c:v>24</c:v>
                </c:pt>
                <c:pt idx="260">
                  <c:v>30</c:v>
                </c:pt>
                <c:pt idx="261">
                  <c:v>22</c:v>
                </c:pt>
                <c:pt idx="262">
                  <c:v>31</c:v>
                </c:pt>
                <c:pt idx="263">
                  <c:v>28</c:v>
                </c:pt>
                <c:pt idx="264">
                  <c:v>38</c:v>
                </c:pt>
                <c:pt idx="265">
                  <c:v>20</c:v>
                </c:pt>
                <c:pt idx="266">
                  <c:v>15</c:v>
                </c:pt>
                <c:pt idx="267">
                  <c:v>15</c:v>
                </c:pt>
                <c:pt idx="268">
                  <c:v>15</c:v>
                </c:pt>
                <c:pt idx="269">
                  <c:v>24</c:v>
                </c:pt>
                <c:pt idx="270">
                  <c:v>25</c:v>
                </c:pt>
                <c:pt idx="271">
                  <c:v>24</c:v>
                </c:pt>
              </c:numCache>
            </c:numRef>
          </c:xVal>
          <c:yVal>
            <c:numRef>
              <c:f>'Task 1 Converted AMI PDF Stats'!$AO$5:$AO$279</c:f>
              <c:numCache>
                <c:formatCode>0.0</c:formatCode>
                <c:ptCount val="275"/>
                <c:pt idx="0">
                  <c:v>162.38566005792086</c:v>
                </c:pt>
                <c:pt idx="2">
                  <c:v>200.07347385160014</c:v>
                </c:pt>
                <c:pt idx="3">
                  <c:v>170.38805231205583</c:v>
                </c:pt>
                <c:pt idx="4">
                  <c:v>117.12938136915541</c:v>
                </c:pt>
                <c:pt idx="6">
                  <c:v>156.78004705451693</c:v>
                </c:pt>
                <c:pt idx="7">
                  <c:v>203.44237849034565</c:v>
                </c:pt>
                <c:pt idx="8">
                  <c:v>107.49721864016385</c:v>
                </c:pt>
                <c:pt idx="9">
                  <c:v>314.82465590456587</c:v>
                </c:pt>
                <c:pt idx="10">
                  <c:v>202.61395477818331</c:v>
                </c:pt>
                <c:pt idx="11">
                  <c:v>202.61395477818331</c:v>
                </c:pt>
                <c:pt idx="12">
                  <c:v>207.13652548591597</c:v>
                </c:pt>
                <c:pt idx="13">
                  <c:v>103.93484346399988</c:v>
                </c:pt>
                <c:pt idx="14">
                  <c:v>140.48708398298646</c:v>
                </c:pt>
                <c:pt idx="15">
                  <c:v>165.03099203159812</c:v>
                </c:pt>
                <c:pt idx="16">
                  <c:v>294.59297620770172</c:v>
                </c:pt>
                <c:pt idx="17">
                  <c:v>160.68707793147368</c:v>
                </c:pt>
                <c:pt idx="18">
                  <c:v>122.7183168778389</c:v>
                </c:pt>
                <c:pt idx="19">
                  <c:v>80.363545118653917</c:v>
                </c:pt>
                <c:pt idx="20">
                  <c:v>307.81044309533348</c:v>
                </c:pt>
                <c:pt idx="21">
                  <c:v>236.20825182309525</c:v>
                </c:pt>
                <c:pt idx="22">
                  <c:v>143.44329817737122</c:v>
                </c:pt>
                <c:pt idx="23">
                  <c:v>141.60509577413274</c:v>
                </c:pt>
                <c:pt idx="24">
                  <c:v>178.84199132955283</c:v>
                </c:pt>
                <c:pt idx="25">
                  <c:v>152.37010916768281</c:v>
                </c:pt>
                <c:pt idx="26">
                  <c:v>348.46442547642903</c:v>
                </c:pt>
                <c:pt idx="27">
                  <c:v>134.35509349969729</c:v>
                </c:pt>
                <c:pt idx="28">
                  <c:v>66.014561392572261</c:v>
                </c:pt>
                <c:pt idx="29">
                  <c:v>204.0495740124307</c:v>
                </c:pt>
                <c:pt idx="30">
                  <c:v>204.0495740124307</c:v>
                </c:pt>
                <c:pt idx="31">
                  <c:v>204.0495740124307</c:v>
                </c:pt>
                <c:pt idx="32">
                  <c:v>124.22017241655449</c:v>
                </c:pt>
                <c:pt idx="33">
                  <c:v>124.22017241655449</c:v>
                </c:pt>
                <c:pt idx="34">
                  <c:v>124.22017241655449</c:v>
                </c:pt>
                <c:pt idx="35">
                  <c:v>185.74979052942729</c:v>
                </c:pt>
                <c:pt idx="36">
                  <c:v>148.82190582315849</c:v>
                </c:pt>
                <c:pt idx="37">
                  <c:v>126.23188964505242</c:v>
                </c:pt>
                <c:pt idx="38">
                  <c:v>188.75796582437744</c:v>
                </c:pt>
                <c:pt idx="39">
                  <c:v>162.60108177553309</c:v>
                </c:pt>
                <c:pt idx="40">
                  <c:v>208.65146314607483</c:v>
                </c:pt>
                <c:pt idx="41">
                  <c:v>104.49935851507868</c:v>
                </c:pt>
                <c:pt idx="42">
                  <c:v>172.75160797789255</c:v>
                </c:pt>
                <c:pt idx="43">
                  <c:v>142.16760364466623</c:v>
                </c:pt>
                <c:pt idx="44">
                  <c:v>188.41076919265637</c:v>
                </c:pt>
                <c:pt idx="45">
                  <c:v>143.70318935627122</c:v>
                </c:pt>
                <c:pt idx="46">
                  <c:v>126.07014155651417</c:v>
                </c:pt>
                <c:pt idx="47">
                  <c:v>162.95116419781249</c:v>
                </c:pt>
                <c:pt idx="48">
                  <c:v>189.23487859659539</c:v>
                </c:pt>
                <c:pt idx="49">
                  <c:v>203.18765593094867</c:v>
                </c:pt>
                <c:pt idx="50">
                  <c:v>190.64793827892441</c:v>
                </c:pt>
                <c:pt idx="51">
                  <c:v>191.1383513194848</c:v>
                </c:pt>
                <c:pt idx="52">
                  <c:v>155.22816719785348</c:v>
                </c:pt>
                <c:pt idx="53">
                  <c:v>278.2419543220675</c:v>
                </c:pt>
                <c:pt idx="54">
                  <c:v>278.2419543220675</c:v>
                </c:pt>
                <c:pt idx="55">
                  <c:v>143.30053341011225</c:v>
                </c:pt>
                <c:pt idx="56">
                  <c:v>94.334650921501137</c:v>
                </c:pt>
                <c:pt idx="57">
                  <c:v>94.334650921501137</c:v>
                </c:pt>
                <c:pt idx="58">
                  <c:v>160.40706981091787</c:v>
                </c:pt>
                <c:pt idx="59">
                  <c:v>160.40706981091787</c:v>
                </c:pt>
                <c:pt idx="60">
                  <c:v>190.07547005005438</c:v>
                </c:pt>
                <c:pt idx="61">
                  <c:v>158.35333767942379</c:v>
                </c:pt>
                <c:pt idx="62">
                  <c:v>195.03930154063929</c:v>
                </c:pt>
                <c:pt idx="63">
                  <c:v>133.58502456934841</c:v>
                </c:pt>
                <c:pt idx="64">
                  <c:v>125.17941287012333</c:v>
                </c:pt>
                <c:pt idx="65">
                  <c:v>191.01994685850028</c:v>
                </c:pt>
                <c:pt idx="66">
                  <c:v>183.67999936639691</c:v>
                </c:pt>
                <c:pt idx="67">
                  <c:v>181.60058042572948</c:v>
                </c:pt>
                <c:pt idx="68">
                  <c:v>177.27311036789752</c:v>
                </c:pt>
                <c:pt idx="69">
                  <c:v>146.85410706852366</c:v>
                </c:pt>
                <c:pt idx="70">
                  <c:v>107.58294648010288</c:v>
                </c:pt>
                <c:pt idx="71">
                  <c:v>156.2202043307789</c:v>
                </c:pt>
                <c:pt idx="72">
                  <c:v>259.25305397813662</c:v>
                </c:pt>
                <c:pt idx="73">
                  <c:v>379.92415369725211</c:v>
                </c:pt>
                <c:pt idx="74">
                  <c:v>125.73431326440648</c:v>
                </c:pt>
                <c:pt idx="75">
                  <c:v>196.60309272195903</c:v>
                </c:pt>
                <c:pt idx="76">
                  <c:v>163.93713175238196</c:v>
                </c:pt>
                <c:pt idx="77">
                  <c:v>172.1360720654281</c:v>
                </c:pt>
                <c:pt idx="78">
                  <c:v>154.59226567692897</c:v>
                </c:pt>
                <c:pt idx="79">
                  <c:v>203.49876947904383</c:v>
                </c:pt>
                <c:pt idx="80">
                  <c:v>176.61320044368793</c:v>
                </c:pt>
                <c:pt idx="81">
                  <c:v>243.07167403242659</c:v>
                </c:pt>
                <c:pt idx="82">
                  <c:v>124.45269710460242</c:v>
                </c:pt>
                <c:pt idx="83">
                  <c:v>207.71009112086188</c:v>
                </c:pt>
                <c:pt idx="84">
                  <c:v>178.25231671049326</c:v>
                </c:pt>
                <c:pt idx="85">
                  <c:v>147.68867472463879</c:v>
                </c:pt>
                <c:pt idx="86">
                  <c:v>123.91726414016325</c:v>
                </c:pt>
                <c:pt idx="87">
                  <c:v>335.50528606987314</c:v>
                </c:pt>
                <c:pt idx="88">
                  <c:v>335.50528606987314</c:v>
                </c:pt>
                <c:pt idx="89">
                  <c:v>335.50528606987314</c:v>
                </c:pt>
                <c:pt idx="90">
                  <c:v>111.23894845107783</c:v>
                </c:pt>
                <c:pt idx="91">
                  <c:v>124.78049887620632</c:v>
                </c:pt>
                <c:pt idx="92">
                  <c:v>243.61692569533994</c:v>
                </c:pt>
                <c:pt idx="94">
                  <c:v>246.85700541337096</c:v>
                </c:pt>
                <c:pt idx="95">
                  <c:v>167.29080221402376</c:v>
                </c:pt>
                <c:pt idx="96">
                  <c:v>188.75796582437744</c:v>
                </c:pt>
                <c:pt idx="97">
                  <c:v>195.58705563969505</c:v>
                </c:pt>
                <c:pt idx="98">
                  <c:v>183.63641522349215</c:v>
                </c:pt>
                <c:pt idx="99">
                  <c:v>141.91390406759641</c:v>
                </c:pt>
                <c:pt idx="100">
                  <c:v>182.271670585674</c:v>
                </c:pt>
                <c:pt idx="101">
                  <c:v>118.27754463054094</c:v>
                </c:pt>
                <c:pt idx="102">
                  <c:v>189.61863180975163</c:v>
                </c:pt>
                <c:pt idx="103">
                  <c:v>379.92415369725211</c:v>
                </c:pt>
                <c:pt idx="104">
                  <c:v>195.64199781382439</c:v>
                </c:pt>
                <c:pt idx="105">
                  <c:v>128.28238286582126</c:v>
                </c:pt>
                <c:pt idx="106">
                  <c:v>133.77151742060852</c:v>
                </c:pt>
                <c:pt idx="107">
                  <c:v>155.01636508793578</c:v>
                </c:pt>
                <c:pt idx="111">
                  <c:v>141.1402301741891</c:v>
                </c:pt>
                <c:pt idx="112">
                  <c:v>141.1402301741891</c:v>
                </c:pt>
                <c:pt idx="113">
                  <c:v>80.587416585840614</c:v>
                </c:pt>
                <c:pt idx="114">
                  <c:v>63.248603817781941</c:v>
                </c:pt>
                <c:pt idx="115">
                  <c:v>117.01832124016656</c:v>
                </c:pt>
                <c:pt idx="117">
                  <c:v>171.28850341227411</c:v>
                </c:pt>
                <c:pt idx="118">
                  <c:v>298.77207521642049</c:v>
                </c:pt>
                <c:pt idx="119">
                  <c:v>123.57713783566507</c:v>
                </c:pt>
                <c:pt idx="120">
                  <c:v>419.20647286299396</c:v>
                </c:pt>
                <c:pt idx="121">
                  <c:v>124.19176971397229</c:v>
                </c:pt>
                <c:pt idx="122">
                  <c:v>109.78203113021659</c:v>
                </c:pt>
                <c:pt idx="123">
                  <c:v>126.68819071878335</c:v>
                </c:pt>
                <c:pt idx="125">
                  <c:v>50.325903770127709</c:v>
                </c:pt>
                <c:pt idx="126">
                  <c:v>103.53635443712734</c:v>
                </c:pt>
                <c:pt idx="127">
                  <c:v>118.62886397300143</c:v>
                </c:pt>
                <c:pt idx="128">
                  <c:v>84.511590784162408</c:v>
                </c:pt>
                <c:pt idx="129">
                  <c:v>144.17012998119824</c:v>
                </c:pt>
                <c:pt idx="130">
                  <c:v>135.14069567227253</c:v>
                </c:pt>
                <c:pt idx="131">
                  <c:v>165.10380276509872</c:v>
                </c:pt>
                <c:pt idx="132">
                  <c:v>117.95404177429035</c:v>
                </c:pt>
                <c:pt idx="133">
                  <c:v>47.19599011743059</c:v>
                </c:pt>
                <c:pt idx="134">
                  <c:v>148.56599407254947</c:v>
                </c:pt>
                <c:pt idx="135">
                  <c:v>155.66268873506513</c:v>
                </c:pt>
                <c:pt idx="136">
                  <c:v>205.69519557972404</c:v>
                </c:pt>
                <c:pt idx="138">
                  <c:v>245.72975267532195</c:v>
                </c:pt>
                <c:pt idx="139">
                  <c:v>98.205743714286442</c:v>
                </c:pt>
                <c:pt idx="140">
                  <c:v>269.65717956021541</c:v>
                </c:pt>
                <c:pt idx="141">
                  <c:v>124.00329859889354</c:v>
                </c:pt>
                <c:pt idx="142">
                  <c:v>256.45172099478822</c:v>
                </c:pt>
                <c:pt idx="143">
                  <c:v>71.412875977873156</c:v>
                </c:pt>
                <c:pt idx="144">
                  <c:v>117.90640654220275</c:v>
                </c:pt>
                <c:pt idx="145">
                  <c:v>44.597298516026115</c:v>
                </c:pt>
                <c:pt idx="146">
                  <c:v>24.45466209764205</c:v>
                </c:pt>
                <c:pt idx="147">
                  <c:v>82.149266871998591</c:v>
                </c:pt>
                <c:pt idx="148">
                  <c:v>73.233842560308815</c:v>
                </c:pt>
                <c:pt idx="149">
                  <c:v>122.63147771036328</c:v>
                </c:pt>
                <c:pt idx="150">
                  <c:v>139.32602519000596</c:v>
                </c:pt>
                <c:pt idx="151">
                  <c:v>267.1670002519698</c:v>
                </c:pt>
                <c:pt idx="152">
                  <c:v>84.964520664664832</c:v>
                </c:pt>
                <c:pt idx="153">
                  <c:v>161.5386455055843</c:v>
                </c:pt>
                <c:pt idx="154">
                  <c:v>137.20305144239842</c:v>
                </c:pt>
                <c:pt idx="155">
                  <c:v>99.406231895252418</c:v>
                </c:pt>
                <c:pt idx="156">
                  <c:v>197.72003097732477</c:v>
                </c:pt>
                <c:pt idx="157">
                  <c:v>123.97160293193997</c:v>
                </c:pt>
                <c:pt idx="158">
                  <c:v>105.78910116858877</c:v>
                </c:pt>
                <c:pt idx="159">
                  <c:v>177.96669958647715</c:v>
                </c:pt>
                <c:pt idx="160">
                  <c:v>97.141813034676588</c:v>
                </c:pt>
                <c:pt idx="161">
                  <c:v>244.63681678080314</c:v>
                </c:pt>
                <c:pt idx="162">
                  <c:v>72.6473491112273</c:v>
                </c:pt>
                <c:pt idx="163">
                  <c:v>69.455549877068549</c:v>
                </c:pt>
                <c:pt idx="164">
                  <c:v>194.98416799027635</c:v>
                </c:pt>
                <c:pt idx="165">
                  <c:v>96.150903235447885</c:v>
                </c:pt>
                <c:pt idx="166">
                  <c:v>169.43277717635902</c:v>
                </c:pt>
                <c:pt idx="167">
                  <c:v>71.214666503437385</c:v>
                </c:pt>
                <c:pt idx="168">
                  <c:v>199.16055874392202</c:v>
                </c:pt>
                <c:pt idx="169">
                  <c:v>121.3786347334793</c:v>
                </c:pt>
                <c:pt idx="170">
                  <c:v>49.817912960665801</c:v>
                </c:pt>
                <c:pt idx="171">
                  <c:v>140.15037133472515</c:v>
                </c:pt>
                <c:pt idx="172">
                  <c:v>163.90245179454593</c:v>
                </c:pt>
                <c:pt idx="173">
                  <c:v>67.516634972185116</c:v>
                </c:pt>
                <c:pt idx="174">
                  <c:v>78.668043709610032</c:v>
                </c:pt>
                <c:pt idx="175">
                  <c:v>119.76776655719898</c:v>
                </c:pt>
                <c:pt idx="176">
                  <c:v>145.84271555490781</c:v>
                </c:pt>
                <c:pt idx="177">
                  <c:v>51.61212145241705</c:v>
                </c:pt>
                <c:pt idx="178">
                  <c:v>357.90008909594087</c:v>
                </c:pt>
                <c:pt idx="179">
                  <c:v>48.981129261013272</c:v>
                </c:pt>
                <c:pt idx="180">
                  <c:v>64.194792104663421</c:v>
                </c:pt>
                <c:pt idx="181">
                  <c:v>117.01427949424091</c:v>
                </c:pt>
                <c:pt idx="182">
                  <c:v>128.92989055741884</c:v>
                </c:pt>
                <c:pt idx="183">
                  <c:v>106.84977365170518</c:v>
                </c:pt>
                <c:pt idx="184">
                  <c:v>99.755869424456648</c:v>
                </c:pt>
                <c:pt idx="185">
                  <c:v>141.05145971162864</c:v>
                </c:pt>
                <c:pt idx="186">
                  <c:v>84.304525503692545</c:v>
                </c:pt>
                <c:pt idx="187">
                  <c:v>54.031536800093861</c:v>
                </c:pt>
                <c:pt idx="188">
                  <c:v>39.873785503520125</c:v>
                </c:pt>
                <c:pt idx="189">
                  <c:v>118.88622441253456</c:v>
                </c:pt>
                <c:pt idx="190">
                  <c:v>67.768104669154013</c:v>
                </c:pt>
                <c:pt idx="191">
                  <c:v>102.06952790650543</c:v>
                </c:pt>
                <c:pt idx="192">
                  <c:v>34.037899919805618</c:v>
                </c:pt>
                <c:pt idx="193">
                  <c:v>121.49729640987854</c:v>
                </c:pt>
                <c:pt idx="194">
                  <c:v>70.719927779102775</c:v>
                </c:pt>
                <c:pt idx="195">
                  <c:v>64.819686553700691</c:v>
                </c:pt>
                <c:pt idx="196">
                  <c:v>193.81878362738368</c:v>
                </c:pt>
                <c:pt idx="197">
                  <c:v>159.11983750298126</c:v>
                </c:pt>
                <c:pt idx="198">
                  <c:v>124.21475617969845</c:v>
                </c:pt>
                <c:pt idx="199">
                  <c:v>215.97594963449694</c:v>
                </c:pt>
                <c:pt idx="200">
                  <c:v>112.01809118865374</c:v>
                </c:pt>
                <c:pt idx="201">
                  <c:v>157.71947749753096</c:v>
                </c:pt>
                <c:pt idx="202">
                  <c:v>140.86708449443015</c:v>
                </c:pt>
                <c:pt idx="203">
                  <c:v>116.11977287837533</c:v>
                </c:pt>
                <c:pt idx="204">
                  <c:v>201.08270476391073</c:v>
                </c:pt>
                <c:pt idx="205">
                  <c:v>146.83983915531803</c:v>
                </c:pt>
                <c:pt idx="206">
                  <c:v>145.53893979403114</c:v>
                </c:pt>
                <c:pt idx="207">
                  <c:v>131.7317282130623</c:v>
                </c:pt>
                <c:pt idx="208">
                  <c:v>209.29497477067591</c:v>
                </c:pt>
                <c:pt idx="209">
                  <c:v>172.09402425943725</c:v>
                </c:pt>
                <c:pt idx="210">
                  <c:v>142.37546580217392</c:v>
                </c:pt>
                <c:pt idx="211">
                  <c:v>176.34190158111755</c:v>
                </c:pt>
                <c:pt idx="212">
                  <c:v>139.87032564143186</c:v>
                </c:pt>
                <c:pt idx="213">
                  <c:v>129.18503198482898</c:v>
                </c:pt>
                <c:pt idx="214">
                  <c:v>162.99846310669025</c:v>
                </c:pt>
                <c:pt idx="215">
                  <c:v>175.97578352805024</c:v>
                </c:pt>
                <c:pt idx="216">
                  <c:v>240.89965908338073</c:v>
                </c:pt>
                <c:pt idx="217">
                  <c:v>175.26642552926143</c:v>
                </c:pt>
                <c:pt idx="218">
                  <c:v>172.17606681871666</c:v>
                </c:pt>
                <c:pt idx="220">
                  <c:v>80.474619163737827</c:v>
                </c:pt>
                <c:pt idx="221">
                  <c:v>69.017437042095608</c:v>
                </c:pt>
                <c:pt idx="222">
                  <c:v>203.18765593094867</c:v>
                </c:pt>
                <c:pt idx="223">
                  <c:v>159.62086302621847</c:v>
                </c:pt>
                <c:pt idx="224">
                  <c:v>161.27298392581525</c:v>
                </c:pt>
                <c:pt idx="226">
                  <c:v>124.39298304395612</c:v>
                </c:pt>
                <c:pt idx="227">
                  <c:v>103.79184240236935</c:v>
                </c:pt>
                <c:pt idx="228">
                  <c:v>65.221809545862143</c:v>
                </c:pt>
                <c:pt idx="229">
                  <c:v>219.25315953489016</c:v>
                </c:pt>
                <c:pt idx="230">
                  <c:v>94.003198925389569</c:v>
                </c:pt>
                <c:pt idx="231">
                  <c:v>137.26671516447007</c:v>
                </c:pt>
                <c:pt idx="232">
                  <c:v>47.807248095881157</c:v>
                </c:pt>
                <c:pt idx="233">
                  <c:v>73.930999362540788</c:v>
                </c:pt>
                <c:pt idx="234">
                  <c:v>154.02704345497509</c:v>
                </c:pt>
                <c:pt idx="235">
                  <c:v>110.57145999324966</c:v>
                </c:pt>
                <c:pt idx="236">
                  <c:v>108.92075291617239</c:v>
                </c:pt>
                <c:pt idx="237">
                  <c:v>368.85898925011259</c:v>
                </c:pt>
                <c:pt idx="238">
                  <c:v>368.85898925011259</c:v>
                </c:pt>
                <c:pt idx="239">
                  <c:v>103.40126830533374</c:v>
                </c:pt>
                <c:pt idx="240">
                  <c:v>120.68481290980839</c:v>
                </c:pt>
                <c:pt idx="241">
                  <c:v>119.18632889819638</c:v>
                </c:pt>
                <c:pt idx="242">
                  <c:v>105.67388220953448</c:v>
                </c:pt>
                <c:pt idx="243">
                  <c:v>91.245717966487149</c:v>
                </c:pt>
                <c:pt idx="244">
                  <c:v>93.967536258101106</c:v>
                </c:pt>
                <c:pt idx="245">
                  <c:v>89.830044628392116</c:v>
                </c:pt>
                <c:pt idx="246">
                  <c:v>228.88672850175766</c:v>
                </c:pt>
                <c:pt idx="247">
                  <c:v>70.965166446925636</c:v>
                </c:pt>
                <c:pt idx="248">
                  <c:v>100.7918976272535</c:v>
                </c:pt>
                <c:pt idx="249">
                  <c:v>152.2652581260829</c:v>
                </c:pt>
                <c:pt idx="250">
                  <c:v>139.7733588146981</c:v>
                </c:pt>
                <c:pt idx="251">
                  <c:v>72.170759972450668</c:v>
                </c:pt>
                <c:pt idx="252">
                  <c:v>157.53478646764208</c:v>
                </c:pt>
                <c:pt idx="253">
                  <c:v>247.29056475396393</c:v>
                </c:pt>
                <c:pt idx="254">
                  <c:v>100.87115120176784</c:v>
                </c:pt>
                <c:pt idx="255">
                  <c:v>130.02285678450249</c:v>
                </c:pt>
                <c:pt idx="256">
                  <c:v>130.02285678450249</c:v>
                </c:pt>
                <c:pt idx="257">
                  <c:v>259.11446227706961</c:v>
                </c:pt>
                <c:pt idx="258">
                  <c:v>181.550695675947</c:v>
                </c:pt>
                <c:pt idx="259">
                  <c:v>105.19767574753783</c:v>
                </c:pt>
                <c:pt idx="260">
                  <c:v>147.13141101956219</c:v>
                </c:pt>
                <c:pt idx="263">
                  <c:v>155.04418241338064</c:v>
                </c:pt>
                <c:pt idx="264">
                  <c:v>148.87427718231723</c:v>
                </c:pt>
                <c:pt idx="265">
                  <c:v>58.916111755663884</c:v>
                </c:pt>
                <c:pt idx="266">
                  <c:v>122.79627283998238</c:v>
                </c:pt>
                <c:pt idx="267">
                  <c:v>112.59215105906625</c:v>
                </c:pt>
                <c:pt idx="268">
                  <c:v>113.27973937739827</c:v>
                </c:pt>
                <c:pt idx="269">
                  <c:v>101.47862012898386</c:v>
                </c:pt>
                <c:pt idx="270">
                  <c:v>105.52337705108096</c:v>
                </c:pt>
                <c:pt idx="271">
                  <c:v>96.143306532146951</c:v>
                </c:pt>
              </c:numCache>
            </c:numRef>
          </c:yVal>
          <c:smooth val="1"/>
          <c:extLst>
            <c:ext xmlns:c16="http://schemas.microsoft.com/office/drawing/2014/chart" uri="{C3380CC4-5D6E-409C-BE32-E72D297353CC}">
              <c16:uniqueId val="{00000000-55CC-43E5-B65F-4E0BE6AA32DF}"/>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43115264254805302"/>
                  <c:y val="-0.44084185628437128"/>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Stats'!$Y$5:$Y$12</c:f>
              <c:numCache>
                <c:formatCode>0.0</c:formatCode>
                <c:ptCount val="8"/>
                <c:pt idx="0">
                  <c:v>38</c:v>
                </c:pt>
                <c:pt idx="1">
                  <c:v>32</c:v>
                </c:pt>
                <c:pt idx="2">
                  <c:v>36</c:v>
                </c:pt>
                <c:pt idx="3">
                  <c:v>30</c:v>
                </c:pt>
                <c:pt idx="4">
                  <c:v>32</c:v>
                </c:pt>
                <c:pt idx="5">
                  <c:v>36</c:v>
                </c:pt>
                <c:pt idx="6">
                  <c:v>31</c:v>
                </c:pt>
                <c:pt idx="7">
                  <c:v>35</c:v>
                </c:pt>
              </c:numCache>
            </c:numRef>
          </c:xVal>
          <c:yVal>
            <c:numRef>
              <c:f>'Task 1 Converted AMI PDF Stats'!$AO$5:$AO$12</c:f>
              <c:numCache>
                <c:formatCode>0.0</c:formatCode>
                <c:ptCount val="8"/>
                <c:pt idx="0">
                  <c:v>162.38566005792086</c:v>
                </c:pt>
                <c:pt idx="2">
                  <c:v>200.07347385160014</c:v>
                </c:pt>
                <c:pt idx="3">
                  <c:v>170.38805231205583</c:v>
                </c:pt>
                <c:pt idx="4">
                  <c:v>117.12938136915541</c:v>
                </c:pt>
                <c:pt idx="6">
                  <c:v>156.78004705451693</c:v>
                </c:pt>
                <c:pt idx="7">
                  <c:v>203.44237849034565</c:v>
                </c:pt>
              </c:numCache>
            </c:numRef>
          </c:yVal>
          <c:smooth val="1"/>
          <c:extLst>
            <c:ext xmlns:c16="http://schemas.microsoft.com/office/drawing/2014/chart" uri="{C3380CC4-5D6E-409C-BE32-E72D297353CC}">
              <c16:uniqueId val="{00000001-55CC-43E5-B65F-4E0BE6AA32DF}"/>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3951471191098905"/>
                  <c:y val="-0.3003394743537765"/>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Stats'!$Y$13:$Y$98</c:f>
              <c:numCache>
                <c:formatCode>0.0</c:formatCode>
                <c:ptCount val="86"/>
                <c:pt idx="0">
                  <c:v>50</c:v>
                </c:pt>
                <c:pt idx="1">
                  <c:v>40</c:v>
                </c:pt>
                <c:pt idx="2">
                  <c:v>37.5</c:v>
                </c:pt>
                <c:pt idx="3">
                  <c:v>37.5</c:v>
                </c:pt>
                <c:pt idx="4">
                  <c:v>38</c:v>
                </c:pt>
                <c:pt idx="5">
                  <c:v>30</c:v>
                </c:pt>
                <c:pt idx="6">
                  <c:v>32</c:v>
                </c:pt>
                <c:pt idx="7">
                  <c:v>30</c:v>
                </c:pt>
                <c:pt idx="8">
                  <c:v>30</c:v>
                </c:pt>
                <c:pt idx="9">
                  <c:v>30</c:v>
                </c:pt>
                <c:pt idx="10">
                  <c:v>28</c:v>
                </c:pt>
                <c:pt idx="11">
                  <c:v>25</c:v>
                </c:pt>
                <c:pt idx="12">
                  <c:v>37</c:v>
                </c:pt>
                <c:pt idx="13">
                  <c:v>37</c:v>
                </c:pt>
                <c:pt idx="14">
                  <c:v>29</c:v>
                </c:pt>
                <c:pt idx="15">
                  <c:v>32</c:v>
                </c:pt>
                <c:pt idx="16">
                  <c:v>32</c:v>
                </c:pt>
                <c:pt idx="17">
                  <c:v>31</c:v>
                </c:pt>
                <c:pt idx="18">
                  <c:v>45</c:v>
                </c:pt>
                <c:pt idx="19">
                  <c:v>37.5</c:v>
                </c:pt>
                <c:pt idx="20">
                  <c:v>23</c:v>
                </c:pt>
                <c:pt idx="21">
                  <c:v>42</c:v>
                </c:pt>
                <c:pt idx="22">
                  <c:v>42</c:v>
                </c:pt>
                <c:pt idx="23">
                  <c:v>42</c:v>
                </c:pt>
                <c:pt idx="24">
                  <c:v>35</c:v>
                </c:pt>
                <c:pt idx="25">
                  <c:v>35</c:v>
                </c:pt>
                <c:pt idx="26">
                  <c:v>35</c:v>
                </c:pt>
                <c:pt idx="27">
                  <c:v>35</c:v>
                </c:pt>
                <c:pt idx="28">
                  <c:v>32</c:v>
                </c:pt>
                <c:pt idx="29">
                  <c:v>35</c:v>
                </c:pt>
                <c:pt idx="30">
                  <c:v>35</c:v>
                </c:pt>
                <c:pt idx="31">
                  <c:v>28</c:v>
                </c:pt>
                <c:pt idx="32">
                  <c:v>36</c:v>
                </c:pt>
                <c:pt idx="33">
                  <c:v>16</c:v>
                </c:pt>
                <c:pt idx="34">
                  <c:v>34.5</c:v>
                </c:pt>
                <c:pt idx="35">
                  <c:v>32</c:v>
                </c:pt>
                <c:pt idx="36">
                  <c:v>40</c:v>
                </c:pt>
                <c:pt idx="37">
                  <c:v>37</c:v>
                </c:pt>
                <c:pt idx="38">
                  <c:v>35</c:v>
                </c:pt>
                <c:pt idx="39">
                  <c:v>36.5</c:v>
                </c:pt>
                <c:pt idx="40">
                  <c:v>40</c:v>
                </c:pt>
                <c:pt idx="41">
                  <c:v>41</c:v>
                </c:pt>
                <c:pt idx="42">
                  <c:v>40</c:v>
                </c:pt>
                <c:pt idx="43">
                  <c:v>40</c:v>
                </c:pt>
                <c:pt idx="44">
                  <c:v>38</c:v>
                </c:pt>
                <c:pt idx="45">
                  <c:v>40</c:v>
                </c:pt>
                <c:pt idx="46">
                  <c:v>40</c:v>
                </c:pt>
                <c:pt idx="47">
                  <c:v>36.5</c:v>
                </c:pt>
                <c:pt idx="48">
                  <c:v>31</c:v>
                </c:pt>
                <c:pt idx="49">
                  <c:v>31</c:v>
                </c:pt>
                <c:pt idx="50">
                  <c:v>36</c:v>
                </c:pt>
                <c:pt idx="51">
                  <c:v>36</c:v>
                </c:pt>
                <c:pt idx="52">
                  <c:v>38</c:v>
                </c:pt>
                <c:pt idx="53">
                  <c:v>40</c:v>
                </c:pt>
                <c:pt idx="54">
                  <c:v>40</c:v>
                </c:pt>
                <c:pt idx="55">
                  <c:v>27</c:v>
                </c:pt>
                <c:pt idx="56">
                  <c:v>41</c:v>
                </c:pt>
                <c:pt idx="57">
                  <c:v>38</c:v>
                </c:pt>
                <c:pt idx="58">
                  <c:v>37</c:v>
                </c:pt>
                <c:pt idx="59">
                  <c:v>37.5</c:v>
                </c:pt>
                <c:pt idx="60">
                  <c:v>39</c:v>
                </c:pt>
                <c:pt idx="61">
                  <c:v>32</c:v>
                </c:pt>
                <c:pt idx="62">
                  <c:v>31</c:v>
                </c:pt>
                <c:pt idx="63">
                  <c:v>30</c:v>
                </c:pt>
                <c:pt idx="64">
                  <c:v>40</c:v>
                </c:pt>
                <c:pt idx="65">
                  <c:v>30.5</c:v>
                </c:pt>
                <c:pt idx="66">
                  <c:v>26</c:v>
                </c:pt>
                <c:pt idx="67">
                  <c:v>38</c:v>
                </c:pt>
                <c:pt idx="68">
                  <c:v>38.5</c:v>
                </c:pt>
                <c:pt idx="69">
                  <c:v>38.5</c:v>
                </c:pt>
                <c:pt idx="70">
                  <c:v>36</c:v>
                </c:pt>
                <c:pt idx="71">
                  <c:v>30</c:v>
                </c:pt>
                <c:pt idx="72">
                  <c:v>38</c:v>
                </c:pt>
                <c:pt idx="73">
                  <c:v>40</c:v>
                </c:pt>
                <c:pt idx="74">
                  <c:v>32</c:v>
                </c:pt>
                <c:pt idx="75">
                  <c:v>38</c:v>
                </c:pt>
                <c:pt idx="76">
                  <c:v>38</c:v>
                </c:pt>
                <c:pt idx="77">
                  <c:v>32</c:v>
                </c:pt>
                <c:pt idx="78">
                  <c:v>30</c:v>
                </c:pt>
                <c:pt idx="79">
                  <c:v>28</c:v>
                </c:pt>
                <c:pt idx="80">
                  <c:v>28</c:v>
                </c:pt>
                <c:pt idx="81">
                  <c:v>28</c:v>
                </c:pt>
                <c:pt idx="82">
                  <c:v>31</c:v>
                </c:pt>
                <c:pt idx="83">
                  <c:v>31</c:v>
                </c:pt>
                <c:pt idx="84">
                  <c:v>38</c:v>
                </c:pt>
                <c:pt idx="85">
                  <c:v>34</c:v>
                </c:pt>
              </c:numCache>
            </c:numRef>
          </c:xVal>
          <c:yVal>
            <c:numRef>
              <c:f>'Task 1 Converted AMI PDF Stats'!$AO$13:$AO$98</c:f>
              <c:numCache>
                <c:formatCode>0.0</c:formatCode>
                <c:ptCount val="86"/>
                <c:pt idx="0">
                  <c:v>107.49721864016385</c:v>
                </c:pt>
                <c:pt idx="1">
                  <c:v>314.82465590456587</c:v>
                </c:pt>
                <c:pt idx="2">
                  <c:v>202.61395477818331</c:v>
                </c:pt>
                <c:pt idx="3">
                  <c:v>202.61395477818331</c:v>
                </c:pt>
                <c:pt idx="4">
                  <c:v>207.13652548591597</c:v>
                </c:pt>
                <c:pt idx="5">
                  <c:v>103.93484346399988</c:v>
                </c:pt>
                <c:pt idx="6">
                  <c:v>140.48708398298646</c:v>
                </c:pt>
                <c:pt idx="7">
                  <c:v>165.03099203159812</c:v>
                </c:pt>
                <c:pt idx="8">
                  <c:v>294.59297620770172</c:v>
                </c:pt>
                <c:pt idx="9">
                  <c:v>160.68707793147368</c:v>
                </c:pt>
                <c:pt idx="10">
                  <c:v>122.7183168778389</c:v>
                </c:pt>
                <c:pt idx="11">
                  <c:v>80.363545118653917</c:v>
                </c:pt>
                <c:pt idx="12">
                  <c:v>307.81044309533348</c:v>
                </c:pt>
                <c:pt idx="13">
                  <c:v>236.20825182309525</c:v>
                </c:pt>
                <c:pt idx="14">
                  <c:v>143.44329817737122</c:v>
                </c:pt>
                <c:pt idx="15">
                  <c:v>141.60509577413274</c:v>
                </c:pt>
                <c:pt idx="16">
                  <c:v>178.84199132955283</c:v>
                </c:pt>
                <c:pt idx="17">
                  <c:v>152.37010916768281</c:v>
                </c:pt>
                <c:pt idx="18">
                  <c:v>348.46442547642903</c:v>
                </c:pt>
                <c:pt idx="19">
                  <c:v>134.35509349969729</c:v>
                </c:pt>
                <c:pt idx="20">
                  <c:v>66.014561392572261</c:v>
                </c:pt>
                <c:pt idx="21">
                  <c:v>204.0495740124307</c:v>
                </c:pt>
                <c:pt idx="22">
                  <c:v>204.0495740124307</c:v>
                </c:pt>
                <c:pt idx="23">
                  <c:v>204.0495740124307</c:v>
                </c:pt>
                <c:pt idx="24">
                  <c:v>124.22017241655449</c:v>
                </c:pt>
                <c:pt idx="25">
                  <c:v>124.22017241655449</c:v>
                </c:pt>
                <c:pt idx="26">
                  <c:v>124.22017241655449</c:v>
                </c:pt>
                <c:pt idx="27">
                  <c:v>185.74979052942729</c:v>
                </c:pt>
                <c:pt idx="28">
                  <c:v>148.82190582315849</c:v>
                </c:pt>
                <c:pt idx="29">
                  <c:v>126.23188964505242</c:v>
                </c:pt>
                <c:pt idx="30">
                  <c:v>188.75796582437744</c:v>
                </c:pt>
                <c:pt idx="31">
                  <c:v>162.60108177553309</c:v>
                </c:pt>
                <c:pt idx="32">
                  <c:v>208.65146314607483</c:v>
                </c:pt>
                <c:pt idx="33">
                  <c:v>104.49935851507868</c:v>
                </c:pt>
                <c:pt idx="34">
                  <c:v>172.75160797789255</c:v>
                </c:pt>
                <c:pt idx="35">
                  <c:v>142.16760364466623</c:v>
                </c:pt>
                <c:pt idx="36">
                  <c:v>188.41076919265637</c:v>
                </c:pt>
                <c:pt idx="37">
                  <c:v>143.70318935627122</c:v>
                </c:pt>
                <c:pt idx="38">
                  <c:v>126.07014155651417</c:v>
                </c:pt>
                <c:pt idx="39">
                  <c:v>162.95116419781249</c:v>
                </c:pt>
                <c:pt idx="40">
                  <c:v>189.23487859659539</c:v>
                </c:pt>
                <c:pt idx="41">
                  <c:v>203.18765593094867</c:v>
                </c:pt>
                <c:pt idx="42">
                  <c:v>190.64793827892441</c:v>
                </c:pt>
                <c:pt idx="43">
                  <c:v>191.1383513194848</c:v>
                </c:pt>
                <c:pt idx="44">
                  <c:v>155.22816719785348</c:v>
                </c:pt>
                <c:pt idx="45">
                  <c:v>278.2419543220675</c:v>
                </c:pt>
                <c:pt idx="46">
                  <c:v>278.2419543220675</c:v>
                </c:pt>
                <c:pt idx="47">
                  <c:v>143.30053341011225</c:v>
                </c:pt>
                <c:pt idx="48">
                  <c:v>94.334650921501137</c:v>
                </c:pt>
                <c:pt idx="49">
                  <c:v>94.334650921501137</c:v>
                </c:pt>
                <c:pt idx="50">
                  <c:v>160.40706981091787</c:v>
                </c:pt>
                <c:pt idx="51">
                  <c:v>160.40706981091787</c:v>
                </c:pt>
                <c:pt idx="52">
                  <c:v>190.07547005005438</c:v>
                </c:pt>
                <c:pt idx="53">
                  <c:v>158.35333767942379</c:v>
                </c:pt>
                <c:pt idx="54">
                  <c:v>195.03930154063929</c:v>
                </c:pt>
                <c:pt idx="55">
                  <c:v>133.58502456934841</c:v>
                </c:pt>
                <c:pt idx="56">
                  <c:v>125.17941287012333</c:v>
                </c:pt>
                <c:pt idx="57">
                  <c:v>191.01994685850028</c:v>
                </c:pt>
                <c:pt idx="58">
                  <c:v>183.67999936639691</c:v>
                </c:pt>
                <c:pt idx="59">
                  <c:v>181.60058042572948</c:v>
                </c:pt>
                <c:pt idx="60">
                  <c:v>177.27311036789752</c:v>
                </c:pt>
                <c:pt idx="61">
                  <c:v>146.85410706852366</c:v>
                </c:pt>
                <c:pt idx="62">
                  <c:v>107.58294648010288</c:v>
                </c:pt>
                <c:pt idx="63">
                  <c:v>156.2202043307789</c:v>
                </c:pt>
                <c:pt idx="64">
                  <c:v>259.25305397813662</c:v>
                </c:pt>
                <c:pt idx="65">
                  <c:v>379.92415369725211</c:v>
                </c:pt>
                <c:pt idx="66">
                  <c:v>125.73431326440648</c:v>
                </c:pt>
                <c:pt idx="67">
                  <c:v>196.60309272195903</c:v>
                </c:pt>
                <c:pt idx="68">
                  <c:v>163.93713175238196</c:v>
                </c:pt>
                <c:pt idx="69">
                  <c:v>172.1360720654281</c:v>
                </c:pt>
                <c:pt idx="70">
                  <c:v>154.59226567692897</c:v>
                </c:pt>
                <c:pt idx="71">
                  <c:v>203.49876947904383</c:v>
                </c:pt>
                <c:pt idx="72">
                  <c:v>176.61320044368793</c:v>
                </c:pt>
                <c:pt idx="73">
                  <c:v>243.07167403242659</c:v>
                </c:pt>
                <c:pt idx="74">
                  <c:v>124.45269710460242</c:v>
                </c:pt>
                <c:pt idx="75">
                  <c:v>207.71009112086188</c:v>
                </c:pt>
                <c:pt idx="76">
                  <c:v>178.25231671049326</c:v>
                </c:pt>
                <c:pt idx="77">
                  <c:v>147.68867472463879</c:v>
                </c:pt>
                <c:pt idx="78">
                  <c:v>123.91726414016325</c:v>
                </c:pt>
                <c:pt idx="79">
                  <c:v>335.50528606987314</c:v>
                </c:pt>
                <c:pt idx="80">
                  <c:v>335.50528606987314</c:v>
                </c:pt>
                <c:pt idx="81">
                  <c:v>335.50528606987314</c:v>
                </c:pt>
                <c:pt idx="82">
                  <c:v>111.23894845107783</c:v>
                </c:pt>
                <c:pt idx="83">
                  <c:v>124.78049887620632</c:v>
                </c:pt>
                <c:pt idx="84">
                  <c:v>243.61692569533994</c:v>
                </c:pt>
              </c:numCache>
            </c:numRef>
          </c:yVal>
          <c:smooth val="1"/>
          <c:extLst>
            <c:ext xmlns:c16="http://schemas.microsoft.com/office/drawing/2014/chart" uri="{C3380CC4-5D6E-409C-BE32-E72D297353CC}">
              <c16:uniqueId val="{00000002-55CC-43E5-B65F-4E0BE6AA32DF}"/>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38959387047374727"/>
                  <c:y val="-0.28199680407750344"/>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Stats'!$Y$99:$Y$112</c:f>
              <c:numCache>
                <c:formatCode>0.0</c:formatCode>
                <c:ptCount val="14"/>
                <c:pt idx="0">
                  <c:v>36</c:v>
                </c:pt>
                <c:pt idx="1">
                  <c:v>32</c:v>
                </c:pt>
                <c:pt idx="2">
                  <c:v>35</c:v>
                </c:pt>
                <c:pt idx="3">
                  <c:v>40.5</c:v>
                </c:pt>
                <c:pt idx="4">
                  <c:v>37</c:v>
                </c:pt>
                <c:pt idx="5">
                  <c:v>30</c:v>
                </c:pt>
                <c:pt idx="6">
                  <c:v>32</c:v>
                </c:pt>
                <c:pt idx="7">
                  <c:v>30</c:v>
                </c:pt>
                <c:pt idx="8">
                  <c:v>40</c:v>
                </c:pt>
                <c:pt idx="9">
                  <c:v>30.5</c:v>
                </c:pt>
                <c:pt idx="10">
                  <c:v>40</c:v>
                </c:pt>
                <c:pt idx="11">
                  <c:v>32</c:v>
                </c:pt>
                <c:pt idx="12">
                  <c:v>32</c:v>
                </c:pt>
                <c:pt idx="13">
                  <c:v>37</c:v>
                </c:pt>
              </c:numCache>
            </c:numRef>
          </c:xVal>
          <c:yVal>
            <c:numRef>
              <c:f>'Task 1 Converted AMI PDF Stats'!$AO$99:$AO$112</c:f>
              <c:numCache>
                <c:formatCode>0.0</c:formatCode>
                <c:ptCount val="14"/>
                <c:pt idx="0">
                  <c:v>246.85700541337096</c:v>
                </c:pt>
                <c:pt idx="1">
                  <c:v>167.29080221402376</c:v>
                </c:pt>
                <c:pt idx="2">
                  <c:v>188.75796582437744</c:v>
                </c:pt>
                <c:pt idx="3">
                  <c:v>195.58705563969505</c:v>
                </c:pt>
                <c:pt idx="4">
                  <c:v>183.63641522349215</c:v>
                </c:pt>
                <c:pt idx="5">
                  <c:v>141.91390406759641</c:v>
                </c:pt>
                <c:pt idx="6">
                  <c:v>182.271670585674</c:v>
                </c:pt>
                <c:pt idx="7">
                  <c:v>118.27754463054094</c:v>
                </c:pt>
                <c:pt idx="8">
                  <c:v>189.61863180975163</c:v>
                </c:pt>
                <c:pt idx="9">
                  <c:v>379.92415369725211</c:v>
                </c:pt>
                <c:pt idx="10">
                  <c:v>195.64199781382439</c:v>
                </c:pt>
                <c:pt idx="11">
                  <c:v>128.28238286582126</c:v>
                </c:pt>
                <c:pt idx="12">
                  <c:v>133.77151742060852</c:v>
                </c:pt>
                <c:pt idx="13">
                  <c:v>155.01636508793578</c:v>
                </c:pt>
              </c:numCache>
            </c:numRef>
          </c:yVal>
          <c:smooth val="1"/>
          <c:extLst>
            <c:ext xmlns:c16="http://schemas.microsoft.com/office/drawing/2014/chart" uri="{C3380CC4-5D6E-409C-BE32-E72D297353CC}">
              <c16:uniqueId val="{00000003-55CC-43E5-B65F-4E0BE6AA32DF}"/>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4333979886750878"/>
                  <c:y val="-4.0461098455637001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Stats'!$Y$113:$Y$276</c:f>
              <c:numCache>
                <c:formatCode>0.0</c:formatCode>
                <c:ptCount val="164"/>
                <c:pt idx="0">
                  <c:v>23.8</c:v>
                </c:pt>
                <c:pt idx="1">
                  <c:v>29</c:v>
                </c:pt>
                <c:pt idx="2">
                  <c:v>22.5</c:v>
                </c:pt>
                <c:pt idx="3">
                  <c:v>30</c:v>
                </c:pt>
                <c:pt idx="4">
                  <c:v>30</c:v>
                </c:pt>
                <c:pt idx="5">
                  <c:v>26</c:v>
                </c:pt>
                <c:pt idx="6">
                  <c:v>23</c:v>
                </c:pt>
                <c:pt idx="7">
                  <c:v>22</c:v>
                </c:pt>
                <c:pt idx="9">
                  <c:v>38</c:v>
                </c:pt>
                <c:pt idx="10">
                  <c:v>45</c:v>
                </c:pt>
                <c:pt idx="11">
                  <c:v>18.7</c:v>
                </c:pt>
                <c:pt idx="12">
                  <c:v>50</c:v>
                </c:pt>
                <c:pt idx="13">
                  <c:v>23</c:v>
                </c:pt>
                <c:pt idx="14">
                  <c:v>22</c:v>
                </c:pt>
                <c:pt idx="15">
                  <c:v>23</c:v>
                </c:pt>
                <c:pt idx="16">
                  <c:v>18</c:v>
                </c:pt>
                <c:pt idx="17">
                  <c:v>20</c:v>
                </c:pt>
                <c:pt idx="18">
                  <c:v>25</c:v>
                </c:pt>
                <c:pt idx="19">
                  <c:v>30</c:v>
                </c:pt>
                <c:pt idx="20">
                  <c:v>23</c:v>
                </c:pt>
                <c:pt idx="21">
                  <c:v>27</c:v>
                </c:pt>
                <c:pt idx="22">
                  <c:v>25</c:v>
                </c:pt>
                <c:pt idx="23">
                  <c:v>22</c:v>
                </c:pt>
                <c:pt idx="24">
                  <c:v>25</c:v>
                </c:pt>
                <c:pt idx="25">
                  <c:v>18</c:v>
                </c:pt>
                <c:pt idx="26">
                  <c:v>27</c:v>
                </c:pt>
                <c:pt idx="27">
                  <c:v>32</c:v>
                </c:pt>
                <c:pt idx="28">
                  <c:v>32</c:v>
                </c:pt>
                <c:pt idx="29">
                  <c:v>18</c:v>
                </c:pt>
                <c:pt idx="30">
                  <c:v>23</c:v>
                </c:pt>
                <c:pt idx="31">
                  <c:v>26</c:v>
                </c:pt>
                <c:pt idx="32">
                  <c:v>30</c:v>
                </c:pt>
                <c:pt idx="33">
                  <c:v>26</c:v>
                </c:pt>
                <c:pt idx="34">
                  <c:v>45</c:v>
                </c:pt>
                <c:pt idx="35">
                  <c:v>21</c:v>
                </c:pt>
                <c:pt idx="36">
                  <c:v>27</c:v>
                </c:pt>
                <c:pt idx="37">
                  <c:v>14</c:v>
                </c:pt>
                <c:pt idx="38">
                  <c:v>18</c:v>
                </c:pt>
                <c:pt idx="39">
                  <c:v>20</c:v>
                </c:pt>
                <c:pt idx="40">
                  <c:v>20</c:v>
                </c:pt>
                <c:pt idx="41">
                  <c:v>30</c:v>
                </c:pt>
                <c:pt idx="42">
                  <c:v>25</c:v>
                </c:pt>
                <c:pt idx="43">
                  <c:v>25</c:v>
                </c:pt>
                <c:pt idx="44">
                  <c:v>22</c:v>
                </c:pt>
                <c:pt idx="45">
                  <c:v>27</c:v>
                </c:pt>
                <c:pt idx="46">
                  <c:v>30</c:v>
                </c:pt>
                <c:pt idx="47">
                  <c:v>17</c:v>
                </c:pt>
                <c:pt idx="48">
                  <c:v>25</c:v>
                </c:pt>
                <c:pt idx="49">
                  <c:v>30</c:v>
                </c:pt>
                <c:pt idx="50">
                  <c:v>24</c:v>
                </c:pt>
                <c:pt idx="51">
                  <c:v>30</c:v>
                </c:pt>
                <c:pt idx="52">
                  <c:v>28</c:v>
                </c:pt>
                <c:pt idx="53">
                  <c:v>30</c:v>
                </c:pt>
                <c:pt idx="54">
                  <c:v>24</c:v>
                </c:pt>
                <c:pt idx="55">
                  <c:v>25</c:v>
                </c:pt>
                <c:pt idx="56">
                  <c:v>35</c:v>
                </c:pt>
                <c:pt idx="57">
                  <c:v>24</c:v>
                </c:pt>
                <c:pt idx="58">
                  <c:v>32</c:v>
                </c:pt>
                <c:pt idx="59">
                  <c:v>23</c:v>
                </c:pt>
                <c:pt idx="60">
                  <c:v>42</c:v>
                </c:pt>
                <c:pt idx="61">
                  <c:v>28</c:v>
                </c:pt>
                <c:pt idx="62">
                  <c:v>22</c:v>
                </c:pt>
                <c:pt idx="63">
                  <c:v>32</c:v>
                </c:pt>
                <c:pt idx="64">
                  <c:v>21</c:v>
                </c:pt>
                <c:pt idx="65">
                  <c:v>21</c:v>
                </c:pt>
                <c:pt idx="66">
                  <c:v>23</c:v>
                </c:pt>
                <c:pt idx="67">
                  <c:v>32</c:v>
                </c:pt>
                <c:pt idx="68">
                  <c:v>32</c:v>
                </c:pt>
                <c:pt idx="69">
                  <c:v>25</c:v>
                </c:pt>
                <c:pt idx="70">
                  <c:v>40</c:v>
                </c:pt>
                <c:pt idx="71">
                  <c:v>22</c:v>
                </c:pt>
                <c:pt idx="72">
                  <c:v>21</c:v>
                </c:pt>
                <c:pt idx="73">
                  <c:v>26.3</c:v>
                </c:pt>
                <c:pt idx="74">
                  <c:v>24</c:v>
                </c:pt>
                <c:pt idx="75">
                  <c:v>28</c:v>
                </c:pt>
                <c:pt idx="76">
                  <c:v>11</c:v>
                </c:pt>
                <c:pt idx="77">
                  <c:v>29</c:v>
                </c:pt>
                <c:pt idx="78">
                  <c:v>20</c:v>
                </c:pt>
                <c:pt idx="79">
                  <c:v>20</c:v>
                </c:pt>
                <c:pt idx="80">
                  <c:v>18</c:v>
                </c:pt>
                <c:pt idx="81">
                  <c:v>29</c:v>
                </c:pt>
                <c:pt idx="82">
                  <c:v>24</c:v>
                </c:pt>
                <c:pt idx="83">
                  <c:v>28</c:v>
                </c:pt>
                <c:pt idx="84">
                  <c:v>22</c:v>
                </c:pt>
                <c:pt idx="85">
                  <c:v>28</c:v>
                </c:pt>
                <c:pt idx="86">
                  <c:v>22</c:v>
                </c:pt>
                <c:pt idx="87">
                  <c:v>23</c:v>
                </c:pt>
                <c:pt idx="88">
                  <c:v>33</c:v>
                </c:pt>
                <c:pt idx="89">
                  <c:v>33</c:v>
                </c:pt>
                <c:pt idx="90">
                  <c:v>25</c:v>
                </c:pt>
                <c:pt idx="91">
                  <c:v>27</c:v>
                </c:pt>
                <c:pt idx="92">
                  <c:v>25</c:v>
                </c:pt>
                <c:pt idx="93">
                  <c:v>28</c:v>
                </c:pt>
                <c:pt idx="94">
                  <c:v>24</c:v>
                </c:pt>
                <c:pt idx="95">
                  <c:v>27</c:v>
                </c:pt>
                <c:pt idx="96">
                  <c:v>35</c:v>
                </c:pt>
                <c:pt idx="97">
                  <c:v>26</c:v>
                </c:pt>
                <c:pt idx="98">
                  <c:v>32</c:v>
                </c:pt>
                <c:pt idx="99">
                  <c:v>27</c:v>
                </c:pt>
                <c:pt idx="100">
                  <c:v>29</c:v>
                </c:pt>
                <c:pt idx="101">
                  <c:v>38</c:v>
                </c:pt>
                <c:pt idx="102">
                  <c:v>30</c:v>
                </c:pt>
                <c:pt idx="103">
                  <c:v>33</c:v>
                </c:pt>
                <c:pt idx="104">
                  <c:v>30</c:v>
                </c:pt>
                <c:pt idx="105">
                  <c:v>37</c:v>
                </c:pt>
                <c:pt idx="106">
                  <c:v>30</c:v>
                </c:pt>
                <c:pt idx="107">
                  <c:v>40</c:v>
                </c:pt>
                <c:pt idx="108">
                  <c:v>28</c:v>
                </c:pt>
                <c:pt idx="109">
                  <c:v>34.5</c:v>
                </c:pt>
                <c:pt idx="110">
                  <c:v>30</c:v>
                </c:pt>
                <c:pt idx="111">
                  <c:v>30</c:v>
                </c:pt>
                <c:pt idx="112">
                  <c:v>23</c:v>
                </c:pt>
                <c:pt idx="113">
                  <c:v>20</c:v>
                </c:pt>
                <c:pt idx="114">
                  <c:v>41</c:v>
                </c:pt>
                <c:pt idx="115">
                  <c:v>35</c:v>
                </c:pt>
                <c:pt idx="116">
                  <c:v>30</c:v>
                </c:pt>
                <c:pt idx="117">
                  <c:v>22</c:v>
                </c:pt>
                <c:pt idx="118">
                  <c:v>26</c:v>
                </c:pt>
                <c:pt idx="119">
                  <c:v>25</c:v>
                </c:pt>
                <c:pt idx="120">
                  <c:v>22</c:v>
                </c:pt>
                <c:pt idx="121">
                  <c:v>27.5</c:v>
                </c:pt>
                <c:pt idx="122">
                  <c:v>20</c:v>
                </c:pt>
                <c:pt idx="123">
                  <c:v>23</c:v>
                </c:pt>
                <c:pt idx="124">
                  <c:v>16</c:v>
                </c:pt>
                <c:pt idx="125">
                  <c:v>15</c:v>
                </c:pt>
                <c:pt idx="126">
                  <c:v>35</c:v>
                </c:pt>
                <c:pt idx="127">
                  <c:v>23</c:v>
                </c:pt>
                <c:pt idx="128">
                  <c:v>24</c:v>
                </c:pt>
                <c:pt idx="129">
                  <c:v>30.5</c:v>
                </c:pt>
                <c:pt idx="130">
                  <c:v>30.5</c:v>
                </c:pt>
                <c:pt idx="131">
                  <c:v>28</c:v>
                </c:pt>
                <c:pt idx="132">
                  <c:v>35</c:v>
                </c:pt>
                <c:pt idx="133">
                  <c:v>35</c:v>
                </c:pt>
                <c:pt idx="134">
                  <c:v>20.6</c:v>
                </c:pt>
                <c:pt idx="135">
                  <c:v>20</c:v>
                </c:pt>
                <c:pt idx="136">
                  <c:v>25</c:v>
                </c:pt>
                <c:pt idx="137">
                  <c:v>23</c:v>
                </c:pt>
                <c:pt idx="138">
                  <c:v>40</c:v>
                </c:pt>
                <c:pt idx="139">
                  <c:v>20</c:v>
                </c:pt>
                <c:pt idx="140">
                  <c:v>24.5</c:v>
                </c:pt>
                <c:pt idx="141">
                  <c:v>23</c:v>
                </c:pt>
                <c:pt idx="142">
                  <c:v>28</c:v>
                </c:pt>
                <c:pt idx="143">
                  <c:v>22</c:v>
                </c:pt>
                <c:pt idx="144">
                  <c:v>23</c:v>
                </c:pt>
                <c:pt idx="145">
                  <c:v>42</c:v>
                </c:pt>
                <c:pt idx="146">
                  <c:v>24</c:v>
                </c:pt>
                <c:pt idx="147">
                  <c:v>27</c:v>
                </c:pt>
                <c:pt idx="148">
                  <c:v>27</c:v>
                </c:pt>
                <c:pt idx="149">
                  <c:v>30</c:v>
                </c:pt>
                <c:pt idx="150">
                  <c:v>26</c:v>
                </c:pt>
                <c:pt idx="151">
                  <c:v>24</c:v>
                </c:pt>
                <c:pt idx="152">
                  <c:v>30</c:v>
                </c:pt>
                <c:pt idx="153">
                  <c:v>22</c:v>
                </c:pt>
                <c:pt idx="154">
                  <c:v>31</c:v>
                </c:pt>
                <c:pt idx="155">
                  <c:v>28</c:v>
                </c:pt>
                <c:pt idx="156">
                  <c:v>38</c:v>
                </c:pt>
                <c:pt idx="157">
                  <c:v>20</c:v>
                </c:pt>
                <c:pt idx="158">
                  <c:v>15</c:v>
                </c:pt>
                <c:pt idx="159">
                  <c:v>15</c:v>
                </c:pt>
                <c:pt idx="160">
                  <c:v>15</c:v>
                </c:pt>
                <c:pt idx="161">
                  <c:v>24</c:v>
                </c:pt>
                <c:pt idx="162">
                  <c:v>25</c:v>
                </c:pt>
                <c:pt idx="163">
                  <c:v>24</c:v>
                </c:pt>
              </c:numCache>
            </c:numRef>
          </c:xVal>
          <c:yVal>
            <c:numRef>
              <c:f>'Task 1 Converted AMI PDF Stats'!$AO$113:$AO$276</c:f>
              <c:numCache>
                <c:formatCode>0.0</c:formatCode>
                <c:ptCount val="164"/>
                <c:pt idx="3">
                  <c:v>141.1402301741891</c:v>
                </c:pt>
                <c:pt idx="4">
                  <c:v>141.1402301741891</c:v>
                </c:pt>
                <c:pt idx="5">
                  <c:v>80.587416585840614</c:v>
                </c:pt>
                <c:pt idx="6">
                  <c:v>63.248603817781941</c:v>
                </c:pt>
                <c:pt idx="7">
                  <c:v>117.01832124016656</c:v>
                </c:pt>
                <c:pt idx="9">
                  <c:v>171.28850341227411</c:v>
                </c:pt>
                <c:pt idx="10">
                  <c:v>298.77207521642049</c:v>
                </c:pt>
                <c:pt idx="11">
                  <c:v>123.57713783566507</c:v>
                </c:pt>
                <c:pt idx="12">
                  <c:v>419.20647286299396</c:v>
                </c:pt>
                <c:pt idx="13">
                  <c:v>124.19176971397229</c:v>
                </c:pt>
                <c:pt idx="14">
                  <c:v>109.78203113021659</c:v>
                </c:pt>
                <c:pt idx="15">
                  <c:v>126.68819071878335</c:v>
                </c:pt>
                <c:pt idx="17">
                  <c:v>50.325903770127709</c:v>
                </c:pt>
                <c:pt idx="18">
                  <c:v>103.53635443712734</c:v>
                </c:pt>
                <c:pt idx="19">
                  <c:v>118.62886397300143</c:v>
                </c:pt>
                <c:pt idx="20">
                  <c:v>84.511590784162408</c:v>
                </c:pt>
                <c:pt idx="21">
                  <c:v>144.17012998119824</c:v>
                </c:pt>
                <c:pt idx="22">
                  <c:v>135.14069567227253</c:v>
                </c:pt>
                <c:pt idx="23">
                  <c:v>165.10380276509872</c:v>
                </c:pt>
                <c:pt idx="24">
                  <c:v>117.95404177429035</c:v>
                </c:pt>
                <c:pt idx="25">
                  <c:v>47.19599011743059</c:v>
                </c:pt>
                <c:pt idx="26">
                  <c:v>148.56599407254947</c:v>
                </c:pt>
                <c:pt idx="27">
                  <c:v>155.66268873506513</c:v>
                </c:pt>
                <c:pt idx="28">
                  <c:v>205.69519557972404</c:v>
                </c:pt>
                <c:pt idx="30">
                  <c:v>245.72975267532195</c:v>
                </c:pt>
                <c:pt idx="31">
                  <c:v>98.205743714286442</c:v>
                </c:pt>
                <c:pt idx="32">
                  <c:v>269.65717956021541</c:v>
                </c:pt>
                <c:pt idx="33">
                  <c:v>124.00329859889354</c:v>
                </c:pt>
                <c:pt idx="34">
                  <c:v>256.45172099478822</c:v>
                </c:pt>
                <c:pt idx="35">
                  <c:v>71.412875977873156</c:v>
                </c:pt>
                <c:pt idx="36">
                  <c:v>117.90640654220275</c:v>
                </c:pt>
                <c:pt idx="37">
                  <c:v>44.597298516026115</c:v>
                </c:pt>
                <c:pt idx="38">
                  <c:v>24.45466209764205</c:v>
                </c:pt>
                <c:pt idx="39">
                  <c:v>82.149266871998591</c:v>
                </c:pt>
                <c:pt idx="40">
                  <c:v>73.233842560308815</c:v>
                </c:pt>
                <c:pt idx="41">
                  <c:v>122.63147771036328</c:v>
                </c:pt>
                <c:pt idx="42">
                  <c:v>139.32602519000596</c:v>
                </c:pt>
                <c:pt idx="43">
                  <c:v>267.1670002519698</c:v>
                </c:pt>
                <c:pt idx="44">
                  <c:v>84.964520664664832</c:v>
                </c:pt>
                <c:pt idx="45">
                  <c:v>161.5386455055843</c:v>
                </c:pt>
                <c:pt idx="46">
                  <c:v>137.20305144239842</c:v>
                </c:pt>
                <c:pt idx="47">
                  <c:v>99.406231895252418</c:v>
                </c:pt>
                <c:pt idx="48">
                  <c:v>197.72003097732477</c:v>
                </c:pt>
                <c:pt idx="49">
                  <c:v>123.97160293193997</c:v>
                </c:pt>
                <c:pt idx="50">
                  <c:v>105.78910116858877</c:v>
                </c:pt>
                <c:pt idx="51">
                  <c:v>177.96669958647715</c:v>
                </c:pt>
                <c:pt idx="52">
                  <c:v>97.141813034676588</c:v>
                </c:pt>
                <c:pt idx="53">
                  <c:v>244.63681678080314</c:v>
                </c:pt>
                <c:pt idx="54">
                  <c:v>72.6473491112273</c:v>
                </c:pt>
                <c:pt idx="55">
                  <c:v>69.455549877068549</c:v>
                </c:pt>
                <c:pt idx="56">
                  <c:v>194.98416799027635</c:v>
                </c:pt>
                <c:pt idx="57">
                  <c:v>96.150903235447885</c:v>
                </c:pt>
                <c:pt idx="58">
                  <c:v>169.43277717635902</c:v>
                </c:pt>
                <c:pt idx="59">
                  <c:v>71.214666503437385</c:v>
                </c:pt>
                <c:pt idx="60">
                  <c:v>199.16055874392202</c:v>
                </c:pt>
                <c:pt idx="61">
                  <c:v>121.3786347334793</c:v>
                </c:pt>
                <c:pt idx="62">
                  <c:v>49.817912960665801</c:v>
                </c:pt>
                <c:pt idx="63">
                  <c:v>140.15037133472515</c:v>
                </c:pt>
                <c:pt idx="64">
                  <c:v>163.90245179454593</c:v>
                </c:pt>
                <c:pt idx="65">
                  <c:v>67.516634972185116</c:v>
                </c:pt>
                <c:pt idx="66">
                  <c:v>78.668043709610032</c:v>
                </c:pt>
                <c:pt idx="67">
                  <c:v>119.76776655719898</c:v>
                </c:pt>
                <c:pt idx="68">
                  <c:v>145.84271555490781</c:v>
                </c:pt>
                <c:pt idx="69">
                  <c:v>51.61212145241705</c:v>
                </c:pt>
                <c:pt idx="70">
                  <c:v>357.90008909594087</c:v>
                </c:pt>
                <c:pt idx="71">
                  <c:v>48.981129261013272</c:v>
                </c:pt>
                <c:pt idx="72">
                  <c:v>64.194792104663421</c:v>
                </c:pt>
                <c:pt idx="73">
                  <c:v>117.01427949424091</c:v>
                </c:pt>
                <c:pt idx="74">
                  <c:v>128.92989055741884</c:v>
                </c:pt>
                <c:pt idx="75">
                  <c:v>106.84977365170518</c:v>
                </c:pt>
                <c:pt idx="76">
                  <c:v>99.755869424456648</c:v>
                </c:pt>
                <c:pt idx="77">
                  <c:v>141.05145971162864</c:v>
                </c:pt>
                <c:pt idx="78">
                  <c:v>84.304525503692545</c:v>
                </c:pt>
                <c:pt idx="79">
                  <c:v>54.031536800093861</c:v>
                </c:pt>
                <c:pt idx="80">
                  <c:v>39.873785503520125</c:v>
                </c:pt>
                <c:pt idx="81">
                  <c:v>118.88622441253456</c:v>
                </c:pt>
                <c:pt idx="82">
                  <c:v>67.768104669154013</c:v>
                </c:pt>
                <c:pt idx="83">
                  <c:v>102.06952790650543</c:v>
                </c:pt>
                <c:pt idx="84">
                  <c:v>34.037899919805618</c:v>
                </c:pt>
                <c:pt idx="85">
                  <c:v>121.49729640987854</c:v>
                </c:pt>
                <c:pt idx="86">
                  <c:v>70.719927779102775</c:v>
                </c:pt>
                <c:pt idx="87">
                  <c:v>64.819686553700691</c:v>
                </c:pt>
                <c:pt idx="88">
                  <c:v>193.81878362738368</c:v>
                </c:pt>
                <c:pt idx="89">
                  <c:v>159.11983750298126</c:v>
                </c:pt>
                <c:pt idx="90">
                  <c:v>124.21475617969845</c:v>
                </c:pt>
                <c:pt idx="91">
                  <c:v>215.97594963449694</c:v>
                </c:pt>
                <c:pt idx="92">
                  <c:v>112.01809118865374</c:v>
                </c:pt>
                <c:pt idx="93">
                  <c:v>157.71947749753096</c:v>
                </c:pt>
                <c:pt idx="94">
                  <c:v>140.86708449443015</c:v>
                </c:pt>
                <c:pt idx="95">
                  <c:v>116.11977287837533</c:v>
                </c:pt>
                <c:pt idx="96">
                  <c:v>201.08270476391073</c:v>
                </c:pt>
                <c:pt idx="97">
                  <c:v>146.83983915531803</c:v>
                </c:pt>
                <c:pt idx="98">
                  <c:v>145.53893979403114</c:v>
                </c:pt>
                <c:pt idx="99">
                  <c:v>131.7317282130623</c:v>
                </c:pt>
                <c:pt idx="100">
                  <c:v>209.29497477067591</c:v>
                </c:pt>
                <c:pt idx="101">
                  <c:v>172.09402425943725</c:v>
                </c:pt>
                <c:pt idx="102">
                  <c:v>142.37546580217392</c:v>
                </c:pt>
                <c:pt idx="103">
                  <c:v>176.34190158111755</c:v>
                </c:pt>
                <c:pt idx="104">
                  <c:v>139.87032564143186</c:v>
                </c:pt>
                <c:pt idx="105">
                  <c:v>129.18503198482898</c:v>
                </c:pt>
                <c:pt idx="106">
                  <c:v>162.99846310669025</c:v>
                </c:pt>
                <c:pt idx="107">
                  <c:v>175.97578352805024</c:v>
                </c:pt>
                <c:pt idx="108">
                  <c:v>240.89965908338073</c:v>
                </c:pt>
                <c:pt idx="109">
                  <c:v>175.26642552926143</c:v>
                </c:pt>
                <c:pt idx="110">
                  <c:v>172.17606681871666</c:v>
                </c:pt>
                <c:pt idx="112">
                  <c:v>80.474619163737827</c:v>
                </c:pt>
                <c:pt idx="113">
                  <c:v>69.017437042095608</c:v>
                </c:pt>
                <c:pt idx="114">
                  <c:v>203.18765593094867</c:v>
                </c:pt>
                <c:pt idx="115">
                  <c:v>159.62086302621847</c:v>
                </c:pt>
                <c:pt idx="116">
                  <c:v>161.27298392581525</c:v>
                </c:pt>
                <c:pt idx="118">
                  <c:v>124.39298304395612</c:v>
                </c:pt>
                <c:pt idx="119">
                  <c:v>103.79184240236935</c:v>
                </c:pt>
                <c:pt idx="120">
                  <c:v>65.221809545862143</c:v>
                </c:pt>
                <c:pt idx="121">
                  <c:v>219.25315953489016</c:v>
                </c:pt>
                <c:pt idx="122">
                  <c:v>94.003198925389569</c:v>
                </c:pt>
                <c:pt idx="123">
                  <c:v>137.26671516447007</c:v>
                </c:pt>
                <c:pt idx="124">
                  <c:v>47.807248095881157</c:v>
                </c:pt>
                <c:pt idx="125">
                  <c:v>73.930999362540788</c:v>
                </c:pt>
                <c:pt idx="126">
                  <c:v>154.02704345497509</c:v>
                </c:pt>
                <c:pt idx="127">
                  <c:v>110.57145999324966</c:v>
                </c:pt>
                <c:pt idx="128">
                  <c:v>108.92075291617239</c:v>
                </c:pt>
                <c:pt idx="129">
                  <c:v>368.85898925011259</c:v>
                </c:pt>
                <c:pt idx="130">
                  <c:v>368.85898925011259</c:v>
                </c:pt>
                <c:pt idx="131">
                  <c:v>103.40126830533374</c:v>
                </c:pt>
                <c:pt idx="132">
                  <c:v>120.68481290980839</c:v>
                </c:pt>
                <c:pt idx="133">
                  <c:v>119.18632889819638</c:v>
                </c:pt>
                <c:pt idx="134">
                  <c:v>105.67388220953448</c:v>
                </c:pt>
                <c:pt idx="135">
                  <c:v>91.245717966487149</c:v>
                </c:pt>
                <c:pt idx="136">
                  <c:v>93.967536258101106</c:v>
                </c:pt>
                <c:pt idx="137">
                  <c:v>89.830044628392116</c:v>
                </c:pt>
                <c:pt idx="138">
                  <c:v>228.88672850175766</c:v>
                </c:pt>
                <c:pt idx="139">
                  <c:v>70.965166446925636</c:v>
                </c:pt>
                <c:pt idx="140">
                  <c:v>100.7918976272535</c:v>
                </c:pt>
                <c:pt idx="141">
                  <c:v>152.2652581260829</c:v>
                </c:pt>
                <c:pt idx="142">
                  <c:v>139.7733588146981</c:v>
                </c:pt>
                <c:pt idx="143">
                  <c:v>72.170759972450668</c:v>
                </c:pt>
                <c:pt idx="144">
                  <c:v>157.53478646764208</c:v>
                </c:pt>
                <c:pt idx="145">
                  <c:v>247.29056475396393</c:v>
                </c:pt>
                <c:pt idx="146">
                  <c:v>100.87115120176784</c:v>
                </c:pt>
                <c:pt idx="147">
                  <c:v>130.02285678450249</c:v>
                </c:pt>
                <c:pt idx="148">
                  <c:v>130.02285678450249</c:v>
                </c:pt>
                <c:pt idx="149">
                  <c:v>259.11446227706961</c:v>
                </c:pt>
                <c:pt idx="150">
                  <c:v>181.550695675947</c:v>
                </c:pt>
                <c:pt idx="151">
                  <c:v>105.19767574753783</c:v>
                </c:pt>
                <c:pt idx="152">
                  <c:v>147.13141101956219</c:v>
                </c:pt>
                <c:pt idx="155">
                  <c:v>155.04418241338064</c:v>
                </c:pt>
                <c:pt idx="156">
                  <c:v>148.87427718231723</c:v>
                </c:pt>
                <c:pt idx="157">
                  <c:v>58.916111755663884</c:v>
                </c:pt>
                <c:pt idx="158">
                  <c:v>122.79627283998238</c:v>
                </c:pt>
                <c:pt idx="159">
                  <c:v>112.59215105906625</c:v>
                </c:pt>
                <c:pt idx="160">
                  <c:v>113.27973937739827</c:v>
                </c:pt>
                <c:pt idx="161">
                  <c:v>101.47862012898386</c:v>
                </c:pt>
                <c:pt idx="162">
                  <c:v>105.52337705108096</c:v>
                </c:pt>
                <c:pt idx="163">
                  <c:v>96.143306532146951</c:v>
                </c:pt>
              </c:numCache>
            </c:numRef>
          </c:yVal>
          <c:smooth val="1"/>
          <c:extLst>
            <c:ext xmlns:c16="http://schemas.microsoft.com/office/drawing/2014/chart" uri="{C3380CC4-5D6E-409C-BE32-E72D297353CC}">
              <c16:uniqueId val="{00000004-55CC-43E5-B65F-4E0BE6AA32DF}"/>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Stats'!$Y$283</c:f>
              <c:numCache>
                <c:formatCode>0.0</c:formatCode>
                <c:ptCount val="1"/>
                <c:pt idx="0">
                  <c:v>31</c:v>
                </c:pt>
              </c:numCache>
            </c:numRef>
          </c:xVal>
          <c:yVal>
            <c:numRef>
              <c:f>'Task 1 Converted AMI PDF Stats'!$AO$283</c:f>
              <c:numCache>
                <c:formatCode>0.0</c:formatCode>
                <c:ptCount val="1"/>
                <c:pt idx="0">
                  <c:v>96.454197720128022</c:v>
                </c:pt>
              </c:numCache>
            </c:numRef>
          </c:yVal>
          <c:smooth val="1"/>
          <c:extLst>
            <c:ext xmlns:c16="http://schemas.microsoft.com/office/drawing/2014/chart" uri="{C3380CC4-5D6E-409C-BE32-E72D297353CC}">
              <c16:uniqueId val="{00000005-55CC-43E5-B65F-4E0BE6AA32DF}"/>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Stats'!$Y$284:$Y$294</c:f>
              <c:numCache>
                <c:formatCode>0.0</c:formatCode>
                <c:ptCount val="11"/>
                <c:pt idx="0">
                  <c:v>23.8</c:v>
                </c:pt>
                <c:pt idx="1">
                  <c:v>29</c:v>
                </c:pt>
                <c:pt idx="2">
                  <c:v>22.5</c:v>
                </c:pt>
                <c:pt idx="3">
                  <c:v>25</c:v>
                </c:pt>
                <c:pt idx="4">
                  <c:v>18</c:v>
                </c:pt>
                <c:pt idx="5">
                  <c:v>18</c:v>
                </c:pt>
                <c:pt idx="6">
                  <c:v>30</c:v>
                </c:pt>
                <c:pt idx="7">
                  <c:v>27.5</c:v>
                </c:pt>
                <c:pt idx="8">
                  <c:v>35</c:v>
                </c:pt>
                <c:pt idx="9">
                  <c:v>29</c:v>
                </c:pt>
                <c:pt idx="10">
                  <c:v>28</c:v>
                </c:pt>
              </c:numCache>
            </c:numRef>
          </c:xVal>
          <c:yVal>
            <c:numRef>
              <c:f>'Task 1 Converted AMI PDF Stats'!$AO$284:$AO$294</c:f>
              <c:numCache>
                <c:formatCode>0.0</c:formatCode>
                <c:ptCount val="11"/>
                <c:pt idx="3">
                  <c:v>103.79184240236935</c:v>
                </c:pt>
                <c:pt idx="6">
                  <c:v>172.17606681871666</c:v>
                </c:pt>
                <c:pt idx="7">
                  <c:v>219.25315953489016</c:v>
                </c:pt>
                <c:pt idx="8">
                  <c:v>154.02704345497509</c:v>
                </c:pt>
                <c:pt idx="9">
                  <c:v>118.88622441253456</c:v>
                </c:pt>
                <c:pt idx="10">
                  <c:v>121.49729640987854</c:v>
                </c:pt>
              </c:numCache>
            </c:numRef>
          </c:yVal>
          <c:smooth val="1"/>
          <c:extLst>
            <c:ext xmlns:c16="http://schemas.microsoft.com/office/drawing/2014/chart" uri="{C3380CC4-5D6E-409C-BE32-E72D297353CC}">
              <c16:uniqueId val="{00000006-55CC-43E5-B65F-4E0BE6AA32DF}"/>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Stats'!$Y$295:$Y$298</c:f>
              <c:numCache>
                <c:formatCode>0.0</c:formatCode>
                <c:ptCount val="4"/>
                <c:pt idx="0">
                  <c:v>40</c:v>
                </c:pt>
                <c:pt idx="1">
                  <c:v>30</c:v>
                </c:pt>
                <c:pt idx="2">
                  <c:v>32</c:v>
                </c:pt>
                <c:pt idx="3">
                  <c:v>30</c:v>
                </c:pt>
              </c:numCache>
            </c:numRef>
          </c:xVal>
          <c:yVal>
            <c:numRef>
              <c:f>'Task 1 Converted AMI PDF Stats'!$AO$295:$AO$298</c:f>
              <c:numCache>
                <c:formatCode>0.0</c:formatCode>
                <c:ptCount val="4"/>
                <c:pt idx="0">
                  <c:v>189.61863180975163</c:v>
                </c:pt>
                <c:pt idx="1">
                  <c:v>141.91390406759641</c:v>
                </c:pt>
                <c:pt idx="2">
                  <c:v>182.271670585674</c:v>
                </c:pt>
                <c:pt idx="3">
                  <c:v>118.27754463054094</c:v>
                </c:pt>
              </c:numCache>
            </c:numRef>
          </c:yVal>
          <c:smooth val="1"/>
          <c:extLst>
            <c:ext xmlns:c16="http://schemas.microsoft.com/office/drawing/2014/chart" uri="{C3380CC4-5D6E-409C-BE32-E72D297353CC}">
              <c16:uniqueId val="{00000007-55CC-43E5-B65F-4E0BE6AA32DF}"/>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Stats'!$Y$299:$Y$300</c:f>
              <c:numCache>
                <c:formatCode>0.0</c:formatCode>
                <c:ptCount val="2"/>
                <c:pt idx="0">
                  <c:v>40</c:v>
                </c:pt>
              </c:numCache>
            </c:numRef>
          </c:xVal>
          <c:yVal>
            <c:numRef>
              <c:f>'Task 1 Converted AMI PDF Stats'!$AO$299:$AO$300</c:f>
              <c:numCache>
                <c:formatCode>0.0</c:formatCode>
                <c:ptCount val="2"/>
                <c:pt idx="0">
                  <c:v>278.2419543220675</c:v>
                </c:pt>
              </c:numCache>
            </c:numRef>
          </c:yVal>
          <c:smooth val="1"/>
          <c:extLst>
            <c:ext xmlns:c16="http://schemas.microsoft.com/office/drawing/2014/chart" uri="{C3380CC4-5D6E-409C-BE32-E72D297353CC}">
              <c16:uniqueId val="{00000008-55CC-43E5-B65F-4E0BE6AA32DF}"/>
            </c:ext>
          </c:extLst>
        </c:ser>
        <c:dLbls>
          <c:showLegendKey val="0"/>
          <c:showVal val="0"/>
          <c:showCatName val="0"/>
          <c:showSerName val="0"/>
          <c:showPercent val="0"/>
          <c:showBubbleSize val="0"/>
        </c:dLbls>
        <c:axId val="570087960"/>
        <c:axId val="1"/>
      </c:scatterChart>
      <c:valAx>
        <c:axId val="570087960"/>
        <c:scaling>
          <c:orientation val="minMax"/>
          <c:min val="1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Speed (kts)</a:t>
                </a:r>
              </a:p>
            </c:rich>
          </c:tx>
          <c:layout>
            <c:manualLayout>
              <c:xMode val="edge"/>
              <c:yMode val="edge"/>
              <c:x val="0.37735849056603776"/>
              <c:y val="0.94127243066884181"/>
            </c:manualLayout>
          </c:layout>
          <c:overlay val="0"/>
          <c:spPr>
            <a:noFill/>
            <a:ln w="25400">
              <a:noFill/>
            </a:ln>
          </c:spPr>
        </c:title>
        <c:numFmt formatCode="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00" b="1" i="0" u="none" strike="noStrike" baseline="0">
                    <a:solidFill>
                      <a:srgbClr val="000000"/>
                    </a:solidFill>
                    <a:latin typeface="Arial"/>
                    <a:ea typeface="Arial"/>
                    <a:cs typeface="Arial"/>
                  </a:defRPr>
                </a:pPr>
                <a:r>
                  <a:rPr lang="en-US"/>
                  <a:t>Ac</a:t>
                </a:r>
              </a:p>
            </c:rich>
          </c:tx>
          <c:layout>
            <c:manualLayout>
              <c:xMode val="edge"/>
              <c:yMode val="edge"/>
              <c:x val="1.3318534961154272E-2"/>
              <c:y val="0.46655791190864598"/>
            </c:manualLayout>
          </c:layout>
          <c:overlay val="0"/>
          <c:spPr>
            <a:noFill/>
            <a:ln w="25400">
              <a:noFill/>
            </a:ln>
          </c:spPr>
        </c:title>
        <c:numFmt formatCode="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087960"/>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914539400665927"/>
          <c:y val="0.44208809135399674"/>
          <c:w val="0.21309655937846839"/>
          <c:h val="0.4600326264274062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vs Speed</a:t>
            </a:r>
          </a:p>
        </c:rich>
      </c:tx>
      <c:layout>
        <c:manualLayout>
          <c:xMode val="edge"/>
          <c:yMode val="edge"/>
          <c:x val="0.42730293967323923"/>
          <c:y val="1.9575780483930164E-2"/>
        </c:manualLayout>
      </c:layout>
      <c:overlay val="0"/>
      <c:spPr>
        <a:noFill/>
        <a:ln w="25400">
          <a:noFill/>
        </a:ln>
      </c:spPr>
    </c:title>
    <c:autoTitleDeleted val="0"/>
    <c:plotArea>
      <c:layout>
        <c:manualLayout>
          <c:layoutTarget val="inner"/>
          <c:xMode val="edge"/>
          <c:yMode val="edge"/>
          <c:x val="9.2119866814650384E-2"/>
          <c:y val="7.01468189233279E-2"/>
          <c:w val="0.66925638179800218"/>
          <c:h val="0.8238172920065253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24573030181909827"/>
                  <c:y val="0.12120828615671897"/>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Stats'!$Y$5:$Y$279</c:f>
              <c:numCache>
                <c:formatCode>0.0</c:formatCode>
                <c:ptCount val="275"/>
                <c:pt idx="0">
                  <c:v>38</c:v>
                </c:pt>
                <c:pt idx="1">
                  <c:v>32</c:v>
                </c:pt>
                <c:pt idx="2">
                  <c:v>36</c:v>
                </c:pt>
                <c:pt idx="3">
                  <c:v>30</c:v>
                </c:pt>
                <c:pt idx="4">
                  <c:v>32</c:v>
                </c:pt>
                <c:pt idx="5">
                  <c:v>36</c:v>
                </c:pt>
                <c:pt idx="6">
                  <c:v>31</c:v>
                </c:pt>
                <c:pt idx="7">
                  <c:v>35</c:v>
                </c:pt>
                <c:pt idx="8">
                  <c:v>50</c:v>
                </c:pt>
                <c:pt idx="9">
                  <c:v>40</c:v>
                </c:pt>
                <c:pt idx="10">
                  <c:v>37.5</c:v>
                </c:pt>
                <c:pt idx="11">
                  <c:v>37.5</c:v>
                </c:pt>
                <c:pt idx="12">
                  <c:v>38</c:v>
                </c:pt>
                <c:pt idx="13">
                  <c:v>30</c:v>
                </c:pt>
                <c:pt idx="14">
                  <c:v>32</c:v>
                </c:pt>
                <c:pt idx="15">
                  <c:v>30</c:v>
                </c:pt>
                <c:pt idx="16">
                  <c:v>30</c:v>
                </c:pt>
                <c:pt idx="17">
                  <c:v>30</c:v>
                </c:pt>
                <c:pt idx="18">
                  <c:v>28</c:v>
                </c:pt>
                <c:pt idx="19">
                  <c:v>25</c:v>
                </c:pt>
                <c:pt idx="20">
                  <c:v>37</c:v>
                </c:pt>
                <c:pt idx="21">
                  <c:v>37</c:v>
                </c:pt>
                <c:pt idx="22">
                  <c:v>29</c:v>
                </c:pt>
                <c:pt idx="23">
                  <c:v>32</c:v>
                </c:pt>
                <c:pt idx="24">
                  <c:v>32</c:v>
                </c:pt>
                <c:pt idx="25">
                  <c:v>31</c:v>
                </c:pt>
                <c:pt idx="26">
                  <c:v>45</c:v>
                </c:pt>
                <c:pt idx="27">
                  <c:v>37.5</c:v>
                </c:pt>
                <c:pt idx="28">
                  <c:v>23</c:v>
                </c:pt>
                <c:pt idx="29">
                  <c:v>42</c:v>
                </c:pt>
                <c:pt idx="30">
                  <c:v>42</c:v>
                </c:pt>
                <c:pt idx="31">
                  <c:v>42</c:v>
                </c:pt>
                <c:pt idx="32">
                  <c:v>35</c:v>
                </c:pt>
                <c:pt idx="33">
                  <c:v>35</c:v>
                </c:pt>
                <c:pt idx="34">
                  <c:v>35</c:v>
                </c:pt>
                <c:pt idx="35">
                  <c:v>35</c:v>
                </c:pt>
                <c:pt idx="36">
                  <c:v>32</c:v>
                </c:pt>
                <c:pt idx="37">
                  <c:v>35</c:v>
                </c:pt>
                <c:pt idx="38">
                  <c:v>35</c:v>
                </c:pt>
                <c:pt idx="39">
                  <c:v>28</c:v>
                </c:pt>
                <c:pt idx="40">
                  <c:v>36</c:v>
                </c:pt>
                <c:pt idx="41">
                  <c:v>16</c:v>
                </c:pt>
                <c:pt idx="42">
                  <c:v>34.5</c:v>
                </c:pt>
                <c:pt idx="43">
                  <c:v>32</c:v>
                </c:pt>
                <c:pt idx="44">
                  <c:v>40</c:v>
                </c:pt>
                <c:pt idx="45">
                  <c:v>37</c:v>
                </c:pt>
                <c:pt idx="46">
                  <c:v>35</c:v>
                </c:pt>
                <c:pt idx="47">
                  <c:v>36.5</c:v>
                </c:pt>
                <c:pt idx="48">
                  <c:v>40</c:v>
                </c:pt>
                <c:pt idx="49">
                  <c:v>41</c:v>
                </c:pt>
                <c:pt idx="50">
                  <c:v>40</c:v>
                </c:pt>
                <c:pt idx="51">
                  <c:v>40</c:v>
                </c:pt>
                <c:pt idx="52">
                  <c:v>38</c:v>
                </c:pt>
                <c:pt idx="53">
                  <c:v>40</c:v>
                </c:pt>
                <c:pt idx="54">
                  <c:v>40</c:v>
                </c:pt>
                <c:pt idx="55">
                  <c:v>36.5</c:v>
                </c:pt>
                <c:pt idx="56">
                  <c:v>31</c:v>
                </c:pt>
                <c:pt idx="57">
                  <c:v>31</c:v>
                </c:pt>
                <c:pt idx="58">
                  <c:v>36</c:v>
                </c:pt>
                <c:pt idx="59">
                  <c:v>36</c:v>
                </c:pt>
                <c:pt idx="60">
                  <c:v>38</c:v>
                </c:pt>
                <c:pt idx="61">
                  <c:v>40</c:v>
                </c:pt>
                <c:pt idx="62">
                  <c:v>40</c:v>
                </c:pt>
                <c:pt idx="63">
                  <c:v>27</c:v>
                </c:pt>
                <c:pt idx="64">
                  <c:v>41</c:v>
                </c:pt>
                <c:pt idx="65">
                  <c:v>38</c:v>
                </c:pt>
                <c:pt idx="66">
                  <c:v>37</c:v>
                </c:pt>
                <c:pt idx="67">
                  <c:v>37.5</c:v>
                </c:pt>
                <c:pt idx="68">
                  <c:v>39</c:v>
                </c:pt>
                <c:pt idx="69">
                  <c:v>32</c:v>
                </c:pt>
                <c:pt idx="70">
                  <c:v>31</c:v>
                </c:pt>
                <c:pt idx="71">
                  <c:v>30</c:v>
                </c:pt>
                <c:pt idx="72">
                  <c:v>40</c:v>
                </c:pt>
                <c:pt idx="73">
                  <c:v>30.5</c:v>
                </c:pt>
                <c:pt idx="74">
                  <c:v>26</c:v>
                </c:pt>
                <c:pt idx="75">
                  <c:v>38</c:v>
                </c:pt>
                <c:pt idx="76">
                  <c:v>38.5</c:v>
                </c:pt>
                <c:pt idx="77">
                  <c:v>38.5</c:v>
                </c:pt>
                <c:pt idx="78">
                  <c:v>36</c:v>
                </c:pt>
                <c:pt idx="79">
                  <c:v>30</c:v>
                </c:pt>
                <c:pt idx="80">
                  <c:v>38</c:v>
                </c:pt>
                <c:pt idx="81">
                  <c:v>40</c:v>
                </c:pt>
                <c:pt idx="82">
                  <c:v>32</c:v>
                </c:pt>
                <c:pt idx="83">
                  <c:v>38</c:v>
                </c:pt>
                <c:pt idx="84">
                  <c:v>38</c:v>
                </c:pt>
                <c:pt idx="85">
                  <c:v>32</c:v>
                </c:pt>
                <c:pt idx="86">
                  <c:v>30</c:v>
                </c:pt>
                <c:pt idx="87">
                  <c:v>28</c:v>
                </c:pt>
                <c:pt idx="88">
                  <c:v>28</c:v>
                </c:pt>
                <c:pt idx="89">
                  <c:v>28</c:v>
                </c:pt>
                <c:pt idx="90">
                  <c:v>31</c:v>
                </c:pt>
                <c:pt idx="91">
                  <c:v>31</c:v>
                </c:pt>
                <c:pt idx="92">
                  <c:v>38</c:v>
                </c:pt>
                <c:pt idx="93">
                  <c:v>34</c:v>
                </c:pt>
                <c:pt idx="94">
                  <c:v>36</c:v>
                </c:pt>
                <c:pt idx="95">
                  <c:v>32</c:v>
                </c:pt>
                <c:pt idx="96">
                  <c:v>35</c:v>
                </c:pt>
                <c:pt idx="97">
                  <c:v>40.5</c:v>
                </c:pt>
                <c:pt idx="98">
                  <c:v>37</c:v>
                </c:pt>
                <c:pt idx="99">
                  <c:v>30</c:v>
                </c:pt>
                <c:pt idx="100">
                  <c:v>32</c:v>
                </c:pt>
                <c:pt idx="101">
                  <c:v>30</c:v>
                </c:pt>
                <c:pt idx="102">
                  <c:v>40</c:v>
                </c:pt>
                <c:pt idx="103">
                  <c:v>30.5</c:v>
                </c:pt>
                <c:pt idx="104">
                  <c:v>40</c:v>
                </c:pt>
                <c:pt idx="105">
                  <c:v>32</c:v>
                </c:pt>
                <c:pt idx="106">
                  <c:v>32</c:v>
                </c:pt>
                <c:pt idx="107">
                  <c:v>37</c:v>
                </c:pt>
                <c:pt idx="108">
                  <c:v>23.8</c:v>
                </c:pt>
                <c:pt idx="109">
                  <c:v>29</c:v>
                </c:pt>
                <c:pt idx="110">
                  <c:v>22.5</c:v>
                </c:pt>
                <c:pt idx="111">
                  <c:v>30</c:v>
                </c:pt>
                <c:pt idx="112">
                  <c:v>30</c:v>
                </c:pt>
                <c:pt idx="113">
                  <c:v>26</c:v>
                </c:pt>
                <c:pt idx="114">
                  <c:v>23</c:v>
                </c:pt>
                <c:pt idx="115">
                  <c:v>22</c:v>
                </c:pt>
                <c:pt idx="117">
                  <c:v>38</c:v>
                </c:pt>
                <c:pt idx="118">
                  <c:v>45</c:v>
                </c:pt>
                <c:pt idx="119">
                  <c:v>18.7</c:v>
                </c:pt>
                <c:pt idx="120">
                  <c:v>50</c:v>
                </c:pt>
                <c:pt idx="121">
                  <c:v>23</c:v>
                </c:pt>
                <c:pt idx="122">
                  <c:v>22</c:v>
                </c:pt>
                <c:pt idx="123">
                  <c:v>23</c:v>
                </c:pt>
                <c:pt idx="124">
                  <c:v>18</c:v>
                </c:pt>
                <c:pt idx="125">
                  <c:v>20</c:v>
                </c:pt>
                <c:pt idx="126">
                  <c:v>25</c:v>
                </c:pt>
                <c:pt idx="127">
                  <c:v>30</c:v>
                </c:pt>
                <c:pt idx="128">
                  <c:v>23</c:v>
                </c:pt>
                <c:pt idx="129">
                  <c:v>27</c:v>
                </c:pt>
                <c:pt idx="130">
                  <c:v>25</c:v>
                </c:pt>
                <c:pt idx="131">
                  <c:v>22</c:v>
                </c:pt>
                <c:pt idx="132">
                  <c:v>25</c:v>
                </c:pt>
                <c:pt idx="133">
                  <c:v>18</c:v>
                </c:pt>
                <c:pt idx="134">
                  <c:v>27</c:v>
                </c:pt>
                <c:pt idx="135">
                  <c:v>32</c:v>
                </c:pt>
                <c:pt idx="136">
                  <c:v>32</c:v>
                </c:pt>
                <c:pt idx="137">
                  <c:v>18</c:v>
                </c:pt>
                <c:pt idx="138">
                  <c:v>23</c:v>
                </c:pt>
                <c:pt idx="139">
                  <c:v>26</c:v>
                </c:pt>
                <c:pt idx="140">
                  <c:v>30</c:v>
                </c:pt>
                <c:pt idx="141">
                  <c:v>26</c:v>
                </c:pt>
                <c:pt idx="142">
                  <c:v>45</c:v>
                </c:pt>
                <c:pt idx="143">
                  <c:v>21</c:v>
                </c:pt>
                <c:pt idx="144">
                  <c:v>27</c:v>
                </c:pt>
                <c:pt idx="145">
                  <c:v>14</c:v>
                </c:pt>
                <c:pt idx="146">
                  <c:v>18</c:v>
                </c:pt>
                <c:pt idx="147">
                  <c:v>20</c:v>
                </c:pt>
                <c:pt idx="148">
                  <c:v>20</c:v>
                </c:pt>
                <c:pt idx="149">
                  <c:v>30</c:v>
                </c:pt>
                <c:pt idx="150">
                  <c:v>25</c:v>
                </c:pt>
                <c:pt idx="151">
                  <c:v>25</c:v>
                </c:pt>
                <c:pt idx="152">
                  <c:v>22</c:v>
                </c:pt>
                <c:pt idx="153">
                  <c:v>27</c:v>
                </c:pt>
                <c:pt idx="154">
                  <c:v>30</c:v>
                </c:pt>
                <c:pt idx="155">
                  <c:v>17</c:v>
                </c:pt>
                <c:pt idx="156">
                  <c:v>25</c:v>
                </c:pt>
                <c:pt idx="157">
                  <c:v>30</c:v>
                </c:pt>
                <c:pt idx="158">
                  <c:v>24</c:v>
                </c:pt>
                <c:pt idx="159">
                  <c:v>30</c:v>
                </c:pt>
                <c:pt idx="160">
                  <c:v>28</c:v>
                </c:pt>
                <c:pt idx="161">
                  <c:v>30</c:v>
                </c:pt>
                <c:pt idx="162">
                  <c:v>24</c:v>
                </c:pt>
                <c:pt idx="163">
                  <c:v>25</c:v>
                </c:pt>
                <c:pt idx="164">
                  <c:v>35</c:v>
                </c:pt>
                <c:pt idx="165">
                  <c:v>24</c:v>
                </c:pt>
                <c:pt idx="166">
                  <c:v>32</c:v>
                </c:pt>
                <c:pt idx="167">
                  <c:v>23</c:v>
                </c:pt>
                <c:pt idx="168">
                  <c:v>42</c:v>
                </c:pt>
                <c:pt idx="169">
                  <c:v>28</c:v>
                </c:pt>
                <c:pt idx="170">
                  <c:v>22</c:v>
                </c:pt>
                <c:pt idx="171">
                  <c:v>32</c:v>
                </c:pt>
                <c:pt idx="172">
                  <c:v>21</c:v>
                </c:pt>
                <c:pt idx="173">
                  <c:v>21</c:v>
                </c:pt>
                <c:pt idx="174">
                  <c:v>23</c:v>
                </c:pt>
                <c:pt idx="175">
                  <c:v>32</c:v>
                </c:pt>
                <c:pt idx="176">
                  <c:v>32</c:v>
                </c:pt>
                <c:pt idx="177">
                  <c:v>25</c:v>
                </c:pt>
                <c:pt idx="178">
                  <c:v>40</c:v>
                </c:pt>
                <c:pt idx="179">
                  <c:v>22</c:v>
                </c:pt>
                <c:pt idx="180">
                  <c:v>21</c:v>
                </c:pt>
                <c:pt idx="181">
                  <c:v>26.3</c:v>
                </c:pt>
                <c:pt idx="182">
                  <c:v>24</c:v>
                </c:pt>
                <c:pt idx="183">
                  <c:v>28</c:v>
                </c:pt>
                <c:pt idx="184">
                  <c:v>11</c:v>
                </c:pt>
                <c:pt idx="185">
                  <c:v>29</c:v>
                </c:pt>
                <c:pt idx="186">
                  <c:v>20</c:v>
                </c:pt>
                <c:pt idx="187">
                  <c:v>20</c:v>
                </c:pt>
                <c:pt idx="188">
                  <c:v>18</c:v>
                </c:pt>
                <c:pt idx="189">
                  <c:v>29</c:v>
                </c:pt>
                <c:pt idx="190">
                  <c:v>24</c:v>
                </c:pt>
                <c:pt idx="191">
                  <c:v>28</c:v>
                </c:pt>
                <c:pt idx="192">
                  <c:v>22</c:v>
                </c:pt>
                <c:pt idx="193">
                  <c:v>28</c:v>
                </c:pt>
                <c:pt idx="194">
                  <c:v>22</c:v>
                </c:pt>
                <c:pt idx="195">
                  <c:v>23</c:v>
                </c:pt>
                <c:pt idx="196">
                  <c:v>33</c:v>
                </c:pt>
                <c:pt idx="197">
                  <c:v>33</c:v>
                </c:pt>
                <c:pt idx="198">
                  <c:v>25</c:v>
                </c:pt>
                <c:pt idx="199">
                  <c:v>27</c:v>
                </c:pt>
                <c:pt idx="200">
                  <c:v>25</c:v>
                </c:pt>
                <c:pt idx="201">
                  <c:v>28</c:v>
                </c:pt>
                <c:pt idx="202">
                  <c:v>24</c:v>
                </c:pt>
                <c:pt idx="203">
                  <c:v>27</c:v>
                </c:pt>
                <c:pt idx="204">
                  <c:v>35</c:v>
                </c:pt>
                <c:pt idx="205">
                  <c:v>26</c:v>
                </c:pt>
                <c:pt idx="206">
                  <c:v>32</c:v>
                </c:pt>
                <c:pt idx="207">
                  <c:v>27</c:v>
                </c:pt>
                <c:pt idx="208">
                  <c:v>29</c:v>
                </c:pt>
                <c:pt idx="209">
                  <c:v>38</c:v>
                </c:pt>
                <c:pt idx="210">
                  <c:v>30</c:v>
                </c:pt>
                <c:pt idx="211">
                  <c:v>33</c:v>
                </c:pt>
                <c:pt idx="212">
                  <c:v>30</c:v>
                </c:pt>
                <c:pt idx="213">
                  <c:v>37</c:v>
                </c:pt>
                <c:pt idx="214">
                  <c:v>30</c:v>
                </c:pt>
                <c:pt idx="215">
                  <c:v>40</c:v>
                </c:pt>
                <c:pt idx="216">
                  <c:v>28</c:v>
                </c:pt>
                <c:pt idx="217">
                  <c:v>34.5</c:v>
                </c:pt>
                <c:pt idx="218">
                  <c:v>30</c:v>
                </c:pt>
                <c:pt idx="219">
                  <c:v>30</c:v>
                </c:pt>
                <c:pt idx="220">
                  <c:v>23</c:v>
                </c:pt>
                <c:pt idx="221">
                  <c:v>20</c:v>
                </c:pt>
                <c:pt idx="222">
                  <c:v>41</c:v>
                </c:pt>
                <c:pt idx="223">
                  <c:v>35</c:v>
                </c:pt>
                <c:pt idx="224">
                  <c:v>30</c:v>
                </c:pt>
                <c:pt idx="225">
                  <c:v>22</c:v>
                </c:pt>
                <c:pt idx="226">
                  <c:v>26</c:v>
                </c:pt>
                <c:pt idx="227">
                  <c:v>25</c:v>
                </c:pt>
                <c:pt idx="228">
                  <c:v>22</c:v>
                </c:pt>
                <c:pt idx="229">
                  <c:v>27.5</c:v>
                </c:pt>
                <c:pt idx="230">
                  <c:v>20</c:v>
                </c:pt>
                <c:pt idx="231">
                  <c:v>23</c:v>
                </c:pt>
                <c:pt idx="232">
                  <c:v>16</c:v>
                </c:pt>
                <c:pt idx="233">
                  <c:v>15</c:v>
                </c:pt>
                <c:pt idx="234">
                  <c:v>35</c:v>
                </c:pt>
                <c:pt idx="235">
                  <c:v>23</c:v>
                </c:pt>
                <c:pt idx="236">
                  <c:v>24</c:v>
                </c:pt>
                <c:pt idx="237">
                  <c:v>30.5</c:v>
                </c:pt>
                <c:pt idx="238">
                  <c:v>30.5</c:v>
                </c:pt>
                <c:pt idx="239">
                  <c:v>28</c:v>
                </c:pt>
                <c:pt idx="240">
                  <c:v>35</c:v>
                </c:pt>
                <c:pt idx="241">
                  <c:v>35</c:v>
                </c:pt>
                <c:pt idx="242">
                  <c:v>20.6</c:v>
                </c:pt>
                <c:pt idx="243">
                  <c:v>20</c:v>
                </c:pt>
                <c:pt idx="244">
                  <c:v>25</c:v>
                </c:pt>
                <c:pt idx="245">
                  <c:v>23</c:v>
                </c:pt>
                <c:pt idx="246">
                  <c:v>40</c:v>
                </c:pt>
                <c:pt idx="247">
                  <c:v>20</c:v>
                </c:pt>
                <c:pt idx="248">
                  <c:v>24.5</c:v>
                </c:pt>
                <c:pt idx="249">
                  <c:v>23</c:v>
                </c:pt>
                <c:pt idx="250">
                  <c:v>28</c:v>
                </c:pt>
                <c:pt idx="251">
                  <c:v>22</c:v>
                </c:pt>
                <c:pt idx="252">
                  <c:v>23</c:v>
                </c:pt>
                <c:pt idx="253">
                  <c:v>42</c:v>
                </c:pt>
                <c:pt idx="254">
                  <c:v>24</c:v>
                </c:pt>
                <c:pt idx="255">
                  <c:v>27</c:v>
                </c:pt>
                <c:pt idx="256">
                  <c:v>27</c:v>
                </c:pt>
                <c:pt idx="257">
                  <c:v>30</c:v>
                </c:pt>
                <c:pt idx="258">
                  <c:v>26</c:v>
                </c:pt>
                <c:pt idx="259">
                  <c:v>24</c:v>
                </c:pt>
                <c:pt idx="260">
                  <c:v>30</c:v>
                </c:pt>
                <c:pt idx="261">
                  <c:v>22</c:v>
                </c:pt>
                <c:pt idx="262">
                  <c:v>31</c:v>
                </c:pt>
                <c:pt idx="263">
                  <c:v>28</c:v>
                </c:pt>
                <c:pt idx="264">
                  <c:v>38</c:v>
                </c:pt>
                <c:pt idx="265">
                  <c:v>20</c:v>
                </c:pt>
                <c:pt idx="266">
                  <c:v>15</c:v>
                </c:pt>
                <c:pt idx="267">
                  <c:v>15</c:v>
                </c:pt>
                <c:pt idx="268">
                  <c:v>15</c:v>
                </c:pt>
                <c:pt idx="269">
                  <c:v>24</c:v>
                </c:pt>
                <c:pt idx="270">
                  <c:v>25</c:v>
                </c:pt>
                <c:pt idx="271">
                  <c:v>24</c:v>
                </c:pt>
              </c:numCache>
            </c:numRef>
          </c:xVal>
          <c:yVal>
            <c:numRef>
              <c:f>'Task 1 Converted AMI PDF Stats'!$U$5:$U$279</c:f>
              <c:numCache>
                <c:formatCode>_(* #,##0_);_(* \(#,##0\);_(* "-"??_);_(@_)</c:formatCode>
                <c:ptCount val="275"/>
                <c:pt idx="0">
                  <c:v>15998.390773769612</c:v>
                </c:pt>
                <c:pt idx="2">
                  <c:v>12337.401099637924</c:v>
                </c:pt>
                <c:pt idx="3">
                  <c:v>8582.539895400294</c:v>
                </c:pt>
                <c:pt idx="4">
                  <c:v>16184</c:v>
                </c:pt>
                <c:pt idx="6">
                  <c:v>12605.605471369183</c:v>
                </c:pt>
                <c:pt idx="7">
                  <c:v>14751.240445219257</c:v>
                </c:pt>
                <c:pt idx="8">
                  <c:v>16200</c:v>
                </c:pt>
                <c:pt idx="9">
                  <c:v>3046</c:v>
                </c:pt>
                <c:pt idx="10">
                  <c:v>4800</c:v>
                </c:pt>
                <c:pt idx="11">
                  <c:v>4800</c:v>
                </c:pt>
                <c:pt idx="12">
                  <c:v>5000</c:v>
                </c:pt>
                <c:pt idx="13">
                  <c:v>6000</c:v>
                </c:pt>
                <c:pt idx="14">
                  <c:v>5800</c:v>
                </c:pt>
                <c:pt idx="15">
                  <c:v>4220</c:v>
                </c:pt>
                <c:pt idx="16">
                  <c:v>2400</c:v>
                </c:pt>
                <c:pt idx="17">
                  <c:v>4400</c:v>
                </c:pt>
                <c:pt idx="18">
                  <c:v>4800</c:v>
                </c:pt>
                <c:pt idx="19">
                  <c:v>5292</c:v>
                </c:pt>
                <c:pt idx="20">
                  <c:v>4500</c:v>
                </c:pt>
                <c:pt idx="21">
                  <c:v>6000</c:v>
                </c:pt>
                <c:pt idx="22">
                  <c:v>4800</c:v>
                </c:pt>
                <c:pt idx="23">
                  <c:v>6820</c:v>
                </c:pt>
                <c:pt idx="24">
                  <c:v>5400</c:v>
                </c:pt>
                <c:pt idx="25">
                  <c:v>6000</c:v>
                </c:pt>
                <c:pt idx="26">
                  <c:v>8025</c:v>
                </c:pt>
                <c:pt idx="27">
                  <c:v>12280</c:v>
                </c:pt>
                <c:pt idx="28">
                  <c:v>5984</c:v>
                </c:pt>
                <c:pt idx="29">
                  <c:v>12000</c:v>
                </c:pt>
                <c:pt idx="30">
                  <c:v>12000</c:v>
                </c:pt>
                <c:pt idx="31">
                  <c:v>12000</c:v>
                </c:pt>
                <c:pt idx="32">
                  <c:v>12000</c:v>
                </c:pt>
                <c:pt idx="33">
                  <c:v>12000</c:v>
                </c:pt>
                <c:pt idx="34">
                  <c:v>12000</c:v>
                </c:pt>
                <c:pt idx="35">
                  <c:v>8025</c:v>
                </c:pt>
                <c:pt idx="36">
                  <c:v>7680</c:v>
                </c:pt>
                <c:pt idx="37">
                  <c:v>12000</c:v>
                </c:pt>
                <c:pt idx="38">
                  <c:v>8025</c:v>
                </c:pt>
                <c:pt idx="39">
                  <c:v>4800</c:v>
                </c:pt>
                <c:pt idx="40">
                  <c:v>8025</c:v>
                </c:pt>
                <c:pt idx="41">
                  <c:v>1450</c:v>
                </c:pt>
                <c:pt idx="42">
                  <c:v>9180</c:v>
                </c:pt>
                <c:pt idx="43">
                  <c:v>9000</c:v>
                </c:pt>
                <c:pt idx="44">
                  <c:v>13300</c:v>
                </c:pt>
                <c:pt idx="45">
                  <c:v>14100</c:v>
                </c:pt>
                <c:pt idx="46">
                  <c:v>13640</c:v>
                </c:pt>
                <c:pt idx="47">
                  <c:v>12000</c:v>
                </c:pt>
                <c:pt idx="48">
                  <c:v>13600</c:v>
                </c:pt>
                <c:pt idx="49">
                  <c:v>13640</c:v>
                </c:pt>
                <c:pt idx="50">
                  <c:v>13640</c:v>
                </c:pt>
                <c:pt idx="51">
                  <c:v>13640</c:v>
                </c:pt>
                <c:pt idx="52">
                  <c:v>14400</c:v>
                </c:pt>
                <c:pt idx="53">
                  <c:v>9370</c:v>
                </c:pt>
                <c:pt idx="54">
                  <c:v>9370</c:v>
                </c:pt>
                <c:pt idx="55">
                  <c:v>14000</c:v>
                </c:pt>
                <c:pt idx="56">
                  <c:v>13029</c:v>
                </c:pt>
                <c:pt idx="57">
                  <c:v>13029</c:v>
                </c:pt>
                <c:pt idx="58">
                  <c:v>12000</c:v>
                </c:pt>
                <c:pt idx="59">
                  <c:v>12000</c:v>
                </c:pt>
                <c:pt idx="60">
                  <c:v>12000</c:v>
                </c:pt>
                <c:pt idx="61">
                  <c:v>16800</c:v>
                </c:pt>
                <c:pt idx="62">
                  <c:v>13640</c:v>
                </c:pt>
                <c:pt idx="63">
                  <c:v>6140</c:v>
                </c:pt>
                <c:pt idx="64">
                  <c:v>23000</c:v>
                </c:pt>
                <c:pt idx="65">
                  <c:v>12000</c:v>
                </c:pt>
                <c:pt idx="66">
                  <c:v>11520</c:v>
                </c:pt>
                <c:pt idx="67">
                  <c:v>12280</c:v>
                </c:pt>
                <c:pt idx="68">
                  <c:v>15360</c:v>
                </c:pt>
                <c:pt idx="69">
                  <c:v>11250</c:v>
                </c:pt>
                <c:pt idx="70">
                  <c:v>14400</c:v>
                </c:pt>
                <c:pt idx="71">
                  <c:v>9210</c:v>
                </c:pt>
                <c:pt idx="72">
                  <c:v>13200</c:v>
                </c:pt>
                <c:pt idx="73">
                  <c:v>4000</c:v>
                </c:pt>
                <c:pt idx="74">
                  <c:v>7500</c:v>
                </c:pt>
                <c:pt idx="75">
                  <c:v>15000</c:v>
                </c:pt>
                <c:pt idx="76">
                  <c:v>18740</c:v>
                </c:pt>
                <c:pt idx="77">
                  <c:v>18740</c:v>
                </c:pt>
                <c:pt idx="78">
                  <c:v>17060</c:v>
                </c:pt>
                <c:pt idx="79">
                  <c:v>7500</c:v>
                </c:pt>
                <c:pt idx="80">
                  <c:v>17700</c:v>
                </c:pt>
                <c:pt idx="81">
                  <c:v>15000</c:v>
                </c:pt>
                <c:pt idx="82">
                  <c:v>15000</c:v>
                </c:pt>
                <c:pt idx="83">
                  <c:v>15120</c:v>
                </c:pt>
                <c:pt idx="84">
                  <c:v>17700</c:v>
                </c:pt>
                <c:pt idx="85">
                  <c:v>13029</c:v>
                </c:pt>
                <c:pt idx="86">
                  <c:v>12795</c:v>
                </c:pt>
                <c:pt idx="87">
                  <c:v>4000</c:v>
                </c:pt>
                <c:pt idx="88">
                  <c:v>4000</c:v>
                </c:pt>
                <c:pt idx="89">
                  <c:v>4000</c:v>
                </c:pt>
                <c:pt idx="90">
                  <c:v>16600</c:v>
                </c:pt>
                <c:pt idx="91">
                  <c:v>15000</c:v>
                </c:pt>
                <c:pt idx="92">
                  <c:v>15120</c:v>
                </c:pt>
                <c:pt idx="94">
                  <c:v>5800</c:v>
                </c:pt>
                <c:pt idx="95">
                  <c:v>6810</c:v>
                </c:pt>
                <c:pt idx="96">
                  <c:v>8025</c:v>
                </c:pt>
                <c:pt idx="97">
                  <c:v>12750</c:v>
                </c:pt>
                <c:pt idx="98">
                  <c:v>10800</c:v>
                </c:pt>
                <c:pt idx="99">
                  <c:v>7510</c:v>
                </c:pt>
                <c:pt idx="100">
                  <c:v>7510</c:v>
                </c:pt>
                <c:pt idx="101">
                  <c:v>10230</c:v>
                </c:pt>
                <c:pt idx="102">
                  <c:v>15360</c:v>
                </c:pt>
                <c:pt idx="103">
                  <c:v>4000</c:v>
                </c:pt>
                <c:pt idx="104">
                  <c:v>17700</c:v>
                </c:pt>
                <c:pt idx="105">
                  <c:v>15000</c:v>
                </c:pt>
                <c:pt idx="106">
                  <c:v>15840</c:v>
                </c:pt>
                <c:pt idx="107">
                  <c:v>22200</c:v>
                </c:pt>
                <c:pt idx="108">
                  <c:v>7295.1589110902505</c:v>
                </c:pt>
                <c:pt idx="109">
                  <c:v>3500.0670510929326</c:v>
                </c:pt>
                <c:pt idx="110">
                  <c:v>5600.107281748692</c:v>
                </c:pt>
                <c:pt idx="111">
                  <c:v>2200</c:v>
                </c:pt>
                <c:pt idx="112">
                  <c:v>2200</c:v>
                </c:pt>
                <c:pt idx="113">
                  <c:v>2800</c:v>
                </c:pt>
                <c:pt idx="114">
                  <c:v>2680</c:v>
                </c:pt>
                <c:pt idx="115">
                  <c:v>1300</c:v>
                </c:pt>
                <c:pt idx="116">
                  <c:v>1000</c:v>
                </c:pt>
                <c:pt idx="117">
                  <c:v>4800</c:v>
                </c:pt>
                <c:pt idx="118">
                  <c:v>4570</c:v>
                </c:pt>
                <c:pt idx="119">
                  <c:v>811</c:v>
                </c:pt>
                <c:pt idx="120">
                  <c:v>4570</c:v>
                </c:pt>
                <c:pt idx="121">
                  <c:v>1600</c:v>
                </c:pt>
                <c:pt idx="122">
                  <c:v>1600</c:v>
                </c:pt>
                <c:pt idx="123">
                  <c:v>1600</c:v>
                </c:pt>
                <c:pt idx="124">
                  <c:v>4693.5765052970364</c:v>
                </c:pt>
                <c:pt idx="125">
                  <c:v>2700</c:v>
                </c:pt>
                <c:pt idx="126">
                  <c:v>2660</c:v>
                </c:pt>
                <c:pt idx="127">
                  <c:v>4400</c:v>
                </c:pt>
                <c:pt idx="128">
                  <c:v>2805</c:v>
                </c:pt>
                <c:pt idx="129">
                  <c:v>2660</c:v>
                </c:pt>
                <c:pt idx="130">
                  <c:v>2322</c:v>
                </c:pt>
                <c:pt idx="131">
                  <c:v>1300</c:v>
                </c:pt>
                <c:pt idx="132">
                  <c:v>2680</c:v>
                </c:pt>
                <c:pt idx="133">
                  <c:v>2500</c:v>
                </c:pt>
                <c:pt idx="134">
                  <c:v>2700</c:v>
                </c:pt>
                <c:pt idx="135">
                  <c:v>4290</c:v>
                </c:pt>
                <c:pt idx="136">
                  <c:v>3270</c:v>
                </c:pt>
                <c:pt idx="137">
                  <c:v>5364.087434625184</c:v>
                </c:pt>
                <c:pt idx="138">
                  <c:v>1020</c:v>
                </c:pt>
                <c:pt idx="139">
                  <c:v>3700</c:v>
                </c:pt>
                <c:pt idx="140">
                  <c:v>2070</c:v>
                </c:pt>
                <c:pt idx="141">
                  <c:v>2951</c:v>
                </c:pt>
                <c:pt idx="142">
                  <c:v>7398</c:v>
                </c:pt>
                <c:pt idx="143">
                  <c:v>2700</c:v>
                </c:pt>
                <c:pt idx="144">
                  <c:v>3500</c:v>
                </c:pt>
                <c:pt idx="145">
                  <c:v>1290</c:v>
                </c:pt>
                <c:pt idx="146">
                  <c:v>5000</c:v>
                </c:pt>
                <c:pt idx="147">
                  <c:v>2070</c:v>
                </c:pt>
                <c:pt idx="148">
                  <c:v>2322</c:v>
                </c:pt>
                <c:pt idx="149">
                  <c:v>4680</c:v>
                </c:pt>
                <c:pt idx="150">
                  <c:v>2400</c:v>
                </c:pt>
                <c:pt idx="151">
                  <c:v>1260</c:v>
                </c:pt>
                <c:pt idx="152">
                  <c:v>2700</c:v>
                </c:pt>
                <c:pt idx="153">
                  <c:v>2660</c:v>
                </c:pt>
                <c:pt idx="154">
                  <c:v>4352</c:v>
                </c:pt>
                <c:pt idx="155">
                  <c:v>1100</c:v>
                </c:pt>
                <c:pt idx="156">
                  <c:v>1770</c:v>
                </c:pt>
                <c:pt idx="157">
                  <c:v>5000</c:v>
                </c:pt>
                <c:pt idx="158">
                  <c:v>3000</c:v>
                </c:pt>
                <c:pt idx="159">
                  <c:v>3483</c:v>
                </c:pt>
                <c:pt idx="160">
                  <c:v>5344</c:v>
                </c:pt>
                <c:pt idx="161">
                  <c:v>2610</c:v>
                </c:pt>
                <c:pt idx="162">
                  <c:v>4500</c:v>
                </c:pt>
                <c:pt idx="163">
                  <c:v>5320</c:v>
                </c:pt>
                <c:pt idx="164">
                  <c:v>5200</c:v>
                </c:pt>
                <c:pt idx="165">
                  <c:v>3400</c:v>
                </c:pt>
                <c:pt idx="166">
                  <c:v>4600</c:v>
                </c:pt>
                <c:pt idx="167">
                  <c:v>4087</c:v>
                </c:pt>
                <c:pt idx="168">
                  <c:v>9000</c:v>
                </c:pt>
                <c:pt idx="169">
                  <c:v>4400</c:v>
                </c:pt>
                <c:pt idx="170">
                  <c:v>5200</c:v>
                </c:pt>
                <c:pt idx="171">
                  <c:v>6000</c:v>
                </c:pt>
                <c:pt idx="172">
                  <c:v>1450</c:v>
                </c:pt>
                <c:pt idx="173">
                  <c:v>3520</c:v>
                </c:pt>
                <c:pt idx="174">
                  <c:v>4050</c:v>
                </c:pt>
                <c:pt idx="175">
                  <c:v>7200</c:v>
                </c:pt>
                <c:pt idx="176">
                  <c:v>6000</c:v>
                </c:pt>
                <c:pt idx="177">
                  <c:v>8240</c:v>
                </c:pt>
                <c:pt idx="178">
                  <c:v>4890</c:v>
                </c:pt>
                <c:pt idx="179">
                  <c:v>6000</c:v>
                </c:pt>
                <c:pt idx="180">
                  <c:v>4000</c:v>
                </c:pt>
                <c:pt idx="181">
                  <c:v>4340</c:v>
                </c:pt>
                <c:pt idx="182">
                  <c:v>3000</c:v>
                </c:pt>
                <c:pt idx="183">
                  <c:v>5800</c:v>
                </c:pt>
                <c:pt idx="184">
                  <c:v>385</c:v>
                </c:pt>
                <c:pt idx="185">
                  <c:v>5000</c:v>
                </c:pt>
                <c:pt idx="186">
                  <c:v>2820</c:v>
                </c:pt>
                <c:pt idx="187">
                  <c:v>4400</c:v>
                </c:pt>
                <c:pt idx="188">
                  <c:v>4400</c:v>
                </c:pt>
                <c:pt idx="189">
                  <c:v>6246</c:v>
                </c:pt>
                <c:pt idx="190">
                  <c:v>6260</c:v>
                </c:pt>
                <c:pt idx="191">
                  <c:v>6600</c:v>
                </c:pt>
                <c:pt idx="192">
                  <c:v>9600</c:v>
                </c:pt>
                <c:pt idx="193">
                  <c:v>5760</c:v>
                </c:pt>
                <c:pt idx="194">
                  <c:v>4800</c:v>
                </c:pt>
                <c:pt idx="195">
                  <c:v>5984</c:v>
                </c:pt>
                <c:pt idx="196">
                  <c:v>5911</c:v>
                </c:pt>
                <c:pt idx="197">
                  <c:v>7200</c:v>
                </c:pt>
                <c:pt idx="198">
                  <c:v>4025</c:v>
                </c:pt>
                <c:pt idx="199">
                  <c:v>3012</c:v>
                </c:pt>
                <c:pt idx="200">
                  <c:v>4610</c:v>
                </c:pt>
                <c:pt idx="201">
                  <c:v>4600</c:v>
                </c:pt>
                <c:pt idx="202">
                  <c:v>3300</c:v>
                </c:pt>
                <c:pt idx="203">
                  <c:v>5700</c:v>
                </c:pt>
                <c:pt idx="204">
                  <c:v>7170</c:v>
                </c:pt>
                <c:pt idx="205">
                  <c:v>4025</c:v>
                </c:pt>
                <c:pt idx="206">
                  <c:v>7700</c:v>
                </c:pt>
                <c:pt idx="207">
                  <c:v>5110</c:v>
                </c:pt>
                <c:pt idx="208">
                  <c:v>4025</c:v>
                </c:pt>
                <c:pt idx="209">
                  <c:v>11265</c:v>
                </c:pt>
                <c:pt idx="210">
                  <c:v>6700</c:v>
                </c:pt>
                <c:pt idx="211">
                  <c:v>7200</c:v>
                </c:pt>
                <c:pt idx="212">
                  <c:v>6820</c:v>
                </c:pt>
                <c:pt idx="213">
                  <c:v>13892.986455679227</c:v>
                </c:pt>
                <c:pt idx="214">
                  <c:v>6000</c:v>
                </c:pt>
                <c:pt idx="215">
                  <c:v>13410.21858656296</c:v>
                </c:pt>
                <c:pt idx="216">
                  <c:v>3480</c:v>
                </c:pt>
                <c:pt idx="217">
                  <c:v>9051.8975459299982</c:v>
                </c:pt>
                <c:pt idx="218">
                  <c:v>6140</c:v>
                </c:pt>
                <c:pt idx="220">
                  <c:v>6000</c:v>
                </c:pt>
                <c:pt idx="221">
                  <c:v>4600</c:v>
                </c:pt>
                <c:pt idx="222">
                  <c:v>13640</c:v>
                </c:pt>
                <c:pt idx="223">
                  <c:v>10942</c:v>
                </c:pt>
                <c:pt idx="224">
                  <c:v>6820</c:v>
                </c:pt>
                <c:pt idx="226">
                  <c:v>5800</c:v>
                </c:pt>
                <c:pt idx="227">
                  <c:v>6222.3414241652135</c:v>
                </c:pt>
                <c:pt idx="228">
                  <c:v>6820</c:v>
                </c:pt>
                <c:pt idx="229">
                  <c:v>4050</c:v>
                </c:pt>
                <c:pt idx="230">
                  <c:v>3750</c:v>
                </c:pt>
                <c:pt idx="231">
                  <c:v>4025</c:v>
                </c:pt>
                <c:pt idx="232">
                  <c:v>4000</c:v>
                </c:pt>
                <c:pt idx="233">
                  <c:v>2180</c:v>
                </c:pt>
                <c:pt idx="234">
                  <c:v>13400</c:v>
                </c:pt>
                <c:pt idx="235">
                  <c:v>5712</c:v>
                </c:pt>
                <c:pt idx="236">
                  <c:v>6600</c:v>
                </c:pt>
                <c:pt idx="237">
                  <c:v>4000</c:v>
                </c:pt>
                <c:pt idx="238">
                  <c:v>4000</c:v>
                </c:pt>
                <c:pt idx="239">
                  <c:v>11040</c:v>
                </c:pt>
                <c:pt idx="240">
                  <c:v>18506.101649456887</c:v>
                </c:pt>
                <c:pt idx="241">
                  <c:v>18740</c:v>
                </c:pt>
                <c:pt idx="242">
                  <c:v>4340</c:v>
                </c:pt>
                <c:pt idx="243">
                  <c:v>4640</c:v>
                </c:pt>
                <c:pt idx="244">
                  <c:v>8800</c:v>
                </c:pt>
                <c:pt idx="245">
                  <c:v>7230</c:v>
                </c:pt>
                <c:pt idx="246">
                  <c:v>15019.444816950516</c:v>
                </c:pt>
                <c:pt idx="247">
                  <c:v>6120</c:v>
                </c:pt>
                <c:pt idx="248">
                  <c:v>8000</c:v>
                </c:pt>
                <c:pt idx="249">
                  <c:v>4410</c:v>
                </c:pt>
                <c:pt idx="250">
                  <c:v>8850</c:v>
                </c:pt>
                <c:pt idx="251">
                  <c:v>8340</c:v>
                </c:pt>
                <c:pt idx="252">
                  <c:v>4400</c:v>
                </c:pt>
                <c:pt idx="253">
                  <c:v>17433.284162531847</c:v>
                </c:pt>
                <c:pt idx="254">
                  <c:v>8000</c:v>
                </c:pt>
                <c:pt idx="255">
                  <c:v>8850</c:v>
                </c:pt>
                <c:pt idx="256">
                  <c:v>8850</c:v>
                </c:pt>
                <c:pt idx="257">
                  <c:v>6119</c:v>
                </c:pt>
                <c:pt idx="258">
                  <c:v>5685</c:v>
                </c:pt>
                <c:pt idx="259">
                  <c:v>8000</c:v>
                </c:pt>
                <c:pt idx="260">
                  <c:v>11250</c:v>
                </c:pt>
                <c:pt idx="263">
                  <c:v>8800</c:v>
                </c:pt>
                <c:pt idx="264">
                  <c:v>23065.575968888294</c:v>
                </c:pt>
                <c:pt idx="265">
                  <c:v>8554</c:v>
                </c:pt>
                <c:pt idx="266">
                  <c:v>1800</c:v>
                </c:pt>
                <c:pt idx="267">
                  <c:v>2000</c:v>
                </c:pt>
                <c:pt idx="268">
                  <c:v>2000</c:v>
                </c:pt>
                <c:pt idx="269">
                  <c:v>9200</c:v>
                </c:pt>
                <c:pt idx="270">
                  <c:v>10000</c:v>
                </c:pt>
                <c:pt idx="271">
                  <c:v>10000</c:v>
                </c:pt>
              </c:numCache>
            </c:numRef>
          </c:yVal>
          <c:smooth val="1"/>
          <c:extLst>
            <c:ext xmlns:c16="http://schemas.microsoft.com/office/drawing/2014/chart" uri="{C3380CC4-5D6E-409C-BE32-E72D297353CC}">
              <c16:uniqueId val="{00000000-D4AD-4806-B024-863DF9D629A1}"/>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42419875955529096"/>
                  <c:y val="-0.22859062979387257"/>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Stats'!$Y$5:$Y$12</c:f>
              <c:numCache>
                <c:formatCode>0.0</c:formatCode>
                <c:ptCount val="8"/>
                <c:pt idx="0">
                  <c:v>38</c:v>
                </c:pt>
                <c:pt idx="1">
                  <c:v>32</c:v>
                </c:pt>
                <c:pt idx="2">
                  <c:v>36</c:v>
                </c:pt>
                <c:pt idx="3">
                  <c:v>30</c:v>
                </c:pt>
                <c:pt idx="4">
                  <c:v>32</c:v>
                </c:pt>
                <c:pt idx="5">
                  <c:v>36</c:v>
                </c:pt>
                <c:pt idx="6">
                  <c:v>31</c:v>
                </c:pt>
                <c:pt idx="7">
                  <c:v>35</c:v>
                </c:pt>
              </c:numCache>
            </c:numRef>
          </c:xVal>
          <c:yVal>
            <c:numRef>
              <c:f>'Task 1 Converted AMI PDF Stats'!$U$5:$U$12</c:f>
              <c:numCache>
                <c:formatCode>_(* #,##0_);_(* \(#,##0\);_(* "-"??_);_(@_)</c:formatCode>
                <c:ptCount val="8"/>
                <c:pt idx="0">
                  <c:v>15998.390773769612</c:v>
                </c:pt>
                <c:pt idx="2">
                  <c:v>12337.401099637924</c:v>
                </c:pt>
                <c:pt idx="3">
                  <c:v>8582.539895400294</c:v>
                </c:pt>
                <c:pt idx="4">
                  <c:v>16184</c:v>
                </c:pt>
                <c:pt idx="6">
                  <c:v>12605.605471369183</c:v>
                </c:pt>
                <c:pt idx="7">
                  <c:v>14751.240445219257</c:v>
                </c:pt>
              </c:numCache>
            </c:numRef>
          </c:yVal>
          <c:smooth val="1"/>
          <c:extLst>
            <c:ext xmlns:c16="http://schemas.microsoft.com/office/drawing/2014/chart" uri="{C3380CC4-5D6E-409C-BE32-E72D297353CC}">
              <c16:uniqueId val="{00000001-D4AD-4806-B024-863DF9D629A1}"/>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24573030181909827"/>
                  <c:y val="-2.9624804563281648E-2"/>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Stats'!$Y$13:$Y$98</c:f>
              <c:numCache>
                <c:formatCode>0.0</c:formatCode>
                <c:ptCount val="86"/>
                <c:pt idx="0">
                  <c:v>50</c:v>
                </c:pt>
                <c:pt idx="1">
                  <c:v>40</c:v>
                </c:pt>
                <c:pt idx="2">
                  <c:v>37.5</c:v>
                </c:pt>
                <c:pt idx="3">
                  <c:v>37.5</c:v>
                </c:pt>
                <c:pt idx="4">
                  <c:v>38</c:v>
                </c:pt>
                <c:pt idx="5">
                  <c:v>30</c:v>
                </c:pt>
                <c:pt idx="6">
                  <c:v>32</c:v>
                </c:pt>
                <c:pt idx="7">
                  <c:v>30</c:v>
                </c:pt>
                <c:pt idx="8">
                  <c:v>30</c:v>
                </c:pt>
                <c:pt idx="9">
                  <c:v>30</c:v>
                </c:pt>
                <c:pt idx="10">
                  <c:v>28</c:v>
                </c:pt>
                <c:pt idx="11">
                  <c:v>25</c:v>
                </c:pt>
                <c:pt idx="12">
                  <c:v>37</c:v>
                </c:pt>
                <c:pt idx="13">
                  <c:v>37</c:v>
                </c:pt>
                <c:pt idx="14">
                  <c:v>29</c:v>
                </c:pt>
                <c:pt idx="15">
                  <c:v>32</c:v>
                </c:pt>
                <c:pt idx="16">
                  <c:v>32</c:v>
                </c:pt>
                <c:pt idx="17">
                  <c:v>31</c:v>
                </c:pt>
                <c:pt idx="18">
                  <c:v>45</c:v>
                </c:pt>
                <c:pt idx="19">
                  <c:v>37.5</c:v>
                </c:pt>
                <c:pt idx="20">
                  <c:v>23</c:v>
                </c:pt>
                <c:pt idx="21">
                  <c:v>42</c:v>
                </c:pt>
                <c:pt idx="22">
                  <c:v>42</c:v>
                </c:pt>
                <c:pt idx="23">
                  <c:v>42</c:v>
                </c:pt>
                <c:pt idx="24">
                  <c:v>35</c:v>
                </c:pt>
                <c:pt idx="25">
                  <c:v>35</c:v>
                </c:pt>
                <c:pt idx="26">
                  <c:v>35</c:v>
                </c:pt>
                <c:pt idx="27">
                  <c:v>35</c:v>
                </c:pt>
                <c:pt idx="28">
                  <c:v>32</c:v>
                </c:pt>
                <c:pt idx="29">
                  <c:v>35</c:v>
                </c:pt>
                <c:pt idx="30">
                  <c:v>35</c:v>
                </c:pt>
                <c:pt idx="31">
                  <c:v>28</c:v>
                </c:pt>
                <c:pt idx="32">
                  <c:v>36</c:v>
                </c:pt>
                <c:pt idx="33">
                  <c:v>16</c:v>
                </c:pt>
                <c:pt idx="34">
                  <c:v>34.5</c:v>
                </c:pt>
                <c:pt idx="35">
                  <c:v>32</c:v>
                </c:pt>
                <c:pt idx="36">
                  <c:v>40</c:v>
                </c:pt>
                <c:pt idx="37">
                  <c:v>37</c:v>
                </c:pt>
                <c:pt idx="38">
                  <c:v>35</c:v>
                </c:pt>
                <c:pt idx="39">
                  <c:v>36.5</c:v>
                </c:pt>
                <c:pt idx="40">
                  <c:v>40</c:v>
                </c:pt>
                <c:pt idx="41">
                  <c:v>41</c:v>
                </c:pt>
                <c:pt idx="42">
                  <c:v>40</c:v>
                </c:pt>
                <c:pt idx="43">
                  <c:v>40</c:v>
                </c:pt>
                <c:pt idx="44">
                  <c:v>38</c:v>
                </c:pt>
                <c:pt idx="45">
                  <c:v>40</c:v>
                </c:pt>
                <c:pt idx="46">
                  <c:v>40</c:v>
                </c:pt>
                <c:pt idx="47">
                  <c:v>36.5</c:v>
                </c:pt>
                <c:pt idx="48">
                  <c:v>31</c:v>
                </c:pt>
                <c:pt idx="49">
                  <c:v>31</c:v>
                </c:pt>
                <c:pt idx="50">
                  <c:v>36</c:v>
                </c:pt>
                <c:pt idx="51">
                  <c:v>36</c:v>
                </c:pt>
                <c:pt idx="52">
                  <c:v>38</c:v>
                </c:pt>
                <c:pt idx="53">
                  <c:v>40</c:v>
                </c:pt>
                <c:pt idx="54">
                  <c:v>40</c:v>
                </c:pt>
                <c:pt idx="55">
                  <c:v>27</c:v>
                </c:pt>
                <c:pt idx="56">
                  <c:v>41</c:v>
                </c:pt>
                <c:pt idx="57">
                  <c:v>38</c:v>
                </c:pt>
                <c:pt idx="58">
                  <c:v>37</c:v>
                </c:pt>
                <c:pt idx="59">
                  <c:v>37.5</c:v>
                </c:pt>
                <c:pt idx="60">
                  <c:v>39</c:v>
                </c:pt>
                <c:pt idx="61">
                  <c:v>32</c:v>
                </c:pt>
                <c:pt idx="62">
                  <c:v>31</c:v>
                </c:pt>
                <c:pt idx="63">
                  <c:v>30</c:v>
                </c:pt>
                <c:pt idx="64">
                  <c:v>40</c:v>
                </c:pt>
                <c:pt idx="65">
                  <c:v>30.5</c:v>
                </c:pt>
                <c:pt idx="66">
                  <c:v>26</c:v>
                </c:pt>
                <c:pt idx="67">
                  <c:v>38</c:v>
                </c:pt>
                <c:pt idx="68">
                  <c:v>38.5</c:v>
                </c:pt>
                <c:pt idx="69">
                  <c:v>38.5</c:v>
                </c:pt>
                <c:pt idx="70">
                  <c:v>36</c:v>
                </c:pt>
                <c:pt idx="71">
                  <c:v>30</c:v>
                </c:pt>
                <c:pt idx="72">
                  <c:v>38</c:v>
                </c:pt>
                <c:pt idx="73">
                  <c:v>40</c:v>
                </c:pt>
                <c:pt idx="74">
                  <c:v>32</c:v>
                </c:pt>
                <c:pt idx="75">
                  <c:v>38</c:v>
                </c:pt>
                <c:pt idx="76">
                  <c:v>38</c:v>
                </c:pt>
                <c:pt idx="77">
                  <c:v>32</c:v>
                </c:pt>
                <c:pt idx="78">
                  <c:v>30</c:v>
                </c:pt>
                <c:pt idx="79">
                  <c:v>28</c:v>
                </c:pt>
                <c:pt idx="80">
                  <c:v>28</c:v>
                </c:pt>
                <c:pt idx="81">
                  <c:v>28</c:v>
                </c:pt>
                <c:pt idx="82">
                  <c:v>31</c:v>
                </c:pt>
                <c:pt idx="83">
                  <c:v>31</c:v>
                </c:pt>
                <c:pt idx="84">
                  <c:v>38</c:v>
                </c:pt>
                <c:pt idx="85">
                  <c:v>34</c:v>
                </c:pt>
              </c:numCache>
            </c:numRef>
          </c:xVal>
          <c:yVal>
            <c:numRef>
              <c:f>'Task 1 Converted AMI PDF Stats'!$U$13:$U$98</c:f>
              <c:numCache>
                <c:formatCode>_(* #,##0_);_(* \(#,##0\);_(* "-"??_);_(@_)</c:formatCode>
                <c:ptCount val="86"/>
                <c:pt idx="0">
                  <c:v>16200</c:v>
                </c:pt>
                <c:pt idx="1">
                  <c:v>3046</c:v>
                </c:pt>
                <c:pt idx="2">
                  <c:v>4800</c:v>
                </c:pt>
                <c:pt idx="3">
                  <c:v>4800</c:v>
                </c:pt>
                <c:pt idx="4">
                  <c:v>5000</c:v>
                </c:pt>
                <c:pt idx="5">
                  <c:v>6000</c:v>
                </c:pt>
                <c:pt idx="6">
                  <c:v>5800</c:v>
                </c:pt>
                <c:pt idx="7">
                  <c:v>4220</c:v>
                </c:pt>
                <c:pt idx="8">
                  <c:v>2400</c:v>
                </c:pt>
                <c:pt idx="9">
                  <c:v>4400</c:v>
                </c:pt>
                <c:pt idx="10">
                  <c:v>4800</c:v>
                </c:pt>
                <c:pt idx="11">
                  <c:v>5292</c:v>
                </c:pt>
                <c:pt idx="12">
                  <c:v>4500</c:v>
                </c:pt>
                <c:pt idx="13">
                  <c:v>6000</c:v>
                </c:pt>
                <c:pt idx="14">
                  <c:v>4800</c:v>
                </c:pt>
                <c:pt idx="15">
                  <c:v>6820</c:v>
                </c:pt>
                <c:pt idx="16">
                  <c:v>5400</c:v>
                </c:pt>
                <c:pt idx="17">
                  <c:v>6000</c:v>
                </c:pt>
                <c:pt idx="18">
                  <c:v>8025</c:v>
                </c:pt>
                <c:pt idx="19">
                  <c:v>12280</c:v>
                </c:pt>
                <c:pt idx="20">
                  <c:v>5984</c:v>
                </c:pt>
                <c:pt idx="21">
                  <c:v>12000</c:v>
                </c:pt>
                <c:pt idx="22">
                  <c:v>12000</c:v>
                </c:pt>
                <c:pt idx="23">
                  <c:v>12000</c:v>
                </c:pt>
                <c:pt idx="24">
                  <c:v>12000</c:v>
                </c:pt>
                <c:pt idx="25">
                  <c:v>12000</c:v>
                </c:pt>
                <c:pt idx="26">
                  <c:v>12000</c:v>
                </c:pt>
                <c:pt idx="27">
                  <c:v>8025</c:v>
                </c:pt>
                <c:pt idx="28">
                  <c:v>7680</c:v>
                </c:pt>
                <c:pt idx="29">
                  <c:v>12000</c:v>
                </c:pt>
                <c:pt idx="30">
                  <c:v>8025</c:v>
                </c:pt>
                <c:pt idx="31">
                  <c:v>4800</c:v>
                </c:pt>
                <c:pt idx="32">
                  <c:v>8025</c:v>
                </c:pt>
                <c:pt idx="33">
                  <c:v>1450</c:v>
                </c:pt>
                <c:pt idx="34">
                  <c:v>9180</c:v>
                </c:pt>
                <c:pt idx="35">
                  <c:v>9000</c:v>
                </c:pt>
                <c:pt idx="36">
                  <c:v>13300</c:v>
                </c:pt>
                <c:pt idx="37">
                  <c:v>14100</c:v>
                </c:pt>
                <c:pt idx="38">
                  <c:v>13640</c:v>
                </c:pt>
                <c:pt idx="39">
                  <c:v>12000</c:v>
                </c:pt>
                <c:pt idx="40">
                  <c:v>13600</c:v>
                </c:pt>
                <c:pt idx="41">
                  <c:v>13640</c:v>
                </c:pt>
                <c:pt idx="42">
                  <c:v>13640</c:v>
                </c:pt>
                <c:pt idx="43">
                  <c:v>13640</c:v>
                </c:pt>
                <c:pt idx="44">
                  <c:v>14400</c:v>
                </c:pt>
                <c:pt idx="45">
                  <c:v>9370</c:v>
                </c:pt>
                <c:pt idx="46">
                  <c:v>9370</c:v>
                </c:pt>
                <c:pt idx="47">
                  <c:v>14000</c:v>
                </c:pt>
                <c:pt idx="48">
                  <c:v>13029</c:v>
                </c:pt>
                <c:pt idx="49">
                  <c:v>13029</c:v>
                </c:pt>
                <c:pt idx="50">
                  <c:v>12000</c:v>
                </c:pt>
                <c:pt idx="51">
                  <c:v>12000</c:v>
                </c:pt>
                <c:pt idx="52">
                  <c:v>12000</c:v>
                </c:pt>
                <c:pt idx="53">
                  <c:v>16800</c:v>
                </c:pt>
                <c:pt idx="54">
                  <c:v>13640</c:v>
                </c:pt>
                <c:pt idx="55">
                  <c:v>6140</c:v>
                </c:pt>
                <c:pt idx="56">
                  <c:v>23000</c:v>
                </c:pt>
                <c:pt idx="57">
                  <c:v>12000</c:v>
                </c:pt>
                <c:pt idx="58">
                  <c:v>11520</c:v>
                </c:pt>
                <c:pt idx="59">
                  <c:v>12280</c:v>
                </c:pt>
                <c:pt idx="60">
                  <c:v>15360</c:v>
                </c:pt>
                <c:pt idx="61">
                  <c:v>11250</c:v>
                </c:pt>
                <c:pt idx="62">
                  <c:v>14400</c:v>
                </c:pt>
                <c:pt idx="63">
                  <c:v>9210</c:v>
                </c:pt>
                <c:pt idx="64">
                  <c:v>13200</c:v>
                </c:pt>
                <c:pt idx="65">
                  <c:v>4000</c:v>
                </c:pt>
                <c:pt idx="66">
                  <c:v>7500</c:v>
                </c:pt>
                <c:pt idx="67">
                  <c:v>15000</c:v>
                </c:pt>
                <c:pt idx="68">
                  <c:v>18740</c:v>
                </c:pt>
                <c:pt idx="69">
                  <c:v>18740</c:v>
                </c:pt>
                <c:pt idx="70">
                  <c:v>17060</c:v>
                </c:pt>
                <c:pt idx="71">
                  <c:v>7500</c:v>
                </c:pt>
                <c:pt idx="72">
                  <c:v>17700</c:v>
                </c:pt>
                <c:pt idx="73">
                  <c:v>15000</c:v>
                </c:pt>
                <c:pt idx="74">
                  <c:v>15000</c:v>
                </c:pt>
                <c:pt idx="75">
                  <c:v>15120</c:v>
                </c:pt>
                <c:pt idx="76">
                  <c:v>17700</c:v>
                </c:pt>
                <c:pt idx="77">
                  <c:v>13029</c:v>
                </c:pt>
                <c:pt idx="78">
                  <c:v>12795</c:v>
                </c:pt>
                <c:pt idx="79">
                  <c:v>4000</c:v>
                </c:pt>
                <c:pt idx="80">
                  <c:v>4000</c:v>
                </c:pt>
                <c:pt idx="81">
                  <c:v>4000</c:v>
                </c:pt>
                <c:pt idx="82">
                  <c:v>16600</c:v>
                </c:pt>
                <c:pt idx="83">
                  <c:v>15000</c:v>
                </c:pt>
                <c:pt idx="84">
                  <c:v>15120</c:v>
                </c:pt>
              </c:numCache>
            </c:numRef>
          </c:yVal>
          <c:smooth val="1"/>
          <c:extLst>
            <c:ext xmlns:c16="http://schemas.microsoft.com/office/drawing/2014/chart" uri="{C3380CC4-5D6E-409C-BE32-E72D297353CC}">
              <c16:uniqueId val="{00000002-D4AD-4806-B024-863DF9D629A1}"/>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39145732795772986"/>
                  <c:y val="-0.10919424851510451"/>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Stats'!$Y$99:$Y$112</c:f>
              <c:numCache>
                <c:formatCode>0.0</c:formatCode>
                <c:ptCount val="14"/>
                <c:pt idx="0">
                  <c:v>36</c:v>
                </c:pt>
                <c:pt idx="1">
                  <c:v>32</c:v>
                </c:pt>
                <c:pt idx="2">
                  <c:v>35</c:v>
                </c:pt>
                <c:pt idx="3">
                  <c:v>40.5</c:v>
                </c:pt>
                <c:pt idx="4">
                  <c:v>37</c:v>
                </c:pt>
                <c:pt idx="5">
                  <c:v>30</c:v>
                </c:pt>
                <c:pt idx="6">
                  <c:v>32</c:v>
                </c:pt>
                <c:pt idx="7">
                  <c:v>30</c:v>
                </c:pt>
                <c:pt idx="8">
                  <c:v>40</c:v>
                </c:pt>
                <c:pt idx="9">
                  <c:v>30.5</c:v>
                </c:pt>
                <c:pt idx="10">
                  <c:v>40</c:v>
                </c:pt>
                <c:pt idx="11">
                  <c:v>32</c:v>
                </c:pt>
                <c:pt idx="12">
                  <c:v>32</c:v>
                </c:pt>
                <c:pt idx="13">
                  <c:v>37</c:v>
                </c:pt>
              </c:numCache>
            </c:numRef>
          </c:xVal>
          <c:yVal>
            <c:numRef>
              <c:f>'Task 1 Converted AMI PDF Stats'!$U$99:$U$112</c:f>
              <c:numCache>
                <c:formatCode>_(* #,##0_);_(* \(#,##0\);_(* "-"??_);_(@_)</c:formatCode>
                <c:ptCount val="14"/>
                <c:pt idx="0">
                  <c:v>5800</c:v>
                </c:pt>
                <c:pt idx="1">
                  <c:v>6810</c:v>
                </c:pt>
                <c:pt idx="2">
                  <c:v>8025</c:v>
                </c:pt>
                <c:pt idx="3">
                  <c:v>12750</c:v>
                </c:pt>
                <c:pt idx="4">
                  <c:v>10800</c:v>
                </c:pt>
                <c:pt idx="5">
                  <c:v>7510</c:v>
                </c:pt>
                <c:pt idx="6">
                  <c:v>7510</c:v>
                </c:pt>
                <c:pt idx="7">
                  <c:v>10230</c:v>
                </c:pt>
                <c:pt idx="8">
                  <c:v>15360</c:v>
                </c:pt>
                <c:pt idx="9">
                  <c:v>4000</c:v>
                </c:pt>
                <c:pt idx="10">
                  <c:v>17700</c:v>
                </c:pt>
                <c:pt idx="11">
                  <c:v>15000</c:v>
                </c:pt>
                <c:pt idx="12">
                  <c:v>15840</c:v>
                </c:pt>
                <c:pt idx="13">
                  <c:v>22200</c:v>
                </c:pt>
              </c:numCache>
            </c:numRef>
          </c:yVal>
          <c:smooth val="1"/>
          <c:extLst>
            <c:ext xmlns:c16="http://schemas.microsoft.com/office/drawing/2014/chart" uri="{C3380CC4-5D6E-409C-BE32-E72D297353CC}">
              <c16:uniqueId val="{00000003-D4AD-4806-B024-863DF9D629A1}"/>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24573030181909827"/>
                  <c:y val="-0.1175272437715229"/>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Stats'!$Y$113:$Y$276</c:f>
              <c:numCache>
                <c:formatCode>0.0</c:formatCode>
                <c:ptCount val="164"/>
                <c:pt idx="0">
                  <c:v>23.8</c:v>
                </c:pt>
                <c:pt idx="1">
                  <c:v>29</c:v>
                </c:pt>
                <c:pt idx="2">
                  <c:v>22.5</c:v>
                </c:pt>
                <c:pt idx="3">
                  <c:v>30</c:v>
                </c:pt>
                <c:pt idx="4">
                  <c:v>30</c:v>
                </c:pt>
                <c:pt idx="5">
                  <c:v>26</c:v>
                </c:pt>
                <c:pt idx="6">
                  <c:v>23</c:v>
                </c:pt>
                <c:pt idx="7">
                  <c:v>22</c:v>
                </c:pt>
                <c:pt idx="9">
                  <c:v>38</c:v>
                </c:pt>
                <c:pt idx="10">
                  <c:v>45</c:v>
                </c:pt>
                <c:pt idx="11">
                  <c:v>18.7</c:v>
                </c:pt>
                <c:pt idx="12">
                  <c:v>50</c:v>
                </c:pt>
                <c:pt idx="13">
                  <c:v>23</c:v>
                </c:pt>
                <c:pt idx="14">
                  <c:v>22</c:v>
                </c:pt>
                <c:pt idx="15">
                  <c:v>23</c:v>
                </c:pt>
                <c:pt idx="16">
                  <c:v>18</c:v>
                </c:pt>
                <c:pt idx="17">
                  <c:v>20</c:v>
                </c:pt>
                <c:pt idx="18">
                  <c:v>25</c:v>
                </c:pt>
                <c:pt idx="19">
                  <c:v>30</c:v>
                </c:pt>
                <c:pt idx="20">
                  <c:v>23</c:v>
                </c:pt>
                <c:pt idx="21">
                  <c:v>27</c:v>
                </c:pt>
                <c:pt idx="22">
                  <c:v>25</c:v>
                </c:pt>
                <c:pt idx="23">
                  <c:v>22</c:v>
                </c:pt>
                <c:pt idx="24">
                  <c:v>25</c:v>
                </c:pt>
                <c:pt idx="25">
                  <c:v>18</c:v>
                </c:pt>
                <c:pt idx="26">
                  <c:v>27</c:v>
                </c:pt>
                <c:pt idx="27">
                  <c:v>32</c:v>
                </c:pt>
                <c:pt idx="28">
                  <c:v>32</c:v>
                </c:pt>
                <c:pt idx="29">
                  <c:v>18</c:v>
                </c:pt>
                <c:pt idx="30">
                  <c:v>23</c:v>
                </c:pt>
                <c:pt idx="31">
                  <c:v>26</c:v>
                </c:pt>
                <c:pt idx="32">
                  <c:v>30</c:v>
                </c:pt>
                <c:pt idx="33">
                  <c:v>26</c:v>
                </c:pt>
                <c:pt idx="34">
                  <c:v>45</c:v>
                </c:pt>
                <c:pt idx="35">
                  <c:v>21</c:v>
                </c:pt>
                <c:pt idx="36">
                  <c:v>27</c:v>
                </c:pt>
                <c:pt idx="37">
                  <c:v>14</c:v>
                </c:pt>
                <c:pt idx="38">
                  <c:v>18</c:v>
                </c:pt>
                <c:pt idx="39">
                  <c:v>20</c:v>
                </c:pt>
                <c:pt idx="40">
                  <c:v>20</c:v>
                </c:pt>
                <c:pt idx="41">
                  <c:v>30</c:v>
                </c:pt>
                <c:pt idx="42">
                  <c:v>25</c:v>
                </c:pt>
                <c:pt idx="43">
                  <c:v>25</c:v>
                </c:pt>
                <c:pt idx="44">
                  <c:v>22</c:v>
                </c:pt>
                <c:pt idx="45">
                  <c:v>27</c:v>
                </c:pt>
                <c:pt idx="46">
                  <c:v>30</c:v>
                </c:pt>
                <c:pt idx="47">
                  <c:v>17</c:v>
                </c:pt>
                <c:pt idx="48">
                  <c:v>25</c:v>
                </c:pt>
                <c:pt idx="49">
                  <c:v>30</c:v>
                </c:pt>
                <c:pt idx="50">
                  <c:v>24</c:v>
                </c:pt>
                <c:pt idx="51">
                  <c:v>30</c:v>
                </c:pt>
                <c:pt idx="52">
                  <c:v>28</c:v>
                </c:pt>
                <c:pt idx="53">
                  <c:v>30</c:v>
                </c:pt>
                <c:pt idx="54">
                  <c:v>24</c:v>
                </c:pt>
                <c:pt idx="55">
                  <c:v>25</c:v>
                </c:pt>
                <c:pt idx="56">
                  <c:v>35</c:v>
                </c:pt>
                <c:pt idx="57">
                  <c:v>24</c:v>
                </c:pt>
                <c:pt idx="58">
                  <c:v>32</c:v>
                </c:pt>
                <c:pt idx="59">
                  <c:v>23</c:v>
                </c:pt>
                <c:pt idx="60">
                  <c:v>42</c:v>
                </c:pt>
                <c:pt idx="61">
                  <c:v>28</c:v>
                </c:pt>
                <c:pt idx="62">
                  <c:v>22</c:v>
                </c:pt>
                <c:pt idx="63">
                  <c:v>32</c:v>
                </c:pt>
                <c:pt idx="64">
                  <c:v>21</c:v>
                </c:pt>
                <c:pt idx="65">
                  <c:v>21</c:v>
                </c:pt>
                <c:pt idx="66">
                  <c:v>23</c:v>
                </c:pt>
                <c:pt idx="67">
                  <c:v>32</c:v>
                </c:pt>
                <c:pt idx="68">
                  <c:v>32</c:v>
                </c:pt>
                <c:pt idx="69">
                  <c:v>25</c:v>
                </c:pt>
                <c:pt idx="70">
                  <c:v>40</c:v>
                </c:pt>
                <c:pt idx="71">
                  <c:v>22</c:v>
                </c:pt>
                <c:pt idx="72">
                  <c:v>21</c:v>
                </c:pt>
                <c:pt idx="73">
                  <c:v>26.3</c:v>
                </c:pt>
                <c:pt idx="74">
                  <c:v>24</c:v>
                </c:pt>
                <c:pt idx="75">
                  <c:v>28</c:v>
                </c:pt>
                <c:pt idx="76">
                  <c:v>11</c:v>
                </c:pt>
                <c:pt idx="77">
                  <c:v>29</c:v>
                </c:pt>
                <c:pt idx="78">
                  <c:v>20</c:v>
                </c:pt>
                <c:pt idx="79">
                  <c:v>20</c:v>
                </c:pt>
                <c:pt idx="80">
                  <c:v>18</c:v>
                </c:pt>
                <c:pt idx="81">
                  <c:v>29</c:v>
                </c:pt>
                <c:pt idx="82">
                  <c:v>24</c:v>
                </c:pt>
                <c:pt idx="83">
                  <c:v>28</c:v>
                </c:pt>
                <c:pt idx="84">
                  <c:v>22</c:v>
                </c:pt>
                <c:pt idx="85">
                  <c:v>28</c:v>
                </c:pt>
                <c:pt idx="86">
                  <c:v>22</c:v>
                </c:pt>
                <c:pt idx="87">
                  <c:v>23</c:v>
                </c:pt>
                <c:pt idx="88">
                  <c:v>33</c:v>
                </c:pt>
                <c:pt idx="89">
                  <c:v>33</c:v>
                </c:pt>
                <c:pt idx="90">
                  <c:v>25</c:v>
                </c:pt>
                <c:pt idx="91">
                  <c:v>27</c:v>
                </c:pt>
                <c:pt idx="92">
                  <c:v>25</c:v>
                </c:pt>
                <c:pt idx="93">
                  <c:v>28</c:v>
                </c:pt>
                <c:pt idx="94">
                  <c:v>24</c:v>
                </c:pt>
                <c:pt idx="95">
                  <c:v>27</c:v>
                </c:pt>
                <c:pt idx="96">
                  <c:v>35</c:v>
                </c:pt>
                <c:pt idx="97">
                  <c:v>26</c:v>
                </c:pt>
                <c:pt idx="98">
                  <c:v>32</c:v>
                </c:pt>
                <c:pt idx="99">
                  <c:v>27</c:v>
                </c:pt>
                <c:pt idx="100">
                  <c:v>29</c:v>
                </c:pt>
                <c:pt idx="101">
                  <c:v>38</c:v>
                </c:pt>
                <c:pt idx="102">
                  <c:v>30</c:v>
                </c:pt>
                <c:pt idx="103">
                  <c:v>33</c:v>
                </c:pt>
                <c:pt idx="104">
                  <c:v>30</c:v>
                </c:pt>
                <c:pt idx="105">
                  <c:v>37</c:v>
                </c:pt>
                <c:pt idx="106">
                  <c:v>30</c:v>
                </c:pt>
                <c:pt idx="107">
                  <c:v>40</c:v>
                </c:pt>
                <c:pt idx="108">
                  <c:v>28</c:v>
                </c:pt>
                <c:pt idx="109">
                  <c:v>34.5</c:v>
                </c:pt>
                <c:pt idx="110">
                  <c:v>30</c:v>
                </c:pt>
                <c:pt idx="111">
                  <c:v>30</c:v>
                </c:pt>
                <c:pt idx="112">
                  <c:v>23</c:v>
                </c:pt>
                <c:pt idx="113">
                  <c:v>20</c:v>
                </c:pt>
                <c:pt idx="114">
                  <c:v>41</c:v>
                </c:pt>
                <c:pt idx="115">
                  <c:v>35</c:v>
                </c:pt>
                <c:pt idx="116">
                  <c:v>30</c:v>
                </c:pt>
                <c:pt idx="117">
                  <c:v>22</c:v>
                </c:pt>
                <c:pt idx="118">
                  <c:v>26</c:v>
                </c:pt>
                <c:pt idx="119">
                  <c:v>25</c:v>
                </c:pt>
                <c:pt idx="120">
                  <c:v>22</c:v>
                </c:pt>
                <c:pt idx="121">
                  <c:v>27.5</c:v>
                </c:pt>
                <c:pt idx="122">
                  <c:v>20</c:v>
                </c:pt>
                <c:pt idx="123">
                  <c:v>23</c:v>
                </c:pt>
                <c:pt idx="124">
                  <c:v>16</c:v>
                </c:pt>
                <c:pt idx="125">
                  <c:v>15</c:v>
                </c:pt>
                <c:pt idx="126">
                  <c:v>35</c:v>
                </c:pt>
                <c:pt idx="127">
                  <c:v>23</c:v>
                </c:pt>
                <c:pt idx="128">
                  <c:v>24</c:v>
                </c:pt>
                <c:pt idx="129">
                  <c:v>30.5</c:v>
                </c:pt>
                <c:pt idx="130">
                  <c:v>30.5</c:v>
                </c:pt>
                <c:pt idx="131">
                  <c:v>28</c:v>
                </c:pt>
                <c:pt idx="132">
                  <c:v>35</c:v>
                </c:pt>
                <c:pt idx="133">
                  <c:v>35</c:v>
                </c:pt>
                <c:pt idx="134">
                  <c:v>20.6</c:v>
                </c:pt>
                <c:pt idx="135">
                  <c:v>20</c:v>
                </c:pt>
                <c:pt idx="136">
                  <c:v>25</c:v>
                </c:pt>
                <c:pt idx="137">
                  <c:v>23</c:v>
                </c:pt>
                <c:pt idx="138">
                  <c:v>40</c:v>
                </c:pt>
                <c:pt idx="139">
                  <c:v>20</c:v>
                </c:pt>
                <c:pt idx="140">
                  <c:v>24.5</c:v>
                </c:pt>
                <c:pt idx="141">
                  <c:v>23</c:v>
                </c:pt>
                <c:pt idx="142">
                  <c:v>28</c:v>
                </c:pt>
                <c:pt idx="143">
                  <c:v>22</c:v>
                </c:pt>
                <c:pt idx="144">
                  <c:v>23</c:v>
                </c:pt>
                <c:pt idx="145">
                  <c:v>42</c:v>
                </c:pt>
                <c:pt idx="146">
                  <c:v>24</c:v>
                </c:pt>
                <c:pt idx="147">
                  <c:v>27</c:v>
                </c:pt>
                <c:pt idx="148">
                  <c:v>27</c:v>
                </c:pt>
                <c:pt idx="149">
                  <c:v>30</c:v>
                </c:pt>
                <c:pt idx="150">
                  <c:v>26</c:v>
                </c:pt>
                <c:pt idx="151">
                  <c:v>24</c:v>
                </c:pt>
                <c:pt idx="152">
                  <c:v>30</c:v>
                </c:pt>
                <c:pt idx="153">
                  <c:v>22</c:v>
                </c:pt>
                <c:pt idx="154">
                  <c:v>31</c:v>
                </c:pt>
                <c:pt idx="155">
                  <c:v>28</c:v>
                </c:pt>
                <c:pt idx="156">
                  <c:v>38</c:v>
                </c:pt>
                <c:pt idx="157">
                  <c:v>20</c:v>
                </c:pt>
                <c:pt idx="158">
                  <c:v>15</c:v>
                </c:pt>
                <c:pt idx="159">
                  <c:v>15</c:v>
                </c:pt>
                <c:pt idx="160">
                  <c:v>15</c:v>
                </c:pt>
                <c:pt idx="161">
                  <c:v>24</c:v>
                </c:pt>
                <c:pt idx="162">
                  <c:v>25</c:v>
                </c:pt>
                <c:pt idx="163">
                  <c:v>24</c:v>
                </c:pt>
              </c:numCache>
            </c:numRef>
          </c:xVal>
          <c:yVal>
            <c:numRef>
              <c:f>'Task 1 Converted AMI PDF Stats'!$U$113:$U$276</c:f>
              <c:numCache>
                <c:formatCode>_(* #,##0_);_(* \(#,##0\);_(* "-"??_);_(@_)</c:formatCode>
                <c:ptCount val="164"/>
                <c:pt idx="0">
                  <c:v>7295.1589110902505</c:v>
                </c:pt>
                <c:pt idx="1">
                  <c:v>3500.0670510929326</c:v>
                </c:pt>
                <c:pt idx="2">
                  <c:v>5600.107281748692</c:v>
                </c:pt>
                <c:pt idx="3">
                  <c:v>2200</c:v>
                </c:pt>
                <c:pt idx="4">
                  <c:v>2200</c:v>
                </c:pt>
                <c:pt idx="5">
                  <c:v>2800</c:v>
                </c:pt>
                <c:pt idx="6">
                  <c:v>2680</c:v>
                </c:pt>
                <c:pt idx="7">
                  <c:v>1300</c:v>
                </c:pt>
                <c:pt idx="8">
                  <c:v>1000</c:v>
                </c:pt>
                <c:pt idx="9">
                  <c:v>4800</c:v>
                </c:pt>
                <c:pt idx="10">
                  <c:v>4570</c:v>
                </c:pt>
                <c:pt idx="11">
                  <c:v>811</c:v>
                </c:pt>
                <c:pt idx="12">
                  <c:v>4570</c:v>
                </c:pt>
                <c:pt idx="13">
                  <c:v>1600</c:v>
                </c:pt>
                <c:pt idx="14">
                  <c:v>1600</c:v>
                </c:pt>
                <c:pt idx="15">
                  <c:v>1600</c:v>
                </c:pt>
                <c:pt idx="16">
                  <c:v>4693.5765052970364</c:v>
                </c:pt>
                <c:pt idx="17">
                  <c:v>2700</c:v>
                </c:pt>
                <c:pt idx="18">
                  <c:v>2660</c:v>
                </c:pt>
                <c:pt idx="19">
                  <c:v>4400</c:v>
                </c:pt>
                <c:pt idx="20">
                  <c:v>2805</c:v>
                </c:pt>
                <c:pt idx="21">
                  <c:v>2660</c:v>
                </c:pt>
                <c:pt idx="22">
                  <c:v>2322</c:v>
                </c:pt>
                <c:pt idx="23">
                  <c:v>1300</c:v>
                </c:pt>
                <c:pt idx="24">
                  <c:v>2680</c:v>
                </c:pt>
                <c:pt idx="25">
                  <c:v>2500</c:v>
                </c:pt>
                <c:pt idx="26">
                  <c:v>2700</c:v>
                </c:pt>
                <c:pt idx="27">
                  <c:v>4290</c:v>
                </c:pt>
                <c:pt idx="28">
                  <c:v>3270</c:v>
                </c:pt>
                <c:pt idx="29">
                  <c:v>5364.087434625184</c:v>
                </c:pt>
                <c:pt idx="30">
                  <c:v>1020</c:v>
                </c:pt>
                <c:pt idx="31">
                  <c:v>3700</c:v>
                </c:pt>
                <c:pt idx="32">
                  <c:v>2070</c:v>
                </c:pt>
                <c:pt idx="33">
                  <c:v>2951</c:v>
                </c:pt>
                <c:pt idx="34">
                  <c:v>7398</c:v>
                </c:pt>
                <c:pt idx="35">
                  <c:v>2700</c:v>
                </c:pt>
                <c:pt idx="36">
                  <c:v>3500</c:v>
                </c:pt>
                <c:pt idx="37">
                  <c:v>1290</c:v>
                </c:pt>
                <c:pt idx="38">
                  <c:v>5000</c:v>
                </c:pt>
                <c:pt idx="39">
                  <c:v>2070</c:v>
                </c:pt>
                <c:pt idx="40">
                  <c:v>2322</c:v>
                </c:pt>
                <c:pt idx="41">
                  <c:v>4680</c:v>
                </c:pt>
                <c:pt idx="42">
                  <c:v>2400</c:v>
                </c:pt>
                <c:pt idx="43">
                  <c:v>1260</c:v>
                </c:pt>
                <c:pt idx="44">
                  <c:v>2700</c:v>
                </c:pt>
                <c:pt idx="45">
                  <c:v>2660</c:v>
                </c:pt>
                <c:pt idx="46">
                  <c:v>4352</c:v>
                </c:pt>
                <c:pt idx="47">
                  <c:v>1100</c:v>
                </c:pt>
                <c:pt idx="48">
                  <c:v>1770</c:v>
                </c:pt>
                <c:pt idx="49">
                  <c:v>5000</c:v>
                </c:pt>
                <c:pt idx="50">
                  <c:v>3000</c:v>
                </c:pt>
                <c:pt idx="51">
                  <c:v>3483</c:v>
                </c:pt>
                <c:pt idx="52">
                  <c:v>5344</c:v>
                </c:pt>
                <c:pt idx="53">
                  <c:v>2610</c:v>
                </c:pt>
                <c:pt idx="54">
                  <c:v>4500</c:v>
                </c:pt>
                <c:pt idx="55">
                  <c:v>5320</c:v>
                </c:pt>
                <c:pt idx="56">
                  <c:v>5200</c:v>
                </c:pt>
                <c:pt idx="57">
                  <c:v>3400</c:v>
                </c:pt>
                <c:pt idx="58">
                  <c:v>4600</c:v>
                </c:pt>
                <c:pt idx="59">
                  <c:v>4087</c:v>
                </c:pt>
                <c:pt idx="60">
                  <c:v>9000</c:v>
                </c:pt>
                <c:pt idx="61">
                  <c:v>4400</c:v>
                </c:pt>
                <c:pt idx="62">
                  <c:v>5200</c:v>
                </c:pt>
                <c:pt idx="63">
                  <c:v>6000</c:v>
                </c:pt>
                <c:pt idx="64">
                  <c:v>1450</c:v>
                </c:pt>
                <c:pt idx="65">
                  <c:v>3520</c:v>
                </c:pt>
                <c:pt idx="66">
                  <c:v>4050</c:v>
                </c:pt>
                <c:pt idx="67">
                  <c:v>7200</c:v>
                </c:pt>
                <c:pt idx="68">
                  <c:v>6000</c:v>
                </c:pt>
                <c:pt idx="69">
                  <c:v>8240</c:v>
                </c:pt>
                <c:pt idx="70">
                  <c:v>4890</c:v>
                </c:pt>
                <c:pt idx="71">
                  <c:v>6000</c:v>
                </c:pt>
                <c:pt idx="72">
                  <c:v>4000</c:v>
                </c:pt>
                <c:pt idx="73">
                  <c:v>4340</c:v>
                </c:pt>
                <c:pt idx="74">
                  <c:v>3000</c:v>
                </c:pt>
                <c:pt idx="75">
                  <c:v>5800</c:v>
                </c:pt>
                <c:pt idx="76">
                  <c:v>385</c:v>
                </c:pt>
                <c:pt idx="77">
                  <c:v>5000</c:v>
                </c:pt>
                <c:pt idx="78">
                  <c:v>2820</c:v>
                </c:pt>
                <c:pt idx="79">
                  <c:v>4400</c:v>
                </c:pt>
                <c:pt idx="80">
                  <c:v>4400</c:v>
                </c:pt>
                <c:pt idx="81">
                  <c:v>6246</c:v>
                </c:pt>
                <c:pt idx="82">
                  <c:v>6260</c:v>
                </c:pt>
                <c:pt idx="83">
                  <c:v>6600</c:v>
                </c:pt>
                <c:pt idx="84">
                  <c:v>9600</c:v>
                </c:pt>
                <c:pt idx="85">
                  <c:v>5760</c:v>
                </c:pt>
                <c:pt idx="86">
                  <c:v>4800</c:v>
                </c:pt>
                <c:pt idx="87">
                  <c:v>5984</c:v>
                </c:pt>
                <c:pt idx="88">
                  <c:v>5911</c:v>
                </c:pt>
                <c:pt idx="89">
                  <c:v>7200</c:v>
                </c:pt>
                <c:pt idx="90">
                  <c:v>4025</c:v>
                </c:pt>
                <c:pt idx="91">
                  <c:v>3012</c:v>
                </c:pt>
                <c:pt idx="92">
                  <c:v>4610</c:v>
                </c:pt>
                <c:pt idx="93">
                  <c:v>4600</c:v>
                </c:pt>
                <c:pt idx="94">
                  <c:v>3300</c:v>
                </c:pt>
                <c:pt idx="95">
                  <c:v>5700</c:v>
                </c:pt>
                <c:pt idx="96">
                  <c:v>7170</c:v>
                </c:pt>
                <c:pt idx="97">
                  <c:v>4025</c:v>
                </c:pt>
                <c:pt idx="98">
                  <c:v>7700</c:v>
                </c:pt>
                <c:pt idx="99">
                  <c:v>5110</c:v>
                </c:pt>
                <c:pt idx="100">
                  <c:v>4025</c:v>
                </c:pt>
                <c:pt idx="101">
                  <c:v>11265</c:v>
                </c:pt>
                <c:pt idx="102">
                  <c:v>6700</c:v>
                </c:pt>
                <c:pt idx="103">
                  <c:v>7200</c:v>
                </c:pt>
                <c:pt idx="104">
                  <c:v>6820</c:v>
                </c:pt>
                <c:pt idx="105">
                  <c:v>13892.986455679227</c:v>
                </c:pt>
                <c:pt idx="106">
                  <c:v>6000</c:v>
                </c:pt>
                <c:pt idx="107">
                  <c:v>13410.21858656296</c:v>
                </c:pt>
                <c:pt idx="108">
                  <c:v>3480</c:v>
                </c:pt>
                <c:pt idx="109">
                  <c:v>9051.8975459299982</c:v>
                </c:pt>
                <c:pt idx="110">
                  <c:v>6140</c:v>
                </c:pt>
                <c:pt idx="112">
                  <c:v>6000</c:v>
                </c:pt>
                <c:pt idx="113">
                  <c:v>4600</c:v>
                </c:pt>
                <c:pt idx="114">
                  <c:v>13640</c:v>
                </c:pt>
                <c:pt idx="115">
                  <c:v>10942</c:v>
                </c:pt>
                <c:pt idx="116">
                  <c:v>6820</c:v>
                </c:pt>
                <c:pt idx="118">
                  <c:v>5800</c:v>
                </c:pt>
                <c:pt idx="119">
                  <c:v>6222.3414241652135</c:v>
                </c:pt>
                <c:pt idx="120">
                  <c:v>6820</c:v>
                </c:pt>
                <c:pt idx="121">
                  <c:v>4050</c:v>
                </c:pt>
                <c:pt idx="122">
                  <c:v>3750</c:v>
                </c:pt>
                <c:pt idx="123">
                  <c:v>4025</c:v>
                </c:pt>
                <c:pt idx="124">
                  <c:v>4000</c:v>
                </c:pt>
                <c:pt idx="125">
                  <c:v>2180</c:v>
                </c:pt>
                <c:pt idx="126">
                  <c:v>13400</c:v>
                </c:pt>
                <c:pt idx="127">
                  <c:v>5712</c:v>
                </c:pt>
                <c:pt idx="128">
                  <c:v>6600</c:v>
                </c:pt>
                <c:pt idx="129">
                  <c:v>4000</c:v>
                </c:pt>
                <c:pt idx="130">
                  <c:v>4000</c:v>
                </c:pt>
                <c:pt idx="131">
                  <c:v>11040</c:v>
                </c:pt>
                <c:pt idx="132">
                  <c:v>18506.101649456887</c:v>
                </c:pt>
                <c:pt idx="133">
                  <c:v>18740</c:v>
                </c:pt>
                <c:pt idx="134">
                  <c:v>4340</c:v>
                </c:pt>
                <c:pt idx="135">
                  <c:v>4640</c:v>
                </c:pt>
                <c:pt idx="136">
                  <c:v>8800</c:v>
                </c:pt>
                <c:pt idx="137">
                  <c:v>7230</c:v>
                </c:pt>
                <c:pt idx="138">
                  <c:v>15019.444816950516</c:v>
                </c:pt>
                <c:pt idx="139">
                  <c:v>6120</c:v>
                </c:pt>
                <c:pt idx="140">
                  <c:v>8000</c:v>
                </c:pt>
                <c:pt idx="141">
                  <c:v>4410</c:v>
                </c:pt>
                <c:pt idx="142">
                  <c:v>8850</c:v>
                </c:pt>
                <c:pt idx="143">
                  <c:v>8340</c:v>
                </c:pt>
                <c:pt idx="144">
                  <c:v>4400</c:v>
                </c:pt>
                <c:pt idx="145">
                  <c:v>17433.284162531847</c:v>
                </c:pt>
                <c:pt idx="146">
                  <c:v>8000</c:v>
                </c:pt>
                <c:pt idx="147">
                  <c:v>8850</c:v>
                </c:pt>
                <c:pt idx="148">
                  <c:v>8850</c:v>
                </c:pt>
                <c:pt idx="149">
                  <c:v>6119</c:v>
                </c:pt>
                <c:pt idx="150">
                  <c:v>5685</c:v>
                </c:pt>
                <c:pt idx="151">
                  <c:v>8000</c:v>
                </c:pt>
                <c:pt idx="152">
                  <c:v>11250</c:v>
                </c:pt>
                <c:pt idx="155">
                  <c:v>8800</c:v>
                </c:pt>
                <c:pt idx="156">
                  <c:v>23065.575968888294</c:v>
                </c:pt>
                <c:pt idx="157">
                  <c:v>8554</c:v>
                </c:pt>
                <c:pt idx="158">
                  <c:v>1800</c:v>
                </c:pt>
                <c:pt idx="159">
                  <c:v>2000</c:v>
                </c:pt>
                <c:pt idx="160">
                  <c:v>2000</c:v>
                </c:pt>
                <c:pt idx="161">
                  <c:v>9200</c:v>
                </c:pt>
                <c:pt idx="162">
                  <c:v>10000</c:v>
                </c:pt>
                <c:pt idx="163">
                  <c:v>10000</c:v>
                </c:pt>
              </c:numCache>
            </c:numRef>
          </c:yVal>
          <c:smooth val="1"/>
          <c:extLst>
            <c:ext xmlns:c16="http://schemas.microsoft.com/office/drawing/2014/chart" uri="{C3380CC4-5D6E-409C-BE32-E72D297353CC}">
              <c16:uniqueId val="{00000004-D4AD-4806-B024-863DF9D629A1}"/>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Stats'!$Y$283</c:f>
              <c:numCache>
                <c:formatCode>0.0</c:formatCode>
                <c:ptCount val="1"/>
                <c:pt idx="0">
                  <c:v>31</c:v>
                </c:pt>
              </c:numCache>
            </c:numRef>
          </c:xVal>
          <c:yVal>
            <c:numRef>
              <c:f>'Task 1 Converted AMI PDF Stats'!$U$283</c:f>
              <c:numCache>
                <c:formatCode>_(* #,##0_);_(* \(#,##0\);_(* "-"??_);_(@_)</c:formatCode>
                <c:ptCount val="1"/>
                <c:pt idx="0">
                  <c:v>14600</c:v>
                </c:pt>
              </c:numCache>
            </c:numRef>
          </c:yVal>
          <c:smooth val="1"/>
          <c:extLst>
            <c:ext xmlns:c16="http://schemas.microsoft.com/office/drawing/2014/chart" uri="{C3380CC4-5D6E-409C-BE32-E72D297353CC}">
              <c16:uniqueId val="{00000005-D4AD-4806-B024-863DF9D629A1}"/>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Stats'!$Y$284:$Y$294</c:f>
              <c:numCache>
                <c:formatCode>0.0</c:formatCode>
                <c:ptCount val="11"/>
                <c:pt idx="0">
                  <c:v>23.8</c:v>
                </c:pt>
                <c:pt idx="1">
                  <c:v>29</c:v>
                </c:pt>
                <c:pt idx="2">
                  <c:v>22.5</c:v>
                </c:pt>
                <c:pt idx="3">
                  <c:v>25</c:v>
                </c:pt>
                <c:pt idx="4">
                  <c:v>18</c:v>
                </c:pt>
                <c:pt idx="5">
                  <c:v>18</c:v>
                </c:pt>
                <c:pt idx="6">
                  <c:v>30</c:v>
                </c:pt>
                <c:pt idx="7">
                  <c:v>27.5</c:v>
                </c:pt>
                <c:pt idx="8">
                  <c:v>35</c:v>
                </c:pt>
                <c:pt idx="9">
                  <c:v>29</c:v>
                </c:pt>
                <c:pt idx="10">
                  <c:v>28</c:v>
                </c:pt>
              </c:numCache>
            </c:numRef>
          </c:xVal>
          <c:yVal>
            <c:numRef>
              <c:f>'Task 1 Converted AMI PDF Stats'!$U$284:$U$294</c:f>
              <c:numCache>
                <c:formatCode>_(* #,##0_);_(* \(#,##0\);_(* "-"??_);_(@_)</c:formatCode>
                <c:ptCount val="11"/>
                <c:pt idx="0">
                  <c:v>7295.1589110902505</c:v>
                </c:pt>
                <c:pt idx="1">
                  <c:v>3500.0670510929326</c:v>
                </c:pt>
                <c:pt idx="2">
                  <c:v>5600.107281748692</c:v>
                </c:pt>
                <c:pt idx="3">
                  <c:v>6222.3414241652135</c:v>
                </c:pt>
                <c:pt idx="4">
                  <c:v>4693.5765052970364</c:v>
                </c:pt>
                <c:pt idx="5">
                  <c:v>5364.087434625184</c:v>
                </c:pt>
                <c:pt idx="6">
                  <c:v>6140</c:v>
                </c:pt>
                <c:pt idx="7">
                  <c:v>4050</c:v>
                </c:pt>
                <c:pt idx="8">
                  <c:v>13400</c:v>
                </c:pt>
                <c:pt idx="9">
                  <c:v>6246</c:v>
                </c:pt>
                <c:pt idx="10">
                  <c:v>5760</c:v>
                </c:pt>
              </c:numCache>
            </c:numRef>
          </c:yVal>
          <c:smooth val="1"/>
          <c:extLst>
            <c:ext xmlns:c16="http://schemas.microsoft.com/office/drawing/2014/chart" uri="{C3380CC4-5D6E-409C-BE32-E72D297353CC}">
              <c16:uniqueId val="{00000006-D4AD-4806-B024-863DF9D629A1}"/>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Stats'!$Y$295:$Y$298</c:f>
              <c:numCache>
                <c:formatCode>0.0</c:formatCode>
                <c:ptCount val="4"/>
                <c:pt idx="0">
                  <c:v>40</c:v>
                </c:pt>
                <c:pt idx="1">
                  <c:v>30</c:v>
                </c:pt>
                <c:pt idx="2">
                  <c:v>32</c:v>
                </c:pt>
                <c:pt idx="3">
                  <c:v>30</c:v>
                </c:pt>
              </c:numCache>
            </c:numRef>
          </c:xVal>
          <c:yVal>
            <c:numRef>
              <c:f>'Task 1 Converted AMI PDF Stats'!$U$295:$U$298</c:f>
              <c:numCache>
                <c:formatCode>_(* #,##0_);_(* \(#,##0\);_(* "-"??_);_(@_)</c:formatCode>
                <c:ptCount val="4"/>
                <c:pt idx="0">
                  <c:v>15360</c:v>
                </c:pt>
                <c:pt idx="1">
                  <c:v>7510</c:v>
                </c:pt>
                <c:pt idx="2">
                  <c:v>7510</c:v>
                </c:pt>
                <c:pt idx="3">
                  <c:v>10230</c:v>
                </c:pt>
              </c:numCache>
            </c:numRef>
          </c:yVal>
          <c:smooth val="1"/>
          <c:extLst>
            <c:ext xmlns:c16="http://schemas.microsoft.com/office/drawing/2014/chart" uri="{C3380CC4-5D6E-409C-BE32-E72D297353CC}">
              <c16:uniqueId val="{00000007-D4AD-4806-B024-863DF9D629A1}"/>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Stats'!$Y$299:$Y$300</c:f>
              <c:numCache>
                <c:formatCode>0.0</c:formatCode>
                <c:ptCount val="2"/>
                <c:pt idx="0">
                  <c:v>40</c:v>
                </c:pt>
              </c:numCache>
            </c:numRef>
          </c:xVal>
          <c:yVal>
            <c:numRef>
              <c:f>'Task 1 Converted AMI PDF Stats'!$U$299:$U$300</c:f>
              <c:numCache>
                <c:formatCode>_(* #,##0_);_(* \(#,##0\);_(* "-"??_);_(@_)</c:formatCode>
                <c:ptCount val="2"/>
                <c:pt idx="0">
                  <c:v>9370</c:v>
                </c:pt>
              </c:numCache>
            </c:numRef>
          </c:yVal>
          <c:smooth val="1"/>
          <c:extLst>
            <c:ext xmlns:c16="http://schemas.microsoft.com/office/drawing/2014/chart" uri="{C3380CC4-5D6E-409C-BE32-E72D297353CC}">
              <c16:uniqueId val="{00000008-D4AD-4806-B024-863DF9D629A1}"/>
            </c:ext>
          </c:extLst>
        </c:ser>
        <c:dLbls>
          <c:showLegendKey val="0"/>
          <c:showVal val="0"/>
          <c:showCatName val="0"/>
          <c:showSerName val="0"/>
          <c:showPercent val="0"/>
          <c:showBubbleSize val="0"/>
        </c:dLbls>
        <c:axId val="570107312"/>
        <c:axId val="1"/>
      </c:scatterChart>
      <c:valAx>
        <c:axId val="570107312"/>
        <c:scaling>
          <c:orientation val="minMax"/>
          <c:min val="10"/>
        </c:scaling>
        <c:delete val="0"/>
        <c:axPos val="b"/>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Speed (kts)</a:t>
                </a:r>
              </a:p>
            </c:rich>
          </c:tx>
          <c:layout>
            <c:manualLayout>
              <c:xMode val="edge"/>
              <c:yMode val="edge"/>
              <c:x val="0.38512769256943585"/>
              <c:y val="0.94453500331421503"/>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in val="0"/>
        </c:scaling>
        <c:delete val="0"/>
        <c:axPos val="l"/>
        <c:majorGridlines>
          <c:spPr>
            <a:ln w="3175">
              <a:solidFill>
                <a:schemeClr val="tx1"/>
              </a:solidFill>
              <a:prstDash val="sysDot"/>
            </a:ln>
          </c:spPr>
        </c:majorGridlines>
        <c:title>
          <c:tx>
            <c:rich>
              <a:bodyPr/>
              <a:lstStyle/>
              <a:p>
                <a:pPr>
                  <a:defRPr sz="950" b="1" i="0" u="none" strike="noStrike" baseline="0">
                    <a:solidFill>
                      <a:srgbClr val="000000"/>
                    </a:solidFill>
                    <a:latin typeface="Arial"/>
                    <a:ea typeface="Arial"/>
                    <a:cs typeface="Arial"/>
                  </a:defRPr>
                </a:pPr>
                <a:r>
                  <a:rPr lang="en-US"/>
                  <a:t>Power (hp)</a:t>
                </a:r>
              </a:p>
            </c:rich>
          </c:tx>
          <c:layout>
            <c:manualLayout>
              <c:xMode val="edge"/>
              <c:yMode val="edge"/>
              <c:x val="1.4428377073667264E-2"/>
              <c:y val="0.42251225026979355"/>
            </c:manualLayout>
          </c:layout>
          <c:overlay val="0"/>
          <c:spPr>
            <a:noFill/>
            <a:ln w="25400">
              <a:noFill/>
            </a:ln>
          </c:spPr>
        </c:title>
        <c:numFmt formatCode="General"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70107312"/>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803550045456215"/>
          <c:y val="0.4828711920765611"/>
          <c:w val="0.23085461542823926"/>
          <c:h val="0.41109293086164117"/>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Beam vs Length</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Data'!$J$2:$J$15</c:f>
              <c:numCache>
                <c:formatCode>0.0</c:formatCode>
                <c:ptCount val="14"/>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numCache>
            </c:numRef>
          </c:xVal>
          <c:yVal>
            <c:numRef>
              <c:f>'Comp Data'!$M$2:$M$15</c:f>
              <c:numCache>
                <c:formatCode>0.0</c:formatCode>
                <c:ptCount val="14"/>
                <c:pt idx="0">
                  <c:v>5.6</c:v>
                </c:pt>
                <c:pt idx="1">
                  <c:v>7.2771884906120503</c:v>
                </c:pt>
                <c:pt idx="2">
                  <c:v>7.6200926603267503</c:v>
                </c:pt>
                <c:pt idx="3">
                  <c:v>8.7478663740551106</c:v>
                </c:pt>
                <c:pt idx="4">
                  <c:v>7.3152889539136794</c:v>
                </c:pt>
                <c:pt idx="5">
                  <c:v>7.7724945135332799</c:v>
                </c:pt>
                <c:pt idx="6">
                  <c:v>8.4837031618304497</c:v>
                </c:pt>
                <c:pt idx="7">
                  <c:v>6.3303894909407799</c:v>
                </c:pt>
                <c:pt idx="8">
                  <c:v>8.3821019263594199</c:v>
                </c:pt>
                <c:pt idx="9">
                  <c:v>8.1992197025115807</c:v>
                </c:pt>
                <c:pt idx="10">
                  <c:v>7.9248963667398202</c:v>
                </c:pt>
                <c:pt idx="11">
                  <c:v>7.9248963667398202</c:v>
                </c:pt>
                <c:pt idx="12">
                  <c:v>8.0772982199463499</c:v>
                </c:pt>
                <c:pt idx="13">
                  <c:v>7.1933674713484503</c:v>
                </c:pt>
              </c:numCache>
            </c:numRef>
          </c:yVal>
          <c:smooth val="0"/>
          <c:extLst>
            <c:ext xmlns:c16="http://schemas.microsoft.com/office/drawing/2014/chart" uri="{C3380CC4-5D6E-409C-BE32-E72D297353CC}">
              <c16:uniqueId val="{00000000-8F12-4345-B106-0314729662A8}"/>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Data'!$J$17:$J$29</c:f>
              <c:numCache>
                <c:formatCode>0.0</c:formatCode>
                <c:ptCount val="13"/>
                <c:pt idx="0">
                  <c:v>54</c:v>
                </c:pt>
                <c:pt idx="1">
                  <c:v>63</c:v>
                </c:pt>
                <c:pt idx="2">
                  <c:v>67</c:v>
                </c:pt>
                <c:pt idx="3">
                  <c:v>72</c:v>
                </c:pt>
                <c:pt idx="4">
                  <c:v>77.7</c:v>
                </c:pt>
                <c:pt idx="5">
                  <c:v>77.7</c:v>
                </c:pt>
                <c:pt idx="6">
                  <c:v>94</c:v>
                </c:pt>
                <c:pt idx="7">
                  <c:v>39.6244818336991</c:v>
                </c:pt>
                <c:pt idx="8">
                  <c:v>36.561204584247697</c:v>
                </c:pt>
                <c:pt idx="9">
                  <c:v>39.380638868568603</c:v>
                </c:pt>
                <c:pt idx="10">
                  <c:v>77.724945135332803</c:v>
                </c:pt>
                <c:pt idx="11">
                  <c:v>33.528407705437701</c:v>
                </c:pt>
                <c:pt idx="12">
                  <c:v>100.58522311631309</c:v>
                </c:pt>
              </c:numCache>
            </c:numRef>
          </c:xVal>
          <c:yVal>
            <c:numRef>
              <c:f>'Comp Data'!$M$17:$M$29</c:f>
              <c:numCache>
                <c:formatCode>0.0</c:formatCode>
                <c:ptCount val="13"/>
                <c:pt idx="0">
                  <c:v>10.89</c:v>
                </c:pt>
                <c:pt idx="1">
                  <c:v>10</c:v>
                </c:pt>
                <c:pt idx="2">
                  <c:v>10.6</c:v>
                </c:pt>
                <c:pt idx="3">
                  <c:v>11.5</c:v>
                </c:pt>
                <c:pt idx="4">
                  <c:v>11.5</c:v>
                </c:pt>
                <c:pt idx="5">
                  <c:v>11.6</c:v>
                </c:pt>
                <c:pt idx="6">
                  <c:v>13.1</c:v>
                </c:pt>
                <c:pt idx="7">
                  <c:v>6.85808339429407</c:v>
                </c:pt>
                <c:pt idx="8">
                  <c:v>7.5012192148256496</c:v>
                </c:pt>
                <c:pt idx="9">
                  <c:v>8.1382589612289706</c:v>
                </c:pt>
                <c:pt idx="10">
                  <c:v>10.668129724457399</c:v>
                </c:pt>
                <c:pt idx="11">
                  <c:v>6.8885637649353804</c:v>
                </c:pt>
                <c:pt idx="12">
                  <c:v>15.589439567585099</c:v>
                </c:pt>
              </c:numCache>
            </c:numRef>
          </c:yVal>
          <c:smooth val="0"/>
          <c:extLst>
            <c:ext xmlns:c16="http://schemas.microsoft.com/office/drawing/2014/chart" uri="{C3380CC4-5D6E-409C-BE32-E72D297353CC}">
              <c16:uniqueId val="{00000001-8F12-4345-B106-0314729662A8}"/>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Data'!$J$31:$J$38</c:f>
              <c:numCache>
                <c:formatCode>0.0</c:formatCode>
                <c:ptCount val="8"/>
                <c:pt idx="0">
                  <c:v>43.2</c:v>
                </c:pt>
                <c:pt idx="1">
                  <c:v>45.5</c:v>
                </c:pt>
                <c:pt idx="2">
                  <c:v>47.1</c:v>
                </c:pt>
                <c:pt idx="3">
                  <c:v>50</c:v>
                </c:pt>
                <c:pt idx="4">
                  <c:v>51</c:v>
                </c:pt>
                <c:pt idx="5">
                  <c:v>53.1</c:v>
                </c:pt>
                <c:pt idx="6">
                  <c:v>57</c:v>
                </c:pt>
                <c:pt idx="7">
                  <c:v>65.099999999999994</c:v>
                </c:pt>
              </c:numCache>
            </c:numRef>
          </c:xVal>
          <c:yVal>
            <c:numRef>
              <c:f>'Comp Data'!$M$31:$M$38</c:f>
              <c:numCache>
                <c:formatCode>0.0</c:formatCode>
                <c:ptCount val="8"/>
                <c:pt idx="0">
                  <c:v>8.6</c:v>
                </c:pt>
                <c:pt idx="1">
                  <c:v>9.6</c:v>
                </c:pt>
                <c:pt idx="2">
                  <c:v>8.9</c:v>
                </c:pt>
                <c:pt idx="3">
                  <c:v>9</c:v>
                </c:pt>
                <c:pt idx="4">
                  <c:v>8.9</c:v>
                </c:pt>
                <c:pt idx="5">
                  <c:v>10.5</c:v>
                </c:pt>
                <c:pt idx="6">
                  <c:v>10</c:v>
                </c:pt>
                <c:pt idx="7">
                  <c:v>11.9</c:v>
                </c:pt>
              </c:numCache>
            </c:numRef>
          </c:yVal>
          <c:smooth val="0"/>
          <c:extLst>
            <c:ext xmlns:c16="http://schemas.microsoft.com/office/drawing/2014/chart" uri="{C3380CC4-5D6E-409C-BE32-E72D297353CC}">
              <c16:uniqueId val="{00000002-8F12-4345-B106-0314729662A8}"/>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65000"/>
                  </a:schemeClr>
                </a:solidFill>
              </a:ln>
              <a:effectLst/>
            </c:spPr>
          </c:marker>
          <c:xVal>
            <c:numRef>
              <c:f>'Comp Data'!$J$40:$J$51</c:f>
              <c:numCache>
                <c:formatCode>0.0</c:formatCode>
                <c:ptCount val="12"/>
                <c:pt idx="0">
                  <c:v>63.399170933918597</c:v>
                </c:pt>
                <c:pt idx="1">
                  <c:v>63.399170933918597</c:v>
                </c:pt>
                <c:pt idx="2">
                  <c:v>67.056815410875402</c:v>
                </c:pt>
                <c:pt idx="3">
                  <c:v>70.104852475006098</c:v>
                </c:pt>
                <c:pt idx="4">
                  <c:v>79.248963667398201</c:v>
                </c:pt>
                <c:pt idx="5">
                  <c:v>79.248963667398201</c:v>
                </c:pt>
                <c:pt idx="6">
                  <c:v>84.122774932943202</c:v>
                </c:pt>
                <c:pt idx="7">
                  <c:v>85.619361131431305</c:v>
                </c:pt>
                <c:pt idx="8">
                  <c:v>85.619361131431305</c:v>
                </c:pt>
                <c:pt idx="9">
                  <c:v>88</c:v>
                </c:pt>
                <c:pt idx="10">
                  <c:v>91.745915630334096</c:v>
                </c:pt>
                <c:pt idx="11">
                  <c:v>99.5</c:v>
                </c:pt>
              </c:numCache>
            </c:numRef>
          </c:xVal>
          <c:yVal>
            <c:numRef>
              <c:f>'Comp Data'!$M$40:$M$51</c:f>
              <c:numCache>
                <c:formatCode>0.0</c:formatCode>
                <c:ptCount val="12"/>
                <c:pt idx="0">
                  <c:v>8.3272372592050701</c:v>
                </c:pt>
                <c:pt idx="1">
                  <c:v>8.6869056327724898</c:v>
                </c:pt>
                <c:pt idx="2">
                  <c:v>8.3821019263594199</c:v>
                </c:pt>
                <c:pt idx="3">
                  <c:v>9.4611070470616898</c:v>
                </c:pt>
                <c:pt idx="4">
                  <c:v>10.820531577663999</c:v>
                </c:pt>
                <c:pt idx="5">
                  <c:v>11.704462326261901</c:v>
                </c:pt>
                <c:pt idx="6">
                  <c:v>12.3506461838576</c:v>
                </c:pt>
                <c:pt idx="7">
                  <c:v>11.887344550109701</c:v>
                </c:pt>
                <c:pt idx="8">
                  <c:v>11.887344550109701</c:v>
                </c:pt>
                <c:pt idx="9">
                  <c:v>9.73</c:v>
                </c:pt>
                <c:pt idx="10">
                  <c:v>11.7654230675445</c:v>
                </c:pt>
                <c:pt idx="11">
                  <c:v>15.17</c:v>
                </c:pt>
              </c:numCache>
            </c:numRef>
          </c:yVal>
          <c:smooth val="0"/>
          <c:extLst>
            <c:ext xmlns:c16="http://schemas.microsoft.com/office/drawing/2014/chart" uri="{C3380CC4-5D6E-409C-BE32-E72D297353CC}">
              <c16:uniqueId val="{00000003-8F12-4345-B106-0314729662A8}"/>
            </c:ext>
          </c:extLst>
        </c:ser>
        <c:ser>
          <c:idx val="4"/>
          <c:order val="4"/>
          <c:tx>
            <c:v>Design</c:v>
          </c:tx>
          <c:spPr>
            <a:ln w="19050" cap="rnd">
              <a:noFill/>
              <a:round/>
            </a:ln>
            <a:effectLst/>
          </c:spPr>
          <c:marker>
            <c:symbol val="plus"/>
            <c:size val="13"/>
            <c:spPr>
              <a:noFill/>
              <a:ln w="31750" cmpd="sng">
                <a:solidFill>
                  <a:srgbClr val="00B050"/>
                </a:solidFill>
                <a:prstDash val="solid"/>
              </a:ln>
              <a:effectLst/>
            </c:spPr>
          </c:marker>
          <c:xVal>
            <c:numRef>
              <c:f>Inputs!$C$6</c:f>
              <c:numCache>
                <c:formatCode>General</c:formatCode>
                <c:ptCount val="1"/>
                <c:pt idx="0">
                  <c:v>131</c:v>
                </c:pt>
              </c:numCache>
            </c:numRef>
          </c:xVal>
          <c:yVal>
            <c:numRef>
              <c:f>Inputs!$C$7</c:f>
              <c:numCache>
                <c:formatCode>General</c:formatCode>
                <c:ptCount val="1"/>
                <c:pt idx="0">
                  <c:v>14.01</c:v>
                </c:pt>
              </c:numCache>
            </c:numRef>
          </c:yVal>
          <c:smooth val="0"/>
          <c:extLst>
            <c:ext xmlns:c16="http://schemas.microsoft.com/office/drawing/2014/chart" uri="{C3380CC4-5D6E-409C-BE32-E72D297353CC}">
              <c16:uniqueId val="{00000004-8F12-4345-B106-0314729662A8}"/>
            </c:ext>
          </c:extLst>
        </c:ser>
        <c:ser>
          <c:idx val="5"/>
          <c:order val="5"/>
          <c:tx>
            <c:v>USN Cbts</c:v>
          </c:tx>
          <c:spPr>
            <a:ln w="25400" cap="rnd">
              <a:noFill/>
              <a:round/>
            </a:ln>
            <a:effectLst/>
          </c:spPr>
          <c:marker>
            <c:symbol val="circle"/>
            <c:size val="4"/>
            <c:spPr>
              <a:solidFill>
                <a:schemeClr val="accent1">
                  <a:lumMod val="20000"/>
                  <a:lumOff val="80000"/>
                </a:schemeClr>
              </a:solidFill>
              <a:ln w="15875">
                <a:solidFill>
                  <a:srgbClr val="0070C0"/>
                </a:solidFill>
              </a:ln>
              <a:effectLst/>
            </c:spPr>
          </c:marker>
          <c:xVal>
            <c:numRef>
              <c:f>'New Ships'!$Q$2:$AC$2</c:f>
              <c:numCache>
                <c:formatCode>0.0</c:formatCode>
                <c:ptCount val="13"/>
                <c:pt idx="0">
                  <c:v>170.69007559131919</c:v>
                </c:pt>
                <c:pt idx="1">
                  <c:v>173.73811265544987</c:v>
                </c:pt>
                <c:pt idx="2">
                  <c:v>164.59400146305779</c:v>
                </c:pt>
                <c:pt idx="3">
                  <c:v>159.62570104852475</c:v>
                </c:pt>
                <c:pt idx="4">
                  <c:v>155.44989027066569</c:v>
                </c:pt>
                <c:pt idx="5">
                  <c:v>145.08656425262132</c:v>
                </c:pt>
                <c:pt idx="6">
                  <c:v>126.49353816142404</c:v>
                </c:pt>
                <c:pt idx="7">
                  <c:v>118.87344550109729</c:v>
                </c:pt>
                <c:pt idx="8">
                  <c:v>106.68129724457449</c:v>
                </c:pt>
                <c:pt idx="9">
                  <c:v>161.241160692514</c:v>
                </c:pt>
                <c:pt idx="10">
                  <c:v>142.0385271884906</c:v>
                </c:pt>
                <c:pt idx="11">
                  <c:v>161.241160692514</c:v>
                </c:pt>
                <c:pt idx="12">
                  <c:v>124.35991221653255</c:v>
                </c:pt>
              </c:numCache>
            </c:numRef>
          </c:xVal>
          <c:yVal>
            <c:numRef>
              <c:f>'New Ships'!$Q$3:$AC$3</c:f>
              <c:numCache>
                <c:formatCode>0.0</c:formatCode>
                <c:ptCount val="13"/>
                <c:pt idx="0">
                  <c:v>18.714947573762494</c:v>
                </c:pt>
                <c:pt idx="1">
                  <c:v>18.623506461838577</c:v>
                </c:pt>
                <c:pt idx="2">
                  <c:v>17.617654230675445</c:v>
                </c:pt>
                <c:pt idx="3">
                  <c:v>16.73372348207754</c:v>
                </c:pt>
                <c:pt idx="4">
                  <c:v>16.246037551816627</c:v>
                </c:pt>
                <c:pt idx="5">
                  <c:v>15.179224579370883</c:v>
                </c:pt>
                <c:pt idx="6">
                  <c:v>13.960009753718603</c:v>
                </c:pt>
                <c:pt idx="7">
                  <c:v>13.319921970251158</c:v>
                </c:pt>
                <c:pt idx="8">
                  <c:v>12.314069739088026</c:v>
                </c:pt>
                <c:pt idx="9">
                  <c:v>16.764203852718847</c:v>
                </c:pt>
                <c:pt idx="10">
                  <c:v>18.166300902218971</c:v>
                </c:pt>
                <c:pt idx="11">
                  <c:v>16.764203852718847</c:v>
                </c:pt>
                <c:pt idx="12">
                  <c:v>13.716166788588149</c:v>
                </c:pt>
              </c:numCache>
            </c:numRef>
          </c:yVal>
          <c:smooth val="0"/>
          <c:extLst>
            <c:ext xmlns:c16="http://schemas.microsoft.com/office/drawing/2014/chart" uri="{C3380CC4-5D6E-409C-BE32-E72D297353CC}">
              <c16:uniqueId val="{00000005-8F12-4345-B106-0314729662A8}"/>
            </c:ext>
          </c:extLst>
        </c:ser>
        <c:ser>
          <c:idx val="6"/>
          <c:order val="6"/>
          <c:tx>
            <c:v>G&amp;C Data</c:v>
          </c:tx>
          <c:spPr>
            <a:ln w="25400" cap="rnd">
              <a:noFill/>
              <a:round/>
            </a:ln>
            <a:effectLst/>
          </c:spPr>
          <c:marker>
            <c:symbol val="diamond"/>
            <c:size val="6"/>
            <c:spPr>
              <a:solidFill>
                <a:schemeClr val="bg1"/>
              </a:solidFill>
              <a:ln w="15875">
                <a:solidFill>
                  <a:schemeClr val="tx1"/>
                </a:solidFill>
              </a:ln>
              <a:effectLst/>
            </c:spPr>
          </c:marker>
          <c:xVal>
            <c:numRef>
              <c:f>Sheet3!$B$2:$Q$2</c:f>
              <c:numCache>
                <c:formatCode>0_)</c:formatCode>
                <c:ptCount val="16"/>
                <c:pt idx="0" formatCode="0.00">
                  <c:v>54.559863447939499</c:v>
                </c:pt>
                <c:pt idx="1">
                  <c:v>63.399170933918597</c:v>
                </c:pt>
                <c:pt idx="2" formatCode="0.00">
                  <c:v>85.619361131431305</c:v>
                </c:pt>
                <c:pt idx="3" formatCode="0.00">
                  <c:v>85.619361131431305</c:v>
                </c:pt>
                <c:pt idx="4">
                  <c:v>63.399170933918597</c:v>
                </c:pt>
                <c:pt idx="5">
                  <c:v>84.122774932943202</c:v>
                </c:pt>
                <c:pt idx="6" formatCode="0.00">
                  <c:v>77.724945135332803</c:v>
                </c:pt>
                <c:pt idx="7" formatCode="0.00_)">
                  <c:v>79.248963667398201</c:v>
                </c:pt>
                <c:pt idx="8" formatCode="0.00_)">
                  <c:v>79.248963667398201</c:v>
                </c:pt>
                <c:pt idx="9">
                  <c:v>52.000475493781998</c:v>
                </c:pt>
                <c:pt idx="10" formatCode="0.00">
                  <c:v>70.104852475006098</c:v>
                </c:pt>
                <c:pt idx="11" formatCode="0.00">
                  <c:v>91.111923920994897</c:v>
                </c:pt>
                <c:pt idx="12">
                  <c:v>124.359912216533</c:v>
                </c:pt>
                <c:pt idx="13">
                  <c:v>135</c:v>
                </c:pt>
                <c:pt idx="14">
                  <c:v>143.56</c:v>
                </c:pt>
                <c:pt idx="15" formatCode="0.00">
                  <c:v>90.831504511094806</c:v>
                </c:pt>
              </c:numCache>
            </c:numRef>
          </c:xVal>
          <c:yVal>
            <c:numRef>
              <c:f>Sheet3!$B$3:$Q$3</c:f>
              <c:numCache>
                <c:formatCode>0.00_)</c:formatCode>
                <c:ptCount val="16"/>
                <c:pt idx="0" formatCode="0.00">
                  <c:v>8.3821019263594234</c:v>
                </c:pt>
                <c:pt idx="1">
                  <c:v>9.4489148988051692</c:v>
                </c:pt>
                <c:pt idx="2" formatCode="0.00">
                  <c:v>10.3938063886857</c:v>
                </c:pt>
                <c:pt idx="3" formatCode="0.00">
                  <c:v>10.3938063886857</c:v>
                </c:pt>
                <c:pt idx="4">
                  <c:v>9.7537186052182392</c:v>
                </c:pt>
                <c:pt idx="5">
                  <c:v>11.1497195805901</c:v>
                </c:pt>
                <c:pt idx="6" formatCode="0.00">
                  <c:v>9.7537186052182392</c:v>
                </c:pt>
                <c:pt idx="7">
                  <c:v>10.210924164837801</c:v>
                </c:pt>
                <c:pt idx="8">
                  <c:v>10.515727871250901</c:v>
                </c:pt>
                <c:pt idx="9">
                  <c:v>8.5000777249451307</c:v>
                </c:pt>
                <c:pt idx="10" formatCode="0.00">
                  <c:v>9.4611070470616898</c:v>
                </c:pt>
                <c:pt idx="11">
                  <c:v>11.7959034381858</c:v>
                </c:pt>
                <c:pt idx="12">
                  <c:v>13.7771275298708</c:v>
                </c:pt>
                <c:pt idx="13">
                  <c:v>16.8</c:v>
                </c:pt>
                <c:pt idx="14">
                  <c:v>17.98</c:v>
                </c:pt>
                <c:pt idx="15">
                  <c:v>14.9658619848817</c:v>
                </c:pt>
              </c:numCache>
            </c:numRef>
          </c:yVal>
          <c:smooth val="0"/>
          <c:extLst>
            <c:ext xmlns:c16="http://schemas.microsoft.com/office/drawing/2014/chart" uri="{C3380CC4-5D6E-409C-BE32-E72D297353CC}">
              <c16:uniqueId val="{00000006-8F12-4345-B106-0314729662A8}"/>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Legth (m)</a:t>
                </a:r>
              </a:p>
            </c:rich>
          </c:tx>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US"/>
                  <a:t>Beam (m)</a:t>
                </a:r>
              </a:p>
            </c:rich>
          </c:tx>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431554386"/>
        <c:crosses val="autoZero"/>
        <c:crossBetween val="midCat"/>
      </c:valAx>
      <c:spPr>
        <a:solidFill>
          <a:schemeClr val="bg1"/>
        </a:solidFill>
        <a:ln w="19050">
          <a:solidFill>
            <a:schemeClr val="tx1"/>
          </a:solidFill>
        </a:ln>
        <a:effectLst/>
      </c:spPr>
    </c:plotArea>
    <c:legend>
      <c:legendPos val="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rgbClr val="FFFF99"/>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Depth vs Length</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Data'!$J$2:$J$15</c:f>
              <c:numCache>
                <c:formatCode>0.0</c:formatCode>
                <c:ptCount val="14"/>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numCache>
            </c:numRef>
          </c:xVal>
          <c:yVal>
            <c:numRef>
              <c:f>'Comp Data'!$N$2:$N$15</c:f>
              <c:numCache>
                <c:formatCode>0.00</c:formatCode>
                <c:ptCount val="14"/>
                <c:pt idx="0">
                  <c:v>2.5512070226773953</c:v>
                </c:pt>
                <c:pt idx="1">
                  <c:v>4.1402503454442003</c:v>
                </c:pt>
                <c:pt idx="2">
                  <c:v>4.8768593026091196</c:v>
                </c:pt>
                <c:pt idx="3">
                  <c:v>4.9784605380801397</c:v>
                </c:pt>
                <c:pt idx="5">
                  <c:v>4.8768593026091196</c:v>
                </c:pt>
                <c:pt idx="6">
                  <c:v>4.5720555961960496</c:v>
                </c:pt>
                <c:pt idx="7">
                  <c:v>5.7900529444037998</c:v>
                </c:pt>
                <c:pt idx="8">
                  <c:v>4.8768593026091196</c:v>
                </c:pt>
                <c:pt idx="9">
                  <c:v>4.2159108399439003</c:v>
                </c:pt>
                <c:pt idx="10">
                  <c:v>4.8768593026091196</c:v>
                </c:pt>
                <c:pt idx="11">
                  <c:v>4.8768593026091196</c:v>
                </c:pt>
                <c:pt idx="12">
                  <c:v>4.8768593026091196</c:v>
                </c:pt>
                <c:pt idx="13">
                  <c:v>5.2511582540843698</c:v>
                </c:pt>
              </c:numCache>
            </c:numRef>
          </c:yVal>
          <c:smooth val="0"/>
          <c:extLst>
            <c:ext xmlns:c16="http://schemas.microsoft.com/office/drawing/2014/chart" uri="{C3380CC4-5D6E-409C-BE32-E72D297353CC}">
              <c16:uniqueId val="{00000000-6CDC-49CF-8FB5-06D8A996EC64}"/>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Data'!$J$17:$J$29</c:f>
              <c:numCache>
                <c:formatCode>0.0</c:formatCode>
                <c:ptCount val="13"/>
                <c:pt idx="0">
                  <c:v>54</c:v>
                </c:pt>
                <c:pt idx="1">
                  <c:v>63</c:v>
                </c:pt>
                <c:pt idx="2">
                  <c:v>67</c:v>
                </c:pt>
                <c:pt idx="3">
                  <c:v>72</c:v>
                </c:pt>
                <c:pt idx="4">
                  <c:v>77.7</c:v>
                </c:pt>
                <c:pt idx="5">
                  <c:v>77.7</c:v>
                </c:pt>
                <c:pt idx="6">
                  <c:v>94</c:v>
                </c:pt>
                <c:pt idx="7">
                  <c:v>39.6244818336991</c:v>
                </c:pt>
                <c:pt idx="8">
                  <c:v>36.561204584247697</c:v>
                </c:pt>
                <c:pt idx="9">
                  <c:v>39.380638868568603</c:v>
                </c:pt>
                <c:pt idx="10">
                  <c:v>77.724945135332803</c:v>
                </c:pt>
                <c:pt idx="11">
                  <c:v>33.528407705437701</c:v>
                </c:pt>
                <c:pt idx="12">
                  <c:v>100.58522311631309</c:v>
                </c:pt>
              </c:numCache>
            </c:numRef>
          </c:xVal>
          <c:yVal>
            <c:numRef>
              <c:f>'Comp Data'!$N$17:$N$29</c:f>
              <c:numCache>
                <c:formatCode>General</c:formatCode>
                <c:ptCount val="13"/>
                <c:pt idx="0">
                  <c:v>6.81</c:v>
                </c:pt>
                <c:pt idx="1">
                  <c:v>5.5</c:v>
                </c:pt>
                <c:pt idx="2">
                  <c:v>5.5</c:v>
                </c:pt>
                <c:pt idx="3">
                  <c:v>7.3</c:v>
                </c:pt>
                <c:pt idx="4" formatCode="0.00">
                  <c:v>9.5</c:v>
                </c:pt>
                <c:pt idx="5" formatCode="0.00">
                  <c:v>9.5</c:v>
                </c:pt>
                <c:pt idx="6">
                  <c:v>8.25</c:v>
                </c:pt>
                <c:pt idx="7" formatCode="0.00">
                  <c:v>3.5265788831992202</c:v>
                </c:pt>
                <c:pt idx="8" formatCode="0.00">
                  <c:v>5.7485979029505003</c:v>
                </c:pt>
                <c:pt idx="9" formatCode="0.00">
                  <c:v>3.9411119239209902</c:v>
                </c:pt>
                <c:pt idx="10" formatCode="0.00">
                  <c:v>6.0198732016581298</c:v>
                </c:pt>
                <c:pt idx="11" formatCode="0.00">
                  <c:v>3.6576444769568401</c:v>
                </c:pt>
                <c:pt idx="12" formatCode="0.00">
                  <c:v>8.7631065593757604</c:v>
                </c:pt>
              </c:numCache>
            </c:numRef>
          </c:yVal>
          <c:smooth val="0"/>
          <c:extLst>
            <c:ext xmlns:c16="http://schemas.microsoft.com/office/drawing/2014/chart" uri="{C3380CC4-5D6E-409C-BE32-E72D297353CC}">
              <c16:uniqueId val="{00000001-6CDC-49CF-8FB5-06D8A996EC64}"/>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Data'!$J$31:$J$38</c:f>
              <c:numCache>
                <c:formatCode>0.0</c:formatCode>
                <c:ptCount val="8"/>
                <c:pt idx="0">
                  <c:v>43.2</c:v>
                </c:pt>
                <c:pt idx="1">
                  <c:v>45.5</c:v>
                </c:pt>
                <c:pt idx="2">
                  <c:v>47.1</c:v>
                </c:pt>
                <c:pt idx="3">
                  <c:v>50</c:v>
                </c:pt>
                <c:pt idx="4">
                  <c:v>51</c:v>
                </c:pt>
                <c:pt idx="5">
                  <c:v>53.1</c:v>
                </c:pt>
                <c:pt idx="6">
                  <c:v>57</c:v>
                </c:pt>
                <c:pt idx="7">
                  <c:v>65.099999999999994</c:v>
                </c:pt>
              </c:numCache>
            </c:numRef>
          </c:xVal>
          <c:yVal>
            <c:numRef>
              <c:f>'Comp Data'!$N$31:$N$38</c:f>
              <c:numCache>
                <c:formatCode>General</c:formatCode>
                <c:ptCount val="8"/>
                <c:pt idx="0">
                  <c:v>4.8</c:v>
                </c:pt>
                <c:pt idx="1">
                  <c:v>7.3</c:v>
                </c:pt>
                <c:pt idx="2">
                  <c:v>7.2</c:v>
                </c:pt>
                <c:pt idx="3">
                  <c:v>5.5</c:v>
                </c:pt>
                <c:pt idx="4">
                  <c:v>4.8</c:v>
                </c:pt>
                <c:pt idx="5">
                  <c:v>7.6</c:v>
                </c:pt>
                <c:pt idx="6">
                  <c:v>7.4</c:v>
                </c:pt>
                <c:pt idx="7">
                  <c:v>7.5</c:v>
                </c:pt>
              </c:numCache>
            </c:numRef>
          </c:yVal>
          <c:smooth val="0"/>
          <c:extLst>
            <c:ext xmlns:c16="http://schemas.microsoft.com/office/drawing/2014/chart" uri="{C3380CC4-5D6E-409C-BE32-E72D297353CC}">
              <c16:uniqueId val="{00000002-6CDC-49CF-8FB5-06D8A996EC64}"/>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65000"/>
                  </a:schemeClr>
                </a:solidFill>
              </a:ln>
              <a:effectLst/>
            </c:spPr>
          </c:marker>
          <c:xVal>
            <c:numRef>
              <c:f>'Comp Data'!$J$40:$J$51</c:f>
              <c:numCache>
                <c:formatCode>0.0</c:formatCode>
                <c:ptCount val="12"/>
                <c:pt idx="0">
                  <c:v>63.399170933918597</c:v>
                </c:pt>
                <c:pt idx="1">
                  <c:v>63.399170933918597</c:v>
                </c:pt>
                <c:pt idx="2">
                  <c:v>67.056815410875402</c:v>
                </c:pt>
                <c:pt idx="3">
                  <c:v>70.104852475006098</c:v>
                </c:pt>
                <c:pt idx="4">
                  <c:v>79.248963667398201</c:v>
                </c:pt>
                <c:pt idx="5">
                  <c:v>79.248963667398201</c:v>
                </c:pt>
                <c:pt idx="6">
                  <c:v>84.122774932943202</c:v>
                </c:pt>
                <c:pt idx="7">
                  <c:v>85.619361131431305</c:v>
                </c:pt>
                <c:pt idx="8">
                  <c:v>85.619361131431305</c:v>
                </c:pt>
                <c:pt idx="9">
                  <c:v>88</c:v>
                </c:pt>
                <c:pt idx="10">
                  <c:v>91.745915630334096</c:v>
                </c:pt>
                <c:pt idx="11">
                  <c:v>99.5</c:v>
                </c:pt>
              </c:numCache>
            </c:numRef>
          </c:xVal>
          <c:yVal>
            <c:numRef>
              <c:f>'Comp Data'!$N$40:$N$51</c:f>
              <c:numCache>
                <c:formatCode>0.00</c:formatCode>
                <c:ptCount val="12"/>
                <c:pt idx="0">
                  <c:v>6.4862228724701296</c:v>
                </c:pt>
                <c:pt idx="1">
                  <c:v>6.4862228724701296</c:v>
                </c:pt>
                <c:pt idx="2">
                  <c:v>5.9436722750548601</c:v>
                </c:pt>
                <c:pt idx="3">
                  <c:v>6.0869300170690099</c:v>
                </c:pt>
                <c:pt idx="4">
                  <c:v>6.0198732016581298</c:v>
                </c:pt>
                <c:pt idx="5">
                  <c:v>6.0198732016581298</c:v>
                </c:pt>
                <c:pt idx="6">
                  <c:v>6.25152401853207</c:v>
                </c:pt>
                <c:pt idx="7">
                  <c:v>6.8916118019995096</c:v>
                </c:pt>
                <c:pt idx="8">
                  <c:v>6.8916118019995096</c:v>
                </c:pt>
                <c:pt idx="9" formatCode="General">
                  <c:v>5.6</c:v>
                </c:pt>
                <c:pt idx="10">
                  <c:v>6.4923189465983899</c:v>
                </c:pt>
                <c:pt idx="11">
                  <c:v>8.5</c:v>
                </c:pt>
              </c:numCache>
            </c:numRef>
          </c:yVal>
          <c:smooth val="0"/>
          <c:extLst>
            <c:ext xmlns:c16="http://schemas.microsoft.com/office/drawing/2014/chart" uri="{C3380CC4-5D6E-409C-BE32-E72D297353CC}">
              <c16:uniqueId val="{00000003-6CDC-49CF-8FB5-06D8A996EC64}"/>
            </c:ext>
          </c:extLst>
        </c:ser>
        <c:ser>
          <c:idx val="4"/>
          <c:order val="4"/>
          <c:tx>
            <c:v>Design</c:v>
          </c:tx>
          <c:spPr>
            <a:ln w="19050" cap="rnd">
              <a:noFill/>
              <a:round/>
            </a:ln>
            <a:effectLst/>
          </c:spPr>
          <c:marker>
            <c:symbol val="plus"/>
            <c:size val="13"/>
            <c:spPr>
              <a:noFill/>
              <a:ln w="38100" cmpd="sng">
                <a:solidFill>
                  <a:srgbClr val="00B050"/>
                </a:solidFill>
                <a:prstDash val="solid"/>
              </a:ln>
              <a:effectLst/>
            </c:spPr>
          </c:marker>
          <c:xVal>
            <c:numRef>
              <c:f>Inputs!$C$6</c:f>
              <c:numCache>
                <c:formatCode>General</c:formatCode>
                <c:ptCount val="1"/>
                <c:pt idx="0">
                  <c:v>131</c:v>
                </c:pt>
              </c:numCache>
            </c:numRef>
          </c:xVal>
          <c:yVal>
            <c:numRef>
              <c:f>Inputs!$C$8</c:f>
              <c:numCache>
                <c:formatCode>General</c:formatCode>
                <c:ptCount val="1"/>
                <c:pt idx="0">
                  <c:v>9.7899999999999991</c:v>
                </c:pt>
              </c:numCache>
            </c:numRef>
          </c:yVal>
          <c:smooth val="0"/>
          <c:extLst>
            <c:ext xmlns:c16="http://schemas.microsoft.com/office/drawing/2014/chart" uri="{C3380CC4-5D6E-409C-BE32-E72D297353CC}">
              <c16:uniqueId val="{00000004-6CDC-49CF-8FB5-06D8A996EC64}"/>
            </c:ext>
          </c:extLst>
        </c:ser>
        <c:ser>
          <c:idx val="5"/>
          <c:order val="5"/>
          <c:tx>
            <c:v>G&amp;C Data</c:v>
          </c:tx>
          <c:spPr>
            <a:ln w="25400" cap="rnd">
              <a:noFill/>
              <a:round/>
            </a:ln>
            <a:effectLst/>
          </c:spPr>
          <c:marker>
            <c:symbol val="diamond"/>
            <c:size val="6"/>
            <c:spPr>
              <a:solidFill>
                <a:schemeClr val="bg1"/>
              </a:solidFill>
              <a:ln w="15875">
                <a:solidFill>
                  <a:schemeClr val="tx1"/>
                </a:solidFill>
              </a:ln>
              <a:effectLst/>
            </c:spPr>
          </c:marker>
          <c:xVal>
            <c:numRef>
              <c:f>Sheet3!$B$2:$Q$2</c:f>
              <c:numCache>
                <c:formatCode>0_)</c:formatCode>
                <c:ptCount val="16"/>
                <c:pt idx="0" formatCode="0.00">
                  <c:v>54.559863447939499</c:v>
                </c:pt>
                <c:pt idx="1">
                  <c:v>63.399170933918597</c:v>
                </c:pt>
                <c:pt idx="2" formatCode="0.00">
                  <c:v>85.619361131431305</c:v>
                </c:pt>
                <c:pt idx="3" formatCode="0.00">
                  <c:v>85.619361131431305</c:v>
                </c:pt>
                <c:pt idx="4">
                  <c:v>63.399170933918597</c:v>
                </c:pt>
                <c:pt idx="5">
                  <c:v>84.122774932943202</c:v>
                </c:pt>
                <c:pt idx="6" formatCode="0.00">
                  <c:v>77.724945135332803</c:v>
                </c:pt>
                <c:pt idx="7" formatCode="0.00_)">
                  <c:v>79.248963667398201</c:v>
                </c:pt>
                <c:pt idx="8" formatCode="0.00_)">
                  <c:v>79.248963667398201</c:v>
                </c:pt>
                <c:pt idx="9">
                  <c:v>52.000475493781998</c:v>
                </c:pt>
                <c:pt idx="10" formatCode="0.00">
                  <c:v>70.104852475006098</c:v>
                </c:pt>
                <c:pt idx="11" formatCode="0.00">
                  <c:v>91.111923920994897</c:v>
                </c:pt>
                <c:pt idx="12">
                  <c:v>124.359912216533</c:v>
                </c:pt>
                <c:pt idx="13">
                  <c:v>135</c:v>
                </c:pt>
                <c:pt idx="14">
                  <c:v>143.56</c:v>
                </c:pt>
                <c:pt idx="15" formatCode="0.00">
                  <c:v>90.831504511094806</c:v>
                </c:pt>
              </c:numCache>
            </c:numRef>
          </c:xVal>
          <c:yVal>
            <c:numRef>
              <c:f>Sheet3!$B$5:$Q$5</c:f>
              <c:numCache>
                <c:formatCode>0.00</c:formatCode>
                <c:ptCount val="16"/>
                <c:pt idx="0">
                  <c:v>4.3736156831667099</c:v>
                </c:pt>
                <c:pt idx="1">
                  <c:v>6.4862228724701296</c:v>
                </c:pt>
                <c:pt idx="2">
                  <c:v>6.8916118019995096</c:v>
                </c:pt>
                <c:pt idx="3">
                  <c:v>6.8916118019995096</c:v>
                </c:pt>
                <c:pt idx="4">
                  <c:v>6.4862228724701296</c:v>
                </c:pt>
                <c:pt idx="5">
                  <c:v>6.25152401853207</c:v>
                </c:pt>
                <c:pt idx="6">
                  <c:v>6.0198732016581298</c:v>
                </c:pt>
                <c:pt idx="7">
                  <c:v>6.0198732016581298</c:v>
                </c:pt>
                <c:pt idx="8">
                  <c:v>6.0198732016581298</c:v>
                </c:pt>
                <c:pt idx="9">
                  <c:v>5.7900529444037998</c:v>
                </c:pt>
                <c:pt idx="10">
                  <c:v>6.0869300170690099</c:v>
                </c:pt>
                <c:pt idx="11">
                  <c:v>8.9002682272616394</c:v>
                </c:pt>
                <c:pt idx="12">
                  <c:v>9.1441111923920992</c:v>
                </c:pt>
                <c:pt idx="13">
                  <c:v>9.8000000000000007</c:v>
                </c:pt>
                <c:pt idx="14" formatCode="0.00_)">
                  <c:v>12.75</c:v>
                </c:pt>
                <c:pt idx="15">
                  <c:v>9.2965130455986298</c:v>
                </c:pt>
              </c:numCache>
            </c:numRef>
          </c:yVal>
          <c:smooth val="0"/>
          <c:extLst>
            <c:ext xmlns:c16="http://schemas.microsoft.com/office/drawing/2014/chart" uri="{C3380CC4-5D6E-409C-BE32-E72D297353CC}">
              <c16:uniqueId val="{00000005-6CDC-49CF-8FB5-06D8A996EC64}"/>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Lrngth (m)</a:t>
                </a:r>
              </a:p>
            </c:rich>
          </c:tx>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Depth (m)</a:t>
                </a:r>
              </a:p>
            </c:rich>
          </c:tx>
          <c:overlay val="0"/>
          <c:spPr>
            <a:noFill/>
            <a:ln>
              <a:noFill/>
            </a:ln>
            <a:effectLst/>
          </c:spPr>
          <c:txPr>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9050">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Draft vs Length</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Data'!$J$2:$J$15</c:f>
              <c:numCache>
                <c:formatCode>0.0</c:formatCode>
                <c:ptCount val="14"/>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numCache>
            </c:numRef>
          </c:xVal>
          <c:yVal>
            <c:numRef>
              <c:f>'Comp Data'!$O$2:$O$15</c:f>
              <c:numCache>
                <c:formatCode>0.00</c:formatCode>
                <c:ptCount val="14"/>
                <c:pt idx="0">
                  <c:v>1.175</c:v>
                </c:pt>
                <c:pt idx="1">
                  <c:v>1.5240185320653501</c:v>
                </c:pt>
                <c:pt idx="2">
                  <c:v>2.22252702592864</c:v>
                </c:pt>
                <c:pt idx="3" formatCode="0.0">
                  <c:v>2.1945866861740999</c:v>
                </c:pt>
                <c:pt idx="4">
                  <c:v>2.8956352109241648</c:v>
                </c:pt>
                <c:pt idx="5">
                  <c:v>2.22252702592864</c:v>
                </c:pt>
                <c:pt idx="6">
                  <c:v>1.7018206941396401</c:v>
                </c:pt>
                <c:pt idx="8">
                  <c:v>1.98122409168495</c:v>
                </c:pt>
                <c:pt idx="9">
                  <c:v>2.1945866861740999</c:v>
                </c:pt>
                <c:pt idx="10">
                  <c:v>2.22252702592864</c:v>
                </c:pt>
                <c:pt idx="11">
                  <c:v>2.22252702592864</c:v>
                </c:pt>
                <c:pt idx="12">
                  <c:v>2.22252702592864</c:v>
                </c:pt>
                <c:pt idx="13" formatCode="0.0">
                  <c:v>2.5298707632284798</c:v>
                </c:pt>
              </c:numCache>
            </c:numRef>
          </c:yVal>
          <c:smooth val="0"/>
          <c:extLst>
            <c:ext xmlns:c16="http://schemas.microsoft.com/office/drawing/2014/chart" uri="{C3380CC4-5D6E-409C-BE32-E72D297353CC}">
              <c16:uniqueId val="{00000000-6C52-4C2E-986C-BBA2B4DE61DD}"/>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Data'!$J$17:$J$29</c:f>
              <c:numCache>
                <c:formatCode>0.0</c:formatCode>
                <c:ptCount val="13"/>
                <c:pt idx="0">
                  <c:v>54</c:v>
                </c:pt>
                <c:pt idx="1">
                  <c:v>63</c:v>
                </c:pt>
                <c:pt idx="2">
                  <c:v>67</c:v>
                </c:pt>
                <c:pt idx="3">
                  <c:v>72</c:v>
                </c:pt>
                <c:pt idx="4">
                  <c:v>77.7</c:v>
                </c:pt>
                <c:pt idx="5">
                  <c:v>77.7</c:v>
                </c:pt>
                <c:pt idx="6">
                  <c:v>94</c:v>
                </c:pt>
                <c:pt idx="7">
                  <c:v>39.6244818336991</c:v>
                </c:pt>
                <c:pt idx="8">
                  <c:v>36.561204584247697</c:v>
                </c:pt>
                <c:pt idx="9">
                  <c:v>39.380638868568603</c:v>
                </c:pt>
                <c:pt idx="10">
                  <c:v>77.724945135332803</c:v>
                </c:pt>
                <c:pt idx="11">
                  <c:v>33.528407705437701</c:v>
                </c:pt>
                <c:pt idx="12">
                  <c:v>100.58522311631309</c:v>
                </c:pt>
              </c:numCache>
            </c:numRef>
          </c:xVal>
          <c:yVal>
            <c:numRef>
              <c:f>'Comp Data'!$O$17:$O$29</c:f>
              <c:numCache>
                <c:formatCode>General</c:formatCode>
                <c:ptCount val="13"/>
                <c:pt idx="0">
                  <c:v>4.17</c:v>
                </c:pt>
                <c:pt idx="1">
                  <c:v>2.72</c:v>
                </c:pt>
                <c:pt idx="2">
                  <c:v>3</c:v>
                </c:pt>
                <c:pt idx="3">
                  <c:v>3.42</c:v>
                </c:pt>
                <c:pt idx="4" formatCode="0.00">
                  <c:v>4.2</c:v>
                </c:pt>
                <c:pt idx="5" formatCode="0.00">
                  <c:v>3.9</c:v>
                </c:pt>
                <c:pt idx="6">
                  <c:v>4.32</c:v>
                </c:pt>
                <c:pt idx="7" formatCode="0.00">
                  <c:v>2.2342111680077998</c:v>
                </c:pt>
                <c:pt idx="8" formatCode="0.00">
                  <c:v>1.4691538649110001</c:v>
                </c:pt>
                <c:pt idx="9" formatCode="0.00">
                  <c:v>1.60021945866862</c:v>
                </c:pt>
                <c:pt idx="10" formatCode="0.00">
                  <c:v>3.0480370641307002</c:v>
                </c:pt>
                <c:pt idx="11" formatCode="0.00">
                  <c:v>1.4935381614240399</c:v>
                </c:pt>
                <c:pt idx="12" formatCode="0.00">
                  <c:v>4.1971470373079729</c:v>
                </c:pt>
              </c:numCache>
            </c:numRef>
          </c:yVal>
          <c:smooth val="0"/>
          <c:extLst>
            <c:ext xmlns:c16="http://schemas.microsoft.com/office/drawing/2014/chart" uri="{C3380CC4-5D6E-409C-BE32-E72D297353CC}">
              <c16:uniqueId val="{00000001-6C52-4C2E-986C-BBA2B4DE61DD}"/>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Data'!$J$31:$J$38</c:f>
              <c:numCache>
                <c:formatCode>0.0</c:formatCode>
                <c:ptCount val="8"/>
                <c:pt idx="0">
                  <c:v>43.2</c:v>
                </c:pt>
                <c:pt idx="1">
                  <c:v>45.5</c:v>
                </c:pt>
                <c:pt idx="2">
                  <c:v>47.1</c:v>
                </c:pt>
                <c:pt idx="3">
                  <c:v>50</c:v>
                </c:pt>
                <c:pt idx="4">
                  <c:v>51</c:v>
                </c:pt>
                <c:pt idx="5">
                  <c:v>53.1</c:v>
                </c:pt>
                <c:pt idx="6">
                  <c:v>57</c:v>
                </c:pt>
                <c:pt idx="7">
                  <c:v>65.099999999999994</c:v>
                </c:pt>
              </c:numCache>
            </c:numRef>
          </c:xVal>
          <c:yVal>
            <c:numRef>
              <c:f>'Comp Data'!$O$31:$O$38</c:f>
              <c:numCache>
                <c:formatCode>General</c:formatCode>
                <c:ptCount val="8"/>
                <c:pt idx="0">
                  <c:v>2.2000000000000002</c:v>
                </c:pt>
                <c:pt idx="1">
                  <c:v>2.7</c:v>
                </c:pt>
                <c:pt idx="2">
                  <c:v>2.6</c:v>
                </c:pt>
                <c:pt idx="3">
                  <c:v>2.2000000000000002</c:v>
                </c:pt>
                <c:pt idx="4">
                  <c:v>2.5</c:v>
                </c:pt>
                <c:pt idx="5" formatCode="0.0">
                  <c:v>3</c:v>
                </c:pt>
                <c:pt idx="6">
                  <c:v>2.5</c:v>
                </c:pt>
                <c:pt idx="7">
                  <c:v>3.3</c:v>
                </c:pt>
              </c:numCache>
            </c:numRef>
          </c:yVal>
          <c:smooth val="0"/>
          <c:extLst>
            <c:ext xmlns:c16="http://schemas.microsoft.com/office/drawing/2014/chart" uri="{C3380CC4-5D6E-409C-BE32-E72D297353CC}">
              <c16:uniqueId val="{00000002-6C52-4C2E-986C-BBA2B4DE61DD}"/>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75000"/>
                  </a:schemeClr>
                </a:solidFill>
              </a:ln>
              <a:effectLst/>
            </c:spPr>
          </c:marker>
          <c:xVal>
            <c:numRef>
              <c:f>'Comp Data'!$J$40:$J$51</c:f>
              <c:numCache>
                <c:formatCode>0.0</c:formatCode>
                <c:ptCount val="12"/>
                <c:pt idx="0">
                  <c:v>63.399170933918597</c:v>
                </c:pt>
                <c:pt idx="1">
                  <c:v>63.399170933918597</c:v>
                </c:pt>
                <c:pt idx="2">
                  <c:v>67.056815410875402</c:v>
                </c:pt>
                <c:pt idx="3">
                  <c:v>70.104852475006098</c:v>
                </c:pt>
                <c:pt idx="4">
                  <c:v>79.248963667398201</c:v>
                </c:pt>
                <c:pt idx="5">
                  <c:v>79.248963667398201</c:v>
                </c:pt>
                <c:pt idx="6">
                  <c:v>84.122774932943202</c:v>
                </c:pt>
                <c:pt idx="7">
                  <c:v>85.619361131431305</c:v>
                </c:pt>
                <c:pt idx="8">
                  <c:v>85.619361131431305</c:v>
                </c:pt>
                <c:pt idx="9">
                  <c:v>88</c:v>
                </c:pt>
                <c:pt idx="10">
                  <c:v>91.745915630334096</c:v>
                </c:pt>
                <c:pt idx="11">
                  <c:v>99.5</c:v>
                </c:pt>
              </c:numCache>
            </c:numRef>
          </c:xVal>
          <c:yVal>
            <c:numRef>
              <c:f>'Comp Data'!$O$40:$O$51</c:f>
              <c:numCache>
                <c:formatCode>0.00</c:formatCode>
                <c:ptCount val="12"/>
                <c:pt idx="0">
                  <c:v>3.0663252865154802</c:v>
                </c:pt>
                <c:pt idx="1">
                  <c:v>2.8651548402828602</c:v>
                </c:pt>
                <c:pt idx="2">
                  <c:v>2.6416321222466101</c:v>
                </c:pt>
                <c:pt idx="4">
                  <c:v>3.3528407705437702</c:v>
                </c:pt>
                <c:pt idx="5">
                  <c:v>3.3528407705437702</c:v>
                </c:pt>
                <c:pt idx="6">
                  <c:v>3.3528407705437702</c:v>
                </c:pt>
                <c:pt idx="7">
                  <c:v>3.1699585466959301</c:v>
                </c:pt>
                <c:pt idx="8">
                  <c:v>3.1699585466959301</c:v>
                </c:pt>
                <c:pt idx="9" formatCode="General">
                  <c:v>3.3</c:v>
                </c:pt>
                <c:pt idx="10">
                  <c:v>3.6576444769568401</c:v>
                </c:pt>
                <c:pt idx="11">
                  <c:v>4.2</c:v>
                </c:pt>
              </c:numCache>
            </c:numRef>
          </c:yVal>
          <c:smooth val="0"/>
          <c:extLst>
            <c:ext xmlns:c16="http://schemas.microsoft.com/office/drawing/2014/chart" uri="{C3380CC4-5D6E-409C-BE32-E72D297353CC}">
              <c16:uniqueId val="{00000003-6C52-4C2E-986C-BBA2B4DE61DD}"/>
            </c:ext>
          </c:extLst>
        </c:ser>
        <c:ser>
          <c:idx val="4"/>
          <c:order val="4"/>
          <c:tx>
            <c:v>USN Cbts</c:v>
          </c:tx>
          <c:spPr>
            <a:ln w="25400" cap="rnd">
              <a:noFill/>
              <a:round/>
            </a:ln>
            <a:effectLst/>
          </c:spPr>
          <c:marker>
            <c:symbol val="circle"/>
            <c:size val="4"/>
            <c:spPr>
              <a:solidFill>
                <a:schemeClr val="accent1">
                  <a:lumMod val="20000"/>
                  <a:lumOff val="80000"/>
                </a:schemeClr>
              </a:solidFill>
              <a:ln w="15875">
                <a:solidFill>
                  <a:schemeClr val="accent5"/>
                </a:solidFill>
              </a:ln>
              <a:effectLst/>
            </c:spPr>
          </c:marker>
          <c:dPt>
            <c:idx val="4"/>
            <c:marker>
              <c:symbol val="circle"/>
              <c:size val="4"/>
              <c:spPr>
                <a:solidFill>
                  <a:schemeClr val="accent1">
                    <a:lumMod val="20000"/>
                    <a:lumOff val="80000"/>
                  </a:schemeClr>
                </a:solidFill>
                <a:ln w="15875">
                  <a:solidFill>
                    <a:srgbClr val="0070C0"/>
                  </a:solidFill>
                </a:ln>
                <a:effectLst/>
              </c:spPr>
            </c:marker>
            <c:bubble3D val="0"/>
            <c:extLst>
              <c:ext xmlns:c16="http://schemas.microsoft.com/office/drawing/2014/chart" uri="{C3380CC4-5D6E-409C-BE32-E72D297353CC}">
                <c16:uniqueId val="{00000004-6C52-4C2E-986C-BBA2B4DE61DD}"/>
              </c:ext>
            </c:extLst>
          </c:dPt>
          <c:xVal>
            <c:numRef>
              <c:f>'New Ships'!$Q$2:$AC$2</c:f>
              <c:numCache>
                <c:formatCode>0.0</c:formatCode>
                <c:ptCount val="13"/>
                <c:pt idx="0">
                  <c:v>170.69007559131919</c:v>
                </c:pt>
                <c:pt idx="1">
                  <c:v>173.73811265544987</c:v>
                </c:pt>
                <c:pt idx="2">
                  <c:v>164.59400146305779</c:v>
                </c:pt>
                <c:pt idx="3">
                  <c:v>159.62570104852475</c:v>
                </c:pt>
                <c:pt idx="4">
                  <c:v>155.44989027066569</c:v>
                </c:pt>
                <c:pt idx="5">
                  <c:v>145.08656425262132</c:v>
                </c:pt>
                <c:pt idx="6">
                  <c:v>126.49353816142404</c:v>
                </c:pt>
                <c:pt idx="7">
                  <c:v>118.87344550109729</c:v>
                </c:pt>
                <c:pt idx="8">
                  <c:v>106.68129724457449</c:v>
                </c:pt>
                <c:pt idx="9">
                  <c:v>161.241160692514</c:v>
                </c:pt>
                <c:pt idx="10">
                  <c:v>142.0385271884906</c:v>
                </c:pt>
                <c:pt idx="11">
                  <c:v>161.241160692514</c:v>
                </c:pt>
                <c:pt idx="12">
                  <c:v>124.35991221653255</c:v>
                </c:pt>
              </c:numCache>
            </c:numRef>
          </c:xVal>
          <c:yVal>
            <c:numRef>
              <c:f>'New Ships'!$Q$5:$AC$5</c:f>
              <c:numCache>
                <c:formatCode>0.0</c:formatCode>
                <c:ptCount val="13"/>
                <c:pt idx="0">
                  <c:v>6.2484759814679345</c:v>
                </c:pt>
                <c:pt idx="1">
                  <c:v>6.2484759814679345</c:v>
                </c:pt>
                <c:pt idx="2">
                  <c:v>6.1875152401853208</c:v>
                </c:pt>
                <c:pt idx="3">
                  <c:v>5.7303096805657159</c:v>
                </c:pt>
                <c:pt idx="4">
                  <c:v>5.0292611558156546</c:v>
                </c:pt>
                <c:pt idx="5">
                  <c:v>4.2977322604242865</c:v>
                </c:pt>
                <c:pt idx="6">
                  <c:v>4.511094854913436</c:v>
                </c:pt>
                <c:pt idx="7">
                  <c:v>4.4196537429895146</c:v>
                </c:pt>
                <c:pt idx="8">
                  <c:v>4.1148500365764447</c:v>
                </c:pt>
                <c:pt idx="9">
                  <c:v>5.4864667154352595</c:v>
                </c:pt>
                <c:pt idx="10">
                  <c:v>6.3094367227505481</c:v>
                </c:pt>
                <c:pt idx="11">
                  <c:v>6.5532796878810045</c:v>
                </c:pt>
                <c:pt idx="12">
                  <c:v>4.4196537429895146</c:v>
                </c:pt>
              </c:numCache>
            </c:numRef>
          </c:yVal>
          <c:smooth val="0"/>
          <c:extLst>
            <c:ext xmlns:c16="http://schemas.microsoft.com/office/drawing/2014/chart" uri="{C3380CC4-5D6E-409C-BE32-E72D297353CC}">
              <c16:uniqueId val="{00000005-6C52-4C2E-986C-BBA2B4DE61DD}"/>
            </c:ext>
          </c:extLst>
        </c:ser>
        <c:ser>
          <c:idx val="5"/>
          <c:order val="5"/>
          <c:tx>
            <c:v>G&amp;C Data</c:v>
          </c:tx>
          <c:spPr>
            <a:ln w="25400" cap="rnd">
              <a:noFill/>
              <a:round/>
            </a:ln>
            <a:effectLst/>
          </c:spPr>
          <c:marker>
            <c:symbol val="diamond"/>
            <c:size val="6"/>
            <c:spPr>
              <a:solidFill>
                <a:schemeClr val="bg1"/>
              </a:solidFill>
              <a:ln w="15875">
                <a:solidFill>
                  <a:schemeClr val="tx1"/>
                </a:solidFill>
              </a:ln>
              <a:effectLst/>
            </c:spPr>
          </c:marker>
          <c:xVal>
            <c:numRef>
              <c:f>Sheet3!$B$2:$Q$2</c:f>
              <c:numCache>
                <c:formatCode>0_)</c:formatCode>
                <c:ptCount val="16"/>
                <c:pt idx="0" formatCode="0.00">
                  <c:v>54.559863447939499</c:v>
                </c:pt>
                <c:pt idx="1">
                  <c:v>63.399170933918597</c:v>
                </c:pt>
                <c:pt idx="2" formatCode="0.00">
                  <c:v>85.619361131431305</c:v>
                </c:pt>
                <c:pt idx="3" formatCode="0.00">
                  <c:v>85.619361131431305</c:v>
                </c:pt>
                <c:pt idx="4">
                  <c:v>63.399170933918597</c:v>
                </c:pt>
                <c:pt idx="5">
                  <c:v>84.122774932943202</c:v>
                </c:pt>
                <c:pt idx="6" formatCode="0.00">
                  <c:v>77.724945135332803</c:v>
                </c:pt>
                <c:pt idx="7" formatCode="0.00_)">
                  <c:v>79.248963667398201</c:v>
                </c:pt>
                <c:pt idx="8" formatCode="0.00_)">
                  <c:v>79.248963667398201</c:v>
                </c:pt>
                <c:pt idx="9">
                  <c:v>52.000475493781998</c:v>
                </c:pt>
                <c:pt idx="10" formatCode="0.00">
                  <c:v>70.104852475006098</c:v>
                </c:pt>
                <c:pt idx="11" formatCode="0.00">
                  <c:v>91.111923920994897</c:v>
                </c:pt>
                <c:pt idx="12">
                  <c:v>124.359912216533</c:v>
                </c:pt>
                <c:pt idx="13">
                  <c:v>135</c:v>
                </c:pt>
                <c:pt idx="14">
                  <c:v>143.56</c:v>
                </c:pt>
                <c:pt idx="15" formatCode="0.00">
                  <c:v>90.831504511094806</c:v>
                </c:pt>
              </c:numCache>
            </c:numRef>
          </c:xVal>
          <c:yVal>
            <c:numRef>
              <c:f>Sheet3!$B$7:$Q$7</c:f>
              <c:numCache>
                <c:formatCode>0.00_)</c:formatCode>
                <c:ptCount val="16"/>
                <c:pt idx="1">
                  <c:v>3.0663252865154802</c:v>
                </c:pt>
                <c:pt idx="2" formatCode="0.00">
                  <c:v>3.1699585466959301</c:v>
                </c:pt>
                <c:pt idx="3" formatCode="0.00">
                  <c:v>3.1699585466959301</c:v>
                </c:pt>
                <c:pt idx="4">
                  <c:v>2.8651548402828602</c:v>
                </c:pt>
                <c:pt idx="5">
                  <c:v>3.3528407705437702</c:v>
                </c:pt>
                <c:pt idx="6" formatCode="0.00">
                  <c:v>3.0480370641307002</c:v>
                </c:pt>
                <c:pt idx="7">
                  <c:v>3.3528407705437702</c:v>
                </c:pt>
                <c:pt idx="8">
                  <c:v>3.3528407705437702</c:v>
                </c:pt>
                <c:pt idx="9">
                  <c:v>0</c:v>
                </c:pt>
                <c:pt idx="11">
                  <c:v>4.1148500365764402</c:v>
                </c:pt>
                <c:pt idx="13">
                  <c:v>5</c:v>
                </c:pt>
                <c:pt idx="14">
                  <c:v>6.32</c:v>
                </c:pt>
                <c:pt idx="15">
                  <c:v>3.9014874420873</c:v>
                </c:pt>
              </c:numCache>
            </c:numRef>
          </c:yVal>
          <c:smooth val="0"/>
          <c:extLst>
            <c:ext xmlns:c16="http://schemas.microsoft.com/office/drawing/2014/chart" uri="{C3380CC4-5D6E-409C-BE32-E72D297353CC}">
              <c16:uniqueId val="{00000006-6C52-4C2E-986C-BBA2B4DE61DD}"/>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Length (m)</a:t>
                </a:r>
              </a:p>
            </c:rich>
          </c:tx>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Draft (m)</a:t>
                </a:r>
              </a:p>
            </c:rich>
          </c:tx>
          <c:overlay val="0"/>
          <c:spPr>
            <a:noFill/>
            <a:ln>
              <a:noFill/>
            </a:ln>
            <a:effectLst/>
          </c:spPr>
          <c:txPr>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5875">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Freeboard/Length vs Length</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Data'!$J$2:$J$15</c:f>
              <c:numCache>
                <c:formatCode>0.0</c:formatCode>
                <c:ptCount val="14"/>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numCache>
            </c:numRef>
          </c:xVal>
          <c:yVal>
            <c:numRef>
              <c:f>'Comp Data'!$AA$2:$AA$15</c:f>
              <c:numCache>
                <c:formatCode>0.000</c:formatCode>
                <c:ptCount val="14"/>
                <c:pt idx="0">
                  <c:v>4.7577028451001036E-2</c:v>
                </c:pt>
                <c:pt idx="1">
                  <c:v>5.5346558353688395E-2</c:v>
                </c:pt>
                <c:pt idx="2">
                  <c:v>5.442708333333323E-2</c:v>
                </c:pt>
                <c:pt idx="3">
                  <c:v>5.5691056910569095E-2</c:v>
                </c:pt>
                <c:pt idx="5">
                  <c:v>5.1225490196078333E-2</c:v>
                </c:pt>
                <c:pt idx="6">
                  <c:v>5.5392156862745102E-2</c:v>
                </c:pt>
                <c:pt idx="7">
                  <c:v>0.11134615384615378</c:v>
                </c:pt>
                <c:pt idx="8">
                  <c:v>5.4285714285714423E-2</c:v>
                </c:pt>
                <c:pt idx="9">
                  <c:v>3.7255956649932337E-2</c:v>
                </c:pt>
                <c:pt idx="10">
                  <c:v>4.8379629629629536E-2</c:v>
                </c:pt>
                <c:pt idx="11">
                  <c:v>4.8379629629629536E-2</c:v>
                </c:pt>
                <c:pt idx="12">
                  <c:v>4.5833333333333247E-2</c:v>
                </c:pt>
                <c:pt idx="13">
                  <c:v>4.694006309148268E-2</c:v>
                </c:pt>
              </c:numCache>
            </c:numRef>
          </c:yVal>
          <c:smooth val="0"/>
          <c:extLst>
            <c:ext xmlns:c16="http://schemas.microsoft.com/office/drawing/2014/chart" uri="{C3380CC4-5D6E-409C-BE32-E72D297353CC}">
              <c16:uniqueId val="{00000000-BE31-4999-B952-7EB2ECA6EEC0}"/>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Data'!$J$17:$J$29</c:f>
              <c:numCache>
                <c:formatCode>0.0</c:formatCode>
                <c:ptCount val="13"/>
                <c:pt idx="0">
                  <c:v>54</c:v>
                </c:pt>
                <c:pt idx="1">
                  <c:v>63</c:v>
                </c:pt>
                <c:pt idx="2">
                  <c:v>67</c:v>
                </c:pt>
                <c:pt idx="3">
                  <c:v>72</c:v>
                </c:pt>
                <c:pt idx="4">
                  <c:v>77.7</c:v>
                </c:pt>
                <c:pt idx="5">
                  <c:v>77.7</c:v>
                </c:pt>
                <c:pt idx="6">
                  <c:v>94</c:v>
                </c:pt>
                <c:pt idx="7">
                  <c:v>39.6244818336991</c:v>
                </c:pt>
                <c:pt idx="8">
                  <c:v>36.561204584247697</c:v>
                </c:pt>
                <c:pt idx="9">
                  <c:v>39.380638868568603</c:v>
                </c:pt>
                <c:pt idx="10">
                  <c:v>77.724945135332803</c:v>
                </c:pt>
                <c:pt idx="11">
                  <c:v>33.528407705437701</c:v>
                </c:pt>
                <c:pt idx="12">
                  <c:v>100.58522311631309</c:v>
                </c:pt>
              </c:numCache>
            </c:numRef>
          </c:xVal>
          <c:yVal>
            <c:numRef>
              <c:f>'Comp Data'!$AA$17:$AA$29</c:f>
              <c:numCache>
                <c:formatCode>0.000</c:formatCode>
                <c:ptCount val="13"/>
                <c:pt idx="0">
                  <c:v>4.8888888888888885E-2</c:v>
                </c:pt>
                <c:pt idx="1">
                  <c:v>4.4126984126984126E-2</c:v>
                </c:pt>
                <c:pt idx="2">
                  <c:v>3.7313432835820892E-2</c:v>
                </c:pt>
                <c:pt idx="3">
                  <c:v>5.3888888888888889E-2</c:v>
                </c:pt>
                <c:pt idx="4">
                  <c:v>6.8211068211068204E-2</c:v>
                </c:pt>
                <c:pt idx="5">
                  <c:v>7.2072072072072071E-2</c:v>
                </c:pt>
                <c:pt idx="6">
                  <c:v>4.1808510638297866E-2</c:v>
                </c:pt>
                <c:pt idx="7">
                  <c:v>3.2615384615384706E-2</c:v>
                </c:pt>
                <c:pt idx="8">
                  <c:v>0.11704877032096715</c:v>
                </c:pt>
                <c:pt idx="9">
                  <c:v>5.9442724458204206E-2</c:v>
                </c:pt>
                <c:pt idx="10">
                  <c:v>3.8235294117647048E-2</c:v>
                </c:pt>
                <c:pt idx="11">
                  <c:v>6.4545454545454642E-2</c:v>
                </c:pt>
                <c:pt idx="12">
                  <c:v>4.5393939393939389E-2</c:v>
                </c:pt>
              </c:numCache>
            </c:numRef>
          </c:yVal>
          <c:smooth val="0"/>
          <c:extLst>
            <c:ext xmlns:c16="http://schemas.microsoft.com/office/drawing/2014/chart" uri="{C3380CC4-5D6E-409C-BE32-E72D297353CC}">
              <c16:uniqueId val="{00000001-BE31-4999-B952-7EB2ECA6EEC0}"/>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Data'!$J$31:$J$38</c:f>
              <c:numCache>
                <c:formatCode>0.0</c:formatCode>
                <c:ptCount val="8"/>
                <c:pt idx="0">
                  <c:v>43.2</c:v>
                </c:pt>
                <c:pt idx="1">
                  <c:v>45.5</c:v>
                </c:pt>
                <c:pt idx="2">
                  <c:v>47.1</c:v>
                </c:pt>
                <c:pt idx="3">
                  <c:v>50</c:v>
                </c:pt>
                <c:pt idx="4">
                  <c:v>51</c:v>
                </c:pt>
                <c:pt idx="5">
                  <c:v>53.1</c:v>
                </c:pt>
                <c:pt idx="6">
                  <c:v>57</c:v>
                </c:pt>
                <c:pt idx="7">
                  <c:v>65.099999999999994</c:v>
                </c:pt>
              </c:numCache>
            </c:numRef>
          </c:xVal>
          <c:yVal>
            <c:numRef>
              <c:f>'Comp Data'!$AA$31:$AA$38</c:f>
              <c:numCache>
                <c:formatCode>0.000</c:formatCode>
                <c:ptCount val="8"/>
                <c:pt idx="0">
                  <c:v>6.0185185185185175E-2</c:v>
                </c:pt>
                <c:pt idx="1">
                  <c:v>0.10109890109890109</c:v>
                </c:pt>
                <c:pt idx="2">
                  <c:v>9.7664543524416128E-2</c:v>
                </c:pt>
                <c:pt idx="3">
                  <c:v>6.6000000000000003E-2</c:v>
                </c:pt>
                <c:pt idx="4">
                  <c:v>4.5098039215686274E-2</c:v>
                </c:pt>
                <c:pt idx="5">
                  <c:v>8.662900188323916E-2</c:v>
                </c:pt>
                <c:pt idx="6">
                  <c:v>8.5964912280701758E-2</c:v>
                </c:pt>
                <c:pt idx="7">
                  <c:v>6.4516129032258077E-2</c:v>
                </c:pt>
              </c:numCache>
            </c:numRef>
          </c:yVal>
          <c:smooth val="0"/>
          <c:extLst>
            <c:ext xmlns:c16="http://schemas.microsoft.com/office/drawing/2014/chart" uri="{C3380CC4-5D6E-409C-BE32-E72D297353CC}">
              <c16:uniqueId val="{00000002-BE31-4999-B952-7EB2ECA6EEC0}"/>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75000"/>
                  </a:schemeClr>
                </a:solidFill>
              </a:ln>
              <a:effectLst/>
            </c:spPr>
          </c:marker>
          <c:xVal>
            <c:numRef>
              <c:f>'Comp Data'!$J$40:$J$51</c:f>
              <c:numCache>
                <c:formatCode>0.0</c:formatCode>
                <c:ptCount val="12"/>
                <c:pt idx="0">
                  <c:v>63.399170933918597</c:v>
                </c:pt>
                <c:pt idx="1">
                  <c:v>63.399170933918597</c:v>
                </c:pt>
                <c:pt idx="2">
                  <c:v>67.056815410875402</c:v>
                </c:pt>
                <c:pt idx="3">
                  <c:v>70.104852475006098</c:v>
                </c:pt>
                <c:pt idx="4">
                  <c:v>79.248963667398201</c:v>
                </c:pt>
                <c:pt idx="5">
                  <c:v>79.248963667398201</c:v>
                </c:pt>
                <c:pt idx="6">
                  <c:v>84.122774932943202</c:v>
                </c:pt>
                <c:pt idx="7">
                  <c:v>85.619361131431305</c:v>
                </c:pt>
                <c:pt idx="8">
                  <c:v>85.619361131431305</c:v>
                </c:pt>
                <c:pt idx="9">
                  <c:v>88</c:v>
                </c:pt>
                <c:pt idx="10">
                  <c:v>91.745915630334096</c:v>
                </c:pt>
                <c:pt idx="11">
                  <c:v>99.5</c:v>
                </c:pt>
              </c:numCache>
            </c:numRef>
          </c:xVal>
          <c:yVal>
            <c:numRef>
              <c:f>'Comp Data'!$AA$40:$AA$51</c:f>
              <c:numCache>
                <c:formatCode>0.000</c:formatCode>
                <c:ptCount val="12"/>
                <c:pt idx="0">
                  <c:v>5.3942307692307727E-2</c:v>
                </c:pt>
                <c:pt idx="1">
                  <c:v>5.7115384615384547E-2</c:v>
                </c:pt>
                <c:pt idx="2">
                  <c:v>4.9242424242424115E-2</c:v>
                </c:pt>
                <c:pt idx="3">
                  <c:v>8.6826086956521775E-2</c:v>
                </c:pt>
                <c:pt idx="4">
                  <c:v>3.3653846153846118E-2</c:v>
                </c:pt>
                <c:pt idx="5">
                  <c:v>3.3653846153846118E-2</c:v>
                </c:pt>
                <c:pt idx="6">
                  <c:v>3.445777020906559E-2</c:v>
                </c:pt>
                <c:pt idx="7">
                  <c:v>4.3467426130295445E-2</c:v>
                </c:pt>
                <c:pt idx="8">
                  <c:v>4.3467426130295445E-2</c:v>
                </c:pt>
                <c:pt idx="9">
                  <c:v>2.6136363636363635E-2</c:v>
                </c:pt>
                <c:pt idx="10">
                  <c:v>3.0897009966777387E-2</c:v>
                </c:pt>
                <c:pt idx="11">
                  <c:v>6.8792237047305527E-2</c:v>
                </c:pt>
              </c:numCache>
            </c:numRef>
          </c:yVal>
          <c:smooth val="0"/>
          <c:extLst>
            <c:ext xmlns:c16="http://schemas.microsoft.com/office/drawing/2014/chart" uri="{C3380CC4-5D6E-409C-BE32-E72D297353CC}">
              <c16:uniqueId val="{00000003-BE31-4999-B952-7EB2ECA6EEC0}"/>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Length (m)</a:t>
                </a:r>
              </a:p>
            </c:rich>
          </c:tx>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Freeboard/Length</a:t>
                </a:r>
              </a:p>
            </c:rich>
          </c:tx>
          <c:overlay val="0"/>
          <c:spPr>
            <a:noFill/>
            <a:ln>
              <a:noFill/>
            </a:ln>
            <a:effectLst/>
          </c:spPr>
          <c:txPr>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5875">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Freeboard vs Length</a:t>
            </a:r>
          </a:p>
        </c:rich>
      </c:tx>
      <c:overlay val="0"/>
      <c:spPr>
        <a:noFill/>
        <a:ln>
          <a:noFill/>
        </a:ln>
        <a:effectLst/>
      </c:spPr>
      <c:txPr>
        <a:bodyPr rot="0" spcFirstLastPara="0"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FAC</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Ref>
              <c:f>'Comp Data'!$J$2:$J$15</c:f>
              <c:numCache>
                <c:formatCode>0.0</c:formatCode>
                <c:ptCount val="14"/>
                <c:pt idx="0">
                  <c:v>28.925871738600343</c:v>
                </c:pt>
                <c:pt idx="1">
                  <c:v>47.27</c:v>
                </c:pt>
                <c:pt idx="2">
                  <c:v>48.768593026091203</c:v>
                </c:pt>
                <c:pt idx="3">
                  <c:v>49.987807851743497</c:v>
                </c:pt>
                <c:pt idx="4">
                  <c:v>50.170690075591317</c:v>
                </c:pt>
                <c:pt idx="5">
                  <c:v>51.816630090221899</c:v>
                </c:pt>
                <c:pt idx="6">
                  <c:v>51.816630090221899</c:v>
                </c:pt>
                <c:pt idx="7">
                  <c:v>52.000475493781998</c:v>
                </c:pt>
                <c:pt idx="8">
                  <c:v>53.340648622287198</c:v>
                </c:pt>
                <c:pt idx="9">
                  <c:v>54.255059741526502</c:v>
                </c:pt>
                <c:pt idx="10">
                  <c:v>54.864667154352603</c:v>
                </c:pt>
                <c:pt idx="11">
                  <c:v>54.864667154352603</c:v>
                </c:pt>
                <c:pt idx="12">
                  <c:v>57.912704218483299</c:v>
                </c:pt>
                <c:pt idx="13">
                  <c:v>57.973664959765898</c:v>
                </c:pt>
              </c:numCache>
            </c:numRef>
          </c:xVal>
          <c:yVal>
            <c:numRef>
              <c:f>'Comp Data'!$P$2:$P$15</c:f>
              <c:numCache>
                <c:formatCode>0.00</c:formatCode>
                <c:ptCount val="14"/>
                <c:pt idx="0">
                  <c:v>1.3762070226773953</c:v>
                </c:pt>
                <c:pt idx="1">
                  <c:v>2.6162318133788505</c:v>
                </c:pt>
                <c:pt idx="2">
                  <c:v>2.6543322766804796</c:v>
                </c:pt>
                <c:pt idx="3">
                  <c:v>2.7838738519060398</c:v>
                </c:pt>
                <c:pt idx="5">
                  <c:v>2.6543322766804796</c:v>
                </c:pt>
                <c:pt idx="6">
                  <c:v>2.8702349020564095</c:v>
                </c:pt>
                <c:pt idx="7">
                  <c:v>5.7900529444037998</c:v>
                </c:pt>
                <c:pt idx="8">
                  <c:v>2.8956352109241696</c:v>
                </c:pt>
                <c:pt idx="9">
                  <c:v>2.0213241537698003</c:v>
                </c:pt>
                <c:pt idx="10">
                  <c:v>2.6543322766804796</c:v>
                </c:pt>
                <c:pt idx="11">
                  <c:v>2.6543322766804796</c:v>
                </c:pt>
                <c:pt idx="12">
                  <c:v>2.6543322766804796</c:v>
                </c:pt>
                <c:pt idx="13">
                  <c:v>2.7212874908558899</c:v>
                </c:pt>
              </c:numCache>
            </c:numRef>
          </c:yVal>
          <c:smooth val="0"/>
          <c:extLst>
            <c:ext xmlns:c16="http://schemas.microsoft.com/office/drawing/2014/chart" uri="{C3380CC4-5D6E-409C-BE32-E72D297353CC}">
              <c16:uniqueId val="{00000000-F6D8-4904-BED9-2F3DB8161339}"/>
            </c:ext>
          </c:extLst>
        </c:ser>
        <c:ser>
          <c:idx val="1"/>
          <c:order val="1"/>
          <c:tx>
            <c:v>OPV</c:v>
          </c:tx>
          <c:spPr>
            <a:ln w="19050" cap="rnd">
              <a:noFill/>
              <a:round/>
            </a:ln>
            <a:effectLst/>
          </c:spPr>
          <c:marker>
            <c:symbol val="circle"/>
            <c:size val="5"/>
            <c:spPr>
              <a:solidFill>
                <a:srgbClr val="FF0000"/>
              </a:solidFill>
              <a:ln w="9525">
                <a:solidFill>
                  <a:srgbClr val="FF0000"/>
                </a:solidFill>
              </a:ln>
              <a:effectLst/>
            </c:spPr>
          </c:marker>
          <c:xVal>
            <c:numRef>
              <c:f>'Comp Data'!$J$17:$J$29</c:f>
              <c:numCache>
                <c:formatCode>0.0</c:formatCode>
                <c:ptCount val="13"/>
                <c:pt idx="0">
                  <c:v>54</c:v>
                </c:pt>
                <c:pt idx="1">
                  <c:v>63</c:v>
                </c:pt>
                <c:pt idx="2">
                  <c:v>67</c:v>
                </c:pt>
                <c:pt idx="3">
                  <c:v>72</c:v>
                </c:pt>
                <c:pt idx="4">
                  <c:v>77.7</c:v>
                </c:pt>
                <c:pt idx="5">
                  <c:v>77.7</c:v>
                </c:pt>
                <c:pt idx="6">
                  <c:v>94</c:v>
                </c:pt>
                <c:pt idx="7">
                  <c:v>39.6244818336991</c:v>
                </c:pt>
                <c:pt idx="8">
                  <c:v>36.561204584247697</c:v>
                </c:pt>
                <c:pt idx="9">
                  <c:v>39.380638868568603</c:v>
                </c:pt>
                <c:pt idx="10">
                  <c:v>77.724945135332803</c:v>
                </c:pt>
                <c:pt idx="11">
                  <c:v>33.528407705437701</c:v>
                </c:pt>
                <c:pt idx="12">
                  <c:v>100.58522311631309</c:v>
                </c:pt>
              </c:numCache>
            </c:numRef>
          </c:xVal>
          <c:yVal>
            <c:numRef>
              <c:f>'Comp Data'!$P$17:$P$29</c:f>
              <c:numCache>
                <c:formatCode>0.00</c:formatCode>
                <c:ptCount val="13"/>
                <c:pt idx="0">
                  <c:v>2.6399999999999997</c:v>
                </c:pt>
                <c:pt idx="1">
                  <c:v>2.78</c:v>
                </c:pt>
                <c:pt idx="2">
                  <c:v>2.5</c:v>
                </c:pt>
                <c:pt idx="3">
                  <c:v>3.88</c:v>
                </c:pt>
                <c:pt idx="4">
                  <c:v>5.3</c:v>
                </c:pt>
                <c:pt idx="5">
                  <c:v>5.6</c:v>
                </c:pt>
                <c:pt idx="6">
                  <c:v>3.9299999999999997</c:v>
                </c:pt>
                <c:pt idx="7">
                  <c:v>1.2923677151914204</c:v>
                </c:pt>
                <c:pt idx="8">
                  <c:v>4.2794440380395002</c:v>
                </c:pt>
                <c:pt idx="9">
                  <c:v>2.3408924652523702</c:v>
                </c:pt>
                <c:pt idx="10">
                  <c:v>2.9718361375274296</c:v>
                </c:pt>
                <c:pt idx="11">
                  <c:v>2.1641063155328002</c:v>
                </c:pt>
                <c:pt idx="12">
                  <c:v>4.5659595220677875</c:v>
                </c:pt>
              </c:numCache>
            </c:numRef>
          </c:yVal>
          <c:smooth val="0"/>
          <c:extLst>
            <c:ext xmlns:c16="http://schemas.microsoft.com/office/drawing/2014/chart" uri="{C3380CC4-5D6E-409C-BE32-E72D297353CC}">
              <c16:uniqueId val="{00000001-F6D8-4904-BED9-2F3DB8161339}"/>
            </c:ext>
          </c:extLst>
        </c:ser>
        <c:ser>
          <c:idx val="2"/>
          <c:order val="2"/>
          <c:tx>
            <c:v>MCM</c:v>
          </c:tx>
          <c:spPr>
            <a:ln w="19050" cap="rnd">
              <a:noFill/>
              <a:round/>
            </a:ln>
            <a:effectLst/>
          </c:spPr>
          <c:marker>
            <c:symbol val="square"/>
            <c:size val="5"/>
            <c:spPr>
              <a:solidFill>
                <a:srgbClr val="FFC000"/>
              </a:solidFill>
              <a:ln w="9525">
                <a:solidFill>
                  <a:srgbClr val="FFC000"/>
                </a:solidFill>
              </a:ln>
              <a:effectLst/>
            </c:spPr>
          </c:marker>
          <c:xVal>
            <c:numRef>
              <c:f>'Comp Data'!$J$31:$J$38</c:f>
              <c:numCache>
                <c:formatCode>0.0</c:formatCode>
                <c:ptCount val="8"/>
                <c:pt idx="0">
                  <c:v>43.2</c:v>
                </c:pt>
                <c:pt idx="1">
                  <c:v>45.5</c:v>
                </c:pt>
                <c:pt idx="2">
                  <c:v>47.1</c:v>
                </c:pt>
                <c:pt idx="3">
                  <c:v>50</c:v>
                </c:pt>
                <c:pt idx="4">
                  <c:v>51</c:v>
                </c:pt>
                <c:pt idx="5">
                  <c:v>53.1</c:v>
                </c:pt>
                <c:pt idx="6">
                  <c:v>57</c:v>
                </c:pt>
                <c:pt idx="7">
                  <c:v>65.099999999999994</c:v>
                </c:pt>
              </c:numCache>
            </c:numRef>
          </c:xVal>
          <c:yVal>
            <c:numRef>
              <c:f>'Comp Data'!$P$31:$P$38</c:f>
              <c:numCache>
                <c:formatCode>General</c:formatCode>
                <c:ptCount val="8"/>
                <c:pt idx="0">
                  <c:v>2.5999999999999996</c:v>
                </c:pt>
                <c:pt idx="1">
                  <c:v>4.5999999999999996</c:v>
                </c:pt>
                <c:pt idx="2">
                  <c:v>4.5999999999999996</c:v>
                </c:pt>
                <c:pt idx="3">
                  <c:v>3.3</c:v>
                </c:pt>
                <c:pt idx="4">
                  <c:v>2.2999999999999998</c:v>
                </c:pt>
                <c:pt idx="5">
                  <c:v>4.5999999999999996</c:v>
                </c:pt>
                <c:pt idx="6">
                  <c:v>4.9000000000000004</c:v>
                </c:pt>
                <c:pt idx="7">
                  <c:v>4.2</c:v>
                </c:pt>
              </c:numCache>
            </c:numRef>
          </c:yVal>
          <c:smooth val="0"/>
          <c:extLst>
            <c:ext xmlns:c16="http://schemas.microsoft.com/office/drawing/2014/chart" uri="{C3380CC4-5D6E-409C-BE32-E72D297353CC}">
              <c16:uniqueId val="{00000002-F6D8-4904-BED9-2F3DB8161339}"/>
            </c:ext>
          </c:extLst>
        </c:ser>
        <c:ser>
          <c:idx val="3"/>
          <c:order val="3"/>
          <c:tx>
            <c:v>FF</c:v>
          </c:tx>
          <c:spPr>
            <a:ln w="19050" cap="rnd">
              <a:noFill/>
              <a:round/>
            </a:ln>
            <a:effectLst/>
          </c:spPr>
          <c:marker>
            <c:symbol val="diamond"/>
            <c:size val="6"/>
            <c:spPr>
              <a:solidFill>
                <a:schemeClr val="bg1">
                  <a:lumMod val="65000"/>
                </a:schemeClr>
              </a:solidFill>
              <a:ln w="9525">
                <a:solidFill>
                  <a:schemeClr val="bg1">
                    <a:lumMod val="75000"/>
                  </a:schemeClr>
                </a:solidFill>
              </a:ln>
              <a:effectLst/>
            </c:spPr>
          </c:marker>
          <c:xVal>
            <c:numRef>
              <c:f>'Comp Data'!$J$40:$J$51</c:f>
              <c:numCache>
                <c:formatCode>0.0</c:formatCode>
                <c:ptCount val="12"/>
                <c:pt idx="0">
                  <c:v>63.399170933918597</c:v>
                </c:pt>
                <c:pt idx="1">
                  <c:v>63.399170933918597</c:v>
                </c:pt>
                <c:pt idx="2">
                  <c:v>67.056815410875402</c:v>
                </c:pt>
                <c:pt idx="3">
                  <c:v>70.104852475006098</c:v>
                </c:pt>
                <c:pt idx="4">
                  <c:v>79.248963667398201</c:v>
                </c:pt>
                <c:pt idx="5">
                  <c:v>79.248963667398201</c:v>
                </c:pt>
                <c:pt idx="6">
                  <c:v>84.122774932943202</c:v>
                </c:pt>
                <c:pt idx="7">
                  <c:v>85.619361131431305</c:v>
                </c:pt>
                <c:pt idx="8">
                  <c:v>85.619361131431305</c:v>
                </c:pt>
                <c:pt idx="9">
                  <c:v>88</c:v>
                </c:pt>
                <c:pt idx="10">
                  <c:v>91.745915630334096</c:v>
                </c:pt>
                <c:pt idx="11">
                  <c:v>99.5</c:v>
                </c:pt>
              </c:numCache>
            </c:numRef>
          </c:xVal>
          <c:yVal>
            <c:numRef>
              <c:f>'Comp Data'!$P$40:$P$51</c:f>
              <c:numCache>
                <c:formatCode>0.00</c:formatCode>
                <c:ptCount val="12"/>
                <c:pt idx="0">
                  <c:v>3.4198975859546494</c:v>
                </c:pt>
                <c:pt idx="1">
                  <c:v>3.6210680321872695</c:v>
                </c:pt>
                <c:pt idx="2">
                  <c:v>3.3020401528082499</c:v>
                </c:pt>
                <c:pt idx="3">
                  <c:v>6.0869300170690099</c:v>
                </c:pt>
                <c:pt idx="4">
                  <c:v>2.6670324311143596</c:v>
                </c:pt>
                <c:pt idx="5">
                  <c:v>2.6670324311143596</c:v>
                </c:pt>
                <c:pt idx="6">
                  <c:v>2.8986832479882998</c:v>
                </c:pt>
                <c:pt idx="7">
                  <c:v>3.7216532553035795</c:v>
                </c:pt>
                <c:pt idx="8">
                  <c:v>3.7216532553035795</c:v>
                </c:pt>
                <c:pt idx="9">
                  <c:v>2.2999999999999998</c:v>
                </c:pt>
                <c:pt idx="10">
                  <c:v>2.8346744696415498</c:v>
                </c:pt>
                <c:pt idx="11">
                  <c:v>6.8448275862069003</c:v>
                </c:pt>
              </c:numCache>
            </c:numRef>
          </c:yVal>
          <c:smooth val="0"/>
          <c:extLst>
            <c:ext xmlns:c16="http://schemas.microsoft.com/office/drawing/2014/chart" uri="{C3380CC4-5D6E-409C-BE32-E72D297353CC}">
              <c16:uniqueId val="{00000003-F6D8-4904-BED9-2F3DB8161339}"/>
            </c:ext>
          </c:extLst>
        </c:ser>
        <c:dLbls>
          <c:showLegendKey val="0"/>
          <c:showVal val="0"/>
          <c:showCatName val="0"/>
          <c:showSerName val="0"/>
          <c:showPercent val="0"/>
          <c:showBubbleSize val="0"/>
        </c:dLbls>
        <c:axId val="431554386"/>
        <c:axId val="285640010"/>
      </c:scatterChart>
      <c:valAx>
        <c:axId val="43155438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Length (m)</a:t>
                </a:r>
              </a:p>
            </c:rich>
          </c:tx>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285640010"/>
        <c:crosses val="autoZero"/>
        <c:crossBetween val="midCat"/>
      </c:valAx>
      <c:valAx>
        <c:axId val="28564001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r>
                  <a:rPr lang="en-US"/>
                  <a:t>Freeboard (m)</a:t>
                </a:r>
              </a:p>
            </c:rich>
          </c:tx>
          <c:overlay val="0"/>
          <c:spPr>
            <a:noFill/>
            <a:ln>
              <a:noFill/>
            </a:ln>
            <a:effectLst/>
          </c:spPr>
          <c:txPr>
            <a:bodyPr rot="-540000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431554386"/>
        <c:crosses val="autoZero"/>
        <c:crossBetween val="midCat"/>
      </c:valAx>
      <c:spPr>
        <a:noFill/>
        <a:ln w="15875">
          <a:solidFill>
            <a:schemeClr val="tx1"/>
          </a:solidFill>
        </a:ln>
        <a:effectLst/>
      </c:spPr>
    </c:plotArea>
    <c:legend>
      <c:legendPos val="t"/>
      <c:overlay val="0"/>
      <c:spPr>
        <a:noFill/>
        <a:ln>
          <a:noFill/>
        </a:ln>
        <a:effectLst/>
      </c:spPr>
      <c:txPr>
        <a:bodyPr rot="0" spcFirstLastPara="0" vertOverflow="ellipsis" vert="horz" wrap="square" anchor="ctr" anchorCtr="1"/>
        <a:lstStyle/>
        <a:p>
          <a:pPr>
            <a:defRPr lang="en-US"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Length/Breadth vs Displacement</a:t>
            </a:r>
          </a:p>
        </c:rich>
      </c:tx>
      <c:layout>
        <c:manualLayout>
          <c:xMode val="edge"/>
          <c:yMode val="edge"/>
          <c:x val="0.35849056603773582"/>
          <c:y val="1.9575856443719411E-2"/>
        </c:manualLayout>
      </c:layout>
      <c:overlay val="0"/>
      <c:spPr>
        <a:noFill/>
        <a:ln w="25400">
          <a:noFill/>
        </a:ln>
      </c:spPr>
    </c:title>
    <c:autoTitleDeleted val="0"/>
    <c:plotArea>
      <c:layout>
        <c:manualLayout>
          <c:layoutTarget val="inner"/>
          <c:xMode val="edge"/>
          <c:yMode val="edge"/>
          <c:x val="6.1043285238623748E-2"/>
          <c:y val="7.5040783034257749E-2"/>
          <c:w val="0.69589345172031081"/>
          <c:h val="0.81892332789559541"/>
        </c:manualLayout>
      </c:layout>
      <c:scatterChart>
        <c:scatterStyle val="smoothMarker"/>
        <c:varyColors val="0"/>
        <c:ser>
          <c:idx val="0"/>
          <c:order val="0"/>
          <c:tx>
            <c:v>All</c:v>
          </c:tx>
          <c:spPr>
            <a:ln w="19050">
              <a:noFill/>
            </a:ln>
          </c:spPr>
          <c:marker>
            <c:symbol val="diamond"/>
            <c:size val="2"/>
            <c:spPr>
              <a:solidFill>
                <a:srgbClr val="000080"/>
              </a:solidFill>
              <a:ln>
                <a:solidFill>
                  <a:srgbClr val="000080"/>
                </a:solidFill>
                <a:prstDash val="solid"/>
              </a:ln>
            </c:spPr>
          </c:marker>
          <c:trendline>
            <c:spPr>
              <a:ln w="25400">
                <a:solidFill>
                  <a:srgbClr val="000000"/>
                </a:solidFill>
                <a:prstDash val="solid"/>
              </a:ln>
            </c:spPr>
            <c:trendlineType val="power"/>
            <c:dispRSqr val="1"/>
            <c:dispEq val="1"/>
            <c:trendlineLbl>
              <c:layout>
                <c:manualLayout>
                  <c:x val="0.19362303546401194"/>
                  <c:y val="0.11697324668743159"/>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'Task 1 Converted AMI PDF Stats'!$I$5:$I$276</c:f>
              <c:numCache>
                <c:formatCode>0</c:formatCode>
                <c:ptCount val="272"/>
                <c:pt idx="0">
                  <c:v>325.76901785714284</c:v>
                </c:pt>
                <c:pt idx="1">
                  <c:v>334.62678571428569</c:v>
                </c:pt>
                <c:pt idx="2">
                  <c:v>384.82080357142854</c:v>
                </c:pt>
                <c:pt idx="3">
                  <c:v>398.59955357142854</c:v>
                </c:pt>
                <c:pt idx="4">
                  <c:v>440</c:v>
                </c:pt>
                <c:pt idx="5">
                  <c:v>454.69874999999996</c:v>
                </c:pt>
                <c:pt idx="6">
                  <c:v>540.32383928571426</c:v>
                </c:pt>
                <c:pt idx="7">
                  <c:v>585.59687499999995</c:v>
                </c:pt>
                <c:pt idx="8">
                  <c:v>52</c:v>
                </c:pt>
                <c:pt idx="9">
                  <c:v>58</c:v>
                </c:pt>
                <c:pt idx="10">
                  <c:v>79.2</c:v>
                </c:pt>
                <c:pt idx="11">
                  <c:v>79.2</c:v>
                </c:pt>
                <c:pt idx="12">
                  <c:v>82</c:v>
                </c:pt>
                <c:pt idx="13">
                  <c:v>111</c:v>
                </c:pt>
                <c:pt idx="14">
                  <c:v>124</c:v>
                </c:pt>
                <c:pt idx="15">
                  <c:v>131</c:v>
                </c:pt>
                <c:pt idx="16">
                  <c:v>134</c:v>
                </c:pt>
                <c:pt idx="17">
                  <c:v>134</c:v>
                </c:pt>
                <c:pt idx="18">
                  <c:v>139</c:v>
                </c:pt>
                <c:pt idx="19">
                  <c:v>142</c:v>
                </c:pt>
                <c:pt idx="20">
                  <c:v>143</c:v>
                </c:pt>
                <c:pt idx="21">
                  <c:v>148</c:v>
                </c:pt>
                <c:pt idx="22">
                  <c:v>150</c:v>
                </c:pt>
                <c:pt idx="23">
                  <c:v>160</c:v>
                </c:pt>
                <c:pt idx="24">
                  <c:v>160</c:v>
                </c:pt>
                <c:pt idx="25">
                  <c:v>170</c:v>
                </c:pt>
                <c:pt idx="26">
                  <c:v>170</c:v>
                </c:pt>
                <c:pt idx="27">
                  <c:v>175</c:v>
                </c:pt>
                <c:pt idx="28">
                  <c:v>185</c:v>
                </c:pt>
                <c:pt idx="29">
                  <c:v>190</c:v>
                </c:pt>
                <c:pt idx="30">
                  <c:v>190</c:v>
                </c:pt>
                <c:pt idx="31">
                  <c:v>190</c:v>
                </c:pt>
                <c:pt idx="32">
                  <c:v>205</c:v>
                </c:pt>
                <c:pt idx="33">
                  <c:v>205</c:v>
                </c:pt>
                <c:pt idx="34">
                  <c:v>205</c:v>
                </c:pt>
                <c:pt idx="35">
                  <c:v>205</c:v>
                </c:pt>
                <c:pt idx="36">
                  <c:v>206</c:v>
                </c:pt>
                <c:pt idx="37">
                  <c:v>210</c:v>
                </c:pt>
                <c:pt idx="38">
                  <c:v>210</c:v>
                </c:pt>
                <c:pt idx="39">
                  <c:v>212</c:v>
                </c:pt>
                <c:pt idx="40">
                  <c:v>215</c:v>
                </c:pt>
                <c:pt idx="41">
                  <c:v>225</c:v>
                </c:pt>
                <c:pt idx="42">
                  <c:v>240</c:v>
                </c:pt>
                <c:pt idx="43">
                  <c:v>244</c:v>
                </c:pt>
                <c:pt idx="44">
                  <c:v>245</c:v>
                </c:pt>
                <c:pt idx="45">
                  <c:v>253</c:v>
                </c:pt>
                <c:pt idx="46">
                  <c:v>254</c:v>
                </c:pt>
                <c:pt idx="47">
                  <c:v>255</c:v>
                </c:pt>
                <c:pt idx="48">
                  <c:v>255</c:v>
                </c:pt>
                <c:pt idx="49">
                  <c:v>255</c:v>
                </c:pt>
                <c:pt idx="50">
                  <c:v>259</c:v>
                </c:pt>
                <c:pt idx="51">
                  <c:v>260</c:v>
                </c:pt>
                <c:pt idx="52">
                  <c:v>260</c:v>
                </c:pt>
                <c:pt idx="53">
                  <c:v>260</c:v>
                </c:pt>
                <c:pt idx="54">
                  <c:v>260</c:v>
                </c:pt>
                <c:pt idx="55">
                  <c:v>265</c:v>
                </c:pt>
                <c:pt idx="56">
                  <c:v>265</c:v>
                </c:pt>
                <c:pt idx="57">
                  <c:v>265</c:v>
                </c:pt>
                <c:pt idx="58">
                  <c:v>265</c:v>
                </c:pt>
                <c:pt idx="59">
                  <c:v>265</c:v>
                </c:pt>
                <c:pt idx="60">
                  <c:v>268</c:v>
                </c:pt>
                <c:pt idx="61">
                  <c:v>268</c:v>
                </c:pt>
                <c:pt idx="62">
                  <c:v>268</c:v>
                </c:pt>
                <c:pt idx="63">
                  <c:v>269</c:v>
                </c:pt>
                <c:pt idx="64">
                  <c:v>270</c:v>
                </c:pt>
                <c:pt idx="65">
                  <c:v>270</c:v>
                </c:pt>
                <c:pt idx="66">
                  <c:v>270</c:v>
                </c:pt>
                <c:pt idx="67">
                  <c:v>275</c:v>
                </c:pt>
                <c:pt idx="68">
                  <c:v>311</c:v>
                </c:pt>
                <c:pt idx="69">
                  <c:v>358</c:v>
                </c:pt>
                <c:pt idx="70">
                  <c:v>375</c:v>
                </c:pt>
                <c:pt idx="71">
                  <c:v>389</c:v>
                </c:pt>
                <c:pt idx="72">
                  <c:v>391</c:v>
                </c:pt>
                <c:pt idx="73">
                  <c:v>392</c:v>
                </c:pt>
                <c:pt idx="74">
                  <c:v>393</c:v>
                </c:pt>
                <c:pt idx="75">
                  <c:v>394</c:v>
                </c:pt>
                <c:pt idx="76">
                  <c:v>395</c:v>
                </c:pt>
                <c:pt idx="77">
                  <c:v>425</c:v>
                </c:pt>
                <c:pt idx="78">
                  <c:v>425</c:v>
                </c:pt>
                <c:pt idx="79">
                  <c:v>425</c:v>
                </c:pt>
                <c:pt idx="80">
                  <c:v>430</c:v>
                </c:pt>
                <c:pt idx="81">
                  <c:v>430</c:v>
                </c:pt>
                <c:pt idx="82">
                  <c:v>430</c:v>
                </c:pt>
                <c:pt idx="83">
                  <c:v>433</c:v>
                </c:pt>
                <c:pt idx="84">
                  <c:v>436</c:v>
                </c:pt>
                <c:pt idx="85">
                  <c:v>450</c:v>
                </c:pt>
                <c:pt idx="86">
                  <c:v>450</c:v>
                </c:pt>
                <c:pt idx="87">
                  <c:v>478</c:v>
                </c:pt>
                <c:pt idx="88">
                  <c:v>478</c:v>
                </c:pt>
                <c:pt idx="89">
                  <c:v>478</c:v>
                </c:pt>
                <c:pt idx="90">
                  <c:v>488</c:v>
                </c:pt>
                <c:pt idx="91">
                  <c:v>498</c:v>
                </c:pt>
                <c:pt idx="92">
                  <c:v>550</c:v>
                </c:pt>
                <c:pt idx="93">
                  <c:v>580</c:v>
                </c:pt>
                <c:pt idx="94">
                  <c:v>170</c:v>
                </c:pt>
                <c:pt idx="95">
                  <c:v>205</c:v>
                </c:pt>
                <c:pt idx="96">
                  <c:v>210</c:v>
                </c:pt>
                <c:pt idx="97">
                  <c:v>230</c:v>
                </c:pt>
                <c:pt idx="98">
                  <c:v>245</c:v>
                </c:pt>
                <c:pt idx="99">
                  <c:v>248</c:v>
                </c:pt>
                <c:pt idx="100">
                  <c:v>270</c:v>
                </c:pt>
                <c:pt idx="101">
                  <c:v>300</c:v>
                </c:pt>
                <c:pt idx="102">
                  <c:v>307</c:v>
                </c:pt>
                <c:pt idx="103">
                  <c:v>392</c:v>
                </c:pt>
                <c:pt idx="104">
                  <c:v>398</c:v>
                </c:pt>
                <c:pt idx="105">
                  <c:v>450</c:v>
                </c:pt>
                <c:pt idx="106">
                  <c:v>520</c:v>
                </c:pt>
                <c:pt idx="107">
                  <c:v>560</c:v>
                </c:pt>
                <c:pt idx="111">
                  <c:v>39</c:v>
                </c:pt>
                <c:pt idx="112">
                  <c:v>39</c:v>
                </c:pt>
                <c:pt idx="113">
                  <c:v>46</c:v>
                </c:pt>
                <c:pt idx="114">
                  <c:v>52</c:v>
                </c:pt>
                <c:pt idx="115">
                  <c:v>54</c:v>
                </c:pt>
                <c:pt idx="116">
                  <c:v>55</c:v>
                </c:pt>
                <c:pt idx="117">
                  <c:v>58</c:v>
                </c:pt>
                <c:pt idx="118">
                  <c:v>58</c:v>
                </c:pt>
                <c:pt idx="119">
                  <c:v>60</c:v>
                </c:pt>
                <c:pt idx="120">
                  <c:v>60</c:v>
                </c:pt>
                <c:pt idx="121">
                  <c:v>66</c:v>
                </c:pt>
                <c:pt idx="122">
                  <c:v>67</c:v>
                </c:pt>
                <c:pt idx="123">
                  <c:v>68</c:v>
                </c:pt>
                <c:pt idx="125">
                  <c:v>70</c:v>
                </c:pt>
                <c:pt idx="126">
                  <c:v>74</c:v>
                </c:pt>
                <c:pt idx="127">
                  <c:v>85</c:v>
                </c:pt>
                <c:pt idx="128">
                  <c:v>86</c:v>
                </c:pt>
                <c:pt idx="129">
                  <c:v>86</c:v>
                </c:pt>
                <c:pt idx="130">
                  <c:v>90</c:v>
                </c:pt>
                <c:pt idx="131">
                  <c:v>90.5</c:v>
                </c:pt>
                <c:pt idx="132">
                  <c:v>91</c:v>
                </c:pt>
                <c:pt idx="133">
                  <c:v>91</c:v>
                </c:pt>
                <c:pt idx="134">
                  <c:v>92</c:v>
                </c:pt>
                <c:pt idx="135">
                  <c:v>92</c:v>
                </c:pt>
                <c:pt idx="136">
                  <c:v>93</c:v>
                </c:pt>
                <c:pt idx="138">
                  <c:v>93.5</c:v>
                </c:pt>
                <c:pt idx="139">
                  <c:v>94</c:v>
                </c:pt>
                <c:pt idx="140">
                  <c:v>94</c:v>
                </c:pt>
                <c:pt idx="141">
                  <c:v>95</c:v>
                </c:pt>
                <c:pt idx="142">
                  <c:v>95</c:v>
                </c:pt>
                <c:pt idx="143">
                  <c:v>95</c:v>
                </c:pt>
                <c:pt idx="144">
                  <c:v>96</c:v>
                </c:pt>
                <c:pt idx="145">
                  <c:v>96</c:v>
                </c:pt>
                <c:pt idx="146">
                  <c:v>96</c:v>
                </c:pt>
                <c:pt idx="147">
                  <c:v>98</c:v>
                </c:pt>
                <c:pt idx="148">
                  <c:v>98</c:v>
                </c:pt>
                <c:pt idx="149">
                  <c:v>98</c:v>
                </c:pt>
                <c:pt idx="150">
                  <c:v>99</c:v>
                </c:pt>
                <c:pt idx="151">
                  <c:v>100</c:v>
                </c:pt>
                <c:pt idx="152">
                  <c:v>100</c:v>
                </c:pt>
                <c:pt idx="153">
                  <c:v>102</c:v>
                </c:pt>
                <c:pt idx="154">
                  <c:v>104</c:v>
                </c:pt>
                <c:pt idx="155">
                  <c:v>105</c:v>
                </c:pt>
                <c:pt idx="156">
                  <c:v>106</c:v>
                </c:pt>
                <c:pt idx="157">
                  <c:v>110</c:v>
                </c:pt>
                <c:pt idx="158">
                  <c:v>110</c:v>
                </c:pt>
                <c:pt idx="159">
                  <c:v>110</c:v>
                </c:pt>
                <c:pt idx="160">
                  <c:v>115</c:v>
                </c:pt>
                <c:pt idx="161">
                  <c:v>115</c:v>
                </c:pt>
                <c:pt idx="162">
                  <c:v>115</c:v>
                </c:pt>
                <c:pt idx="163">
                  <c:v>115</c:v>
                </c:pt>
                <c:pt idx="164">
                  <c:v>115</c:v>
                </c:pt>
                <c:pt idx="165">
                  <c:v>115</c:v>
                </c:pt>
                <c:pt idx="166">
                  <c:v>116</c:v>
                </c:pt>
                <c:pt idx="167">
                  <c:v>117</c:v>
                </c:pt>
                <c:pt idx="168">
                  <c:v>119</c:v>
                </c:pt>
                <c:pt idx="169">
                  <c:v>120</c:v>
                </c:pt>
                <c:pt idx="170">
                  <c:v>120</c:v>
                </c:pt>
                <c:pt idx="171">
                  <c:v>130</c:v>
                </c:pt>
                <c:pt idx="172">
                  <c:v>130</c:v>
                </c:pt>
                <c:pt idx="173">
                  <c:v>130</c:v>
                </c:pt>
                <c:pt idx="174">
                  <c:v>134</c:v>
                </c:pt>
                <c:pt idx="175">
                  <c:v>135</c:v>
                </c:pt>
                <c:pt idx="176">
                  <c:v>138</c:v>
                </c:pt>
                <c:pt idx="177">
                  <c:v>142</c:v>
                </c:pt>
                <c:pt idx="178">
                  <c:v>143</c:v>
                </c:pt>
                <c:pt idx="179">
                  <c:v>145</c:v>
                </c:pt>
                <c:pt idx="180">
                  <c:v>146</c:v>
                </c:pt>
                <c:pt idx="181">
                  <c:v>147.5</c:v>
                </c:pt>
                <c:pt idx="182">
                  <c:v>148</c:v>
                </c:pt>
                <c:pt idx="183">
                  <c:v>150</c:v>
                </c:pt>
                <c:pt idx="184">
                  <c:v>155</c:v>
                </c:pt>
                <c:pt idx="185">
                  <c:v>155.5</c:v>
                </c:pt>
                <c:pt idx="186">
                  <c:v>162</c:v>
                </c:pt>
                <c:pt idx="187">
                  <c:v>162</c:v>
                </c:pt>
                <c:pt idx="188">
                  <c:v>165</c:v>
                </c:pt>
                <c:pt idx="189">
                  <c:v>168</c:v>
                </c:pt>
                <c:pt idx="190">
                  <c:v>170</c:v>
                </c:pt>
                <c:pt idx="191">
                  <c:v>170</c:v>
                </c:pt>
                <c:pt idx="192">
                  <c:v>170</c:v>
                </c:pt>
                <c:pt idx="193">
                  <c:v>180</c:v>
                </c:pt>
                <c:pt idx="194">
                  <c:v>180</c:v>
                </c:pt>
                <c:pt idx="195">
                  <c:v>180</c:v>
                </c:pt>
                <c:pt idx="196">
                  <c:v>180</c:v>
                </c:pt>
                <c:pt idx="197">
                  <c:v>180</c:v>
                </c:pt>
                <c:pt idx="198">
                  <c:v>181</c:v>
                </c:pt>
                <c:pt idx="199">
                  <c:v>190</c:v>
                </c:pt>
                <c:pt idx="200">
                  <c:v>190</c:v>
                </c:pt>
                <c:pt idx="201">
                  <c:v>190</c:v>
                </c:pt>
                <c:pt idx="202">
                  <c:v>195</c:v>
                </c:pt>
                <c:pt idx="203">
                  <c:v>195</c:v>
                </c:pt>
                <c:pt idx="204">
                  <c:v>195</c:v>
                </c:pt>
                <c:pt idx="205">
                  <c:v>195</c:v>
                </c:pt>
                <c:pt idx="206">
                  <c:v>200</c:v>
                </c:pt>
                <c:pt idx="207">
                  <c:v>200</c:v>
                </c:pt>
                <c:pt idx="208">
                  <c:v>203</c:v>
                </c:pt>
                <c:pt idx="209">
                  <c:v>210</c:v>
                </c:pt>
                <c:pt idx="210">
                  <c:v>210</c:v>
                </c:pt>
                <c:pt idx="211">
                  <c:v>210</c:v>
                </c:pt>
                <c:pt idx="212">
                  <c:v>210</c:v>
                </c:pt>
                <c:pt idx="213">
                  <c:v>210.91329464285715</c:v>
                </c:pt>
                <c:pt idx="214">
                  <c:v>218</c:v>
                </c:pt>
                <c:pt idx="215">
                  <c:v>223.90468749999999</c:v>
                </c:pt>
                <c:pt idx="216">
                  <c:v>236</c:v>
                </c:pt>
                <c:pt idx="217">
                  <c:v>240.14392857142857</c:v>
                </c:pt>
                <c:pt idx="218">
                  <c:v>245</c:v>
                </c:pt>
                <c:pt idx="219">
                  <c:v>245.06491071428573</c:v>
                </c:pt>
                <c:pt idx="220">
                  <c:v>250</c:v>
                </c:pt>
                <c:pt idx="221">
                  <c:v>250</c:v>
                </c:pt>
                <c:pt idx="222">
                  <c:v>255</c:v>
                </c:pt>
                <c:pt idx="223">
                  <c:v>260</c:v>
                </c:pt>
                <c:pt idx="224">
                  <c:v>260</c:v>
                </c:pt>
                <c:pt idx="225">
                  <c:v>262.78044642857139</c:v>
                </c:pt>
                <c:pt idx="226">
                  <c:v>263</c:v>
                </c:pt>
                <c:pt idx="227">
                  <c:v>265.73303571428573</c:v>
                </c:pt>
                <c:pt idx="228">
                  <c:v>270</c:v>
                </c:pt>
                <c:pt idx="229">
                  <c:v>279</c:v>
                </c:pt>
                <c:pt idx="230">
                  <c:v>292.5</c:v>
                </c:pt>
                <c:pt idx="231">
                  <c:v>306</c:v>
                </c:pt>
                <c:pt idx="232">
                  <c:v>319</c:v>
                </c:pt>
                <c:pt idx="233">
                  <c:v>330</c:v>
                </c:pt>
                <c:pt idx="234">
                  <c:v>334</c:v>
                </c:pt>
                <c:pt idx="235">
                  <c:v>374</c:v>
                </c:pt>
                <c:pt idx="236">
                  <c:v>375</c:v>
                </c:pt>
                <c:pt idx="237">
                  <c:v>375</c:v>
                </c:pt>
                <c:pt idx="238">
                  <c:v>375</c:v>
                </c:pt>
                <c:pt idx="239">
                  <c:v>375</c:v>
                </c:pt>
                <c:pt idx="240">
                  <c:v>375.9630357142857</c:v>
                </c:pt>
                <c:pt idx="241">
                  <c:v>376</c:v>
                </c:pt>
                <c:pt idx="242">
                  <c:v>380</c:v>
                </c:pt>
                <c:pt idx="243">
                  <c:v>385</c:v>
                </c:pt>
                <c:pt idx="244">
                  <c:v>385</c:v>
                </c:pt>
                <c:pt idx="245">
                  <c:v>390</c:v>
                </c:pt>
                <c:pt idx="246">
                  <c:v>393.67857142857144</c:v>
                </c:pt>
                <c:pt idx="247">
                  <c:v>400</c:v>
                </c:pt>
                <c:pt idx="248">
                  <c:v>406</c:v>
                </c:pt>
                <c:pt idx="249">
                  <c:v>410</c:v>
                </c:pt>
                <c:pt idx="250">
                  <c:v>423</c:v>
                </c:pt>
                <c:pt idx="251">
                  <c:v>425</c:v>
                </c:pt>
                <c:pt idx="252">
                  <c:v>430</c:v>
                </c:pt>
                <c:pt idx="253">
                  <c:v>443.8725892857143</c:v>
                </c:pt>
                <c:pt idx="254">
                  <c:v>446</c:v>
                </c:pt>
                <c:pt idx="255">
                  <c:v>447</c:v>
                </c:pt>
                <c:pt idx="256">
                  <c:v>447</c:v>
                </c:pt>
                <c:pt idx="257">
                  <c:v>450</c:v>
                </c:pt>
                <c:pt idx="258">
                  <c:v>450</c:v>
                </c:pt>
                <c:pt idx="259">
                  <c:v>475</c:v>
                </c:pt>
                <c:pt idx="260">
                  <c:v>480</c:v>
                </c:pt>
                <c:pt idx="261">
                  <c:v>480</c:v>
                </c:pt>
                <c:pt idx="262">
                  <c:v>488.16142857142853</c:v>
                </c:pt>
                <c:pt idx="263">
                  <c:v>490</c:v>
                </c:pt>
                <c:pt idx="264">
                  <c:v>495.05080357142862</c:v>
                </c:pt>
                <c:pt idx="265">
                  <c:v>500</c:v>
                </c:pt>
                <c:pt idx="266">
                  <c:v>530</c:v>
                </c:pt>
                <c:pt idx="267">
                  <c:v>545</c:v>
                </c:pt>
                <c:pt idx="268">
                  <c:v>550</c:v>
                </c:pt>
                <c:pt idx="269">
                  <c:v>555</c:v>
                </c:pt>
                <c:pt idx="270">
                  <c:v>555</c:v>
                </c:pt>
                <c:pt idx="271">
                  <c:v>580</c:v>
                </c:pt>
              </c:numCache>
            </c:numRef>
          </c:xVal>
          <c:yVal>
            <c:numRef>
              <c:f>'Task 1 Converted AMI PDF Stats'!$R$5:$R$276</c:f>
              <c:numCache>
                <c:formatCode>0.00</c:formatCode>
                <c:ptCount val="272"/>
                <c:pt idx="0">
                  <c:v>5.7241379310344822</c:v>
                </c:pt>
                <c:pt idx="1">
                  <c:v>6.666666666666667</c:v>
                </c:pt>
                <c:pt idx="2">
                  <c:v>6.3058823529411772</c:v>
                </c:pt>
                <c:pt idx="3">
                  <c:v>7.125</c:v>
                </c:pt>
                <c:pt idx="4">
                  <c:v>5.6470588235294121</c:v>
                </c:pt>
                <c:pt idx="5">
                  <c:v>4.8782608695652181</c:v>
                </c:pt>
                <c:pt idx="6">
                  <c:v>6.8705882352941181</c:v>
                </c:pt>
                <c:pt idx="7">
                  <c:v>7.3411764705882359</c:v>
                </c:pt>
                <c:pt idx="8">
                  <c:v>4.5454545454545459</c:v>
                </c:pt>
                <c:pt idx="9">
                  <c:v>4.3859649122807012</c:v>
                </c:pt>
                <c:pt idx="10">
                  <c:v>4.2857142857142865</c:v>
                </c:pt>
                <c:pt idx="11">
                  <c:v>4.2857142857142865</c:v>
                </c:pt>
                <c:pt idx="12">
                  <c:v>4.1803278688524594</c:v>
                </c:pt>
                <c:pt idx="13">
                  <c:v>5.07936507936508</c:v>
                </c:pt>
                <c:pt idx="14">
                  <c:v>4.4202898550724639</c:v>
                </c:pt>
                <c:pt idx="15">
                  <c:v>7.1851851851851842</c:v>
                </c:pt>
                <c:pt idx="16">
                  <c:v>7.1851851851851842</c:v>
                </c:pt>
                <c:pt idx="17">
                  <c:v>7.1851851851851842</c:v>
                </c:pt>
                <c:pt idx="18">
                  <c:v>7.1851851851851842</c:v>
                </c:pt>
                <c:pt idx="19">
                  <c:v>4.7761194029850742</c:v>
                </c:pt>
                <c:pt idx="20">
                  <c:v>4.7681159420289854</c:v>
                </c:pt>
                <c:pt idx="21">
                  <c:v>5.36231884057971</c:v>
                </c:pt>
                <c:pt idx="22">
                  <c:v>7.5925925925925908</c:v>
                </c:pt>
                <c:pt idx="23">
                  <c:v>5.887096774193548</c:v>
                </c:pt>
                <c:pt idx="24">
                  <c:v>5.4545454545454541</c:v>
                </c:pt>
                <c:pt idx="25">
                  <c:v>5.1971830985915499</c:v>
                </c:pt>
                <c:pt idx="26">
                  <c:v>5.1791044776119408</c:v>
                </c:pt>
                <c:pt idx="27">
                  <c:v>6.6180257510729605</c:v>
                </c:pt>
                <c:pt idx="28">
                  <c:v>5.8208955223880592</c:v>
                </c:pt>
                <c:pt idx="29">
                  <c:v>5.9027777777777768</c:v>
                </c:pt>
                <c:pt idx="30">
                  <c:v>5.906779661016949</c:v>
                </c:pt>
                <c:pt idx="31">
                  <c:v>6.0714285714285712</c:v>
                </c:pt>
                <c:pt idx="32">
                  <c:v>5.0789473684210531</c:v>
                </c:pt>
                <c:pt idx="33">
                  <c:v>5.0789473684210531</c:v>
                </c:pt>
                <c:pt idx="34">
                  <c:v>5.0789473684210531</c:v>
                </c:pt>
                <c:pt idx="35">
                  <c:v>5.6764705882352944</c:v>
                </c:pt>
                <c:pt idx="36">
                  <c:v>5.125</c:v>
                </c:pt>
                <c:pt idx="37">
                  <c:v>5.0789473684210531</c:v>
                </c:pt>
                <c:pt idx="38">
                  <c:v>5.0789473684210531</c:v>
                </c:pt>
                <c:pt idx="39">
                  <c:v>7.1093749999999991</c:v>
                </c:pt>
                <c:pt idx="40">
                  <c:v>4.8421052631578947</c:v>
                </c:pt>
                <c:pt idx="41">
                  <c:v>6.9117647058823524</c:v>
                </c:pt>
                <c:pt idx="42">
                  <c:v>6.1408450704225368</c:v>
                </c:pt>
                <c:pt idx="43">
                  <c:v>6.4142857142857137</c:v>
                </c:pt>
                <c:pt idx="44">
                  <c:v>6.8630136986301373</c:v>
                </c:pt>
                <c:pt idx="45">
                  <c:v>4.9873417721518987</c:v>
                </c:pt>
                <c:pt idx="46">
                  <c:v>6.4142857142857137</c:v>
                </c:pt>
                <c:pt idx="47">
                  <c:v>6.619718309859155</c:v>
                </c:pt>
                <c:pt idx="48">
                  <c:v>6.4285714285714279</c:v>
                </c:pt>
                <c:pt idx="49">
                  <c:v>6.4142857142857137</c:v>
                </c:pt>
                <c:pt idx="50">
                  <c:v>6.4142857142857137</c:v>
                </c:pt>
                <c:pt idx="51">
                  <c:v>6.4142857142857137</c:v>
                </c:pt>
                <c:pt idx="52">
                  <c:v>5.3571428571428568</c:v>
                </c:pt>
                <c:pt idx="53">
                  <c:v>6.4043478260869566</c:v>
                </c:pt>
                <c:pt idx="54">
                  <c:v>6.4142857142857137</c:v>
                </c:pt>
                <c:pt idx="55">
                  <c:v>6.7142857142857135</c:v>
                </c:pt>
                <c:pt idx="56">
                  <c:v>6.7142857142857135</c:v>
                </c:pt>
                <c:pt idx="57">
                  <c:v>6.7043478260869565</c:v>
                </c:pt>
                <c:pt idx="58">
                  <c:v>6.7142857142857135</c:v>
                </c:pt>
                <c:pt idx="59">
                  <c:v>6.7142857142857135</c:v>
                </c:pt>
                <c:pt idx="60">
                  <c:v>6.0675675675675667</c:v>
                </c:pt>
                <c:pt idx="61">
                  <c:v>7.3561643835616444</c:v>
                </c:pt>
                <c:pt idx="62">
                  <c:v>6.1351351351351342</c:v>
                </c:pt>
                <c:pt idx="63">
                  <c:v>6.4142857142857137</c:v>
                </c:pt>
                <c:pt idx="64">
                  <c:v>6.8767123287671232</c:v>
                </c:pt>
                <c:pt idx="65">
                  <c:v>6.8767123287671232</c:v>
                </c:pt>
                <c:pt idx="66">
                  <c:v>6.64</c:v>
                </c:pt>
                <c:pt idx="67">
                  <c:v>6.619718309859155</c:v>
                </c:pt>
                <c:pt idx="68">
                  <c:v>6.9014084507042268</c:v>
                </c:pt>
                <c:pt idx="69">
                  <c:v>7.5466666666666669</c:v>
                </c:pt>
                <c:pt idx="70">
                  <c:v>5.2717391304347831</c:v>
                </c:pt>
                <c:pt idx="71">
                  <c:v>7.6447368421052628</c:v>
                </c:pt>
                <c:pt idx="72">
                  <c:v>7.384615384615385</c:v>
                </c:pt>
                <c:pt idx="73">
                  <c:v>8.1666666666666661</c:v>
                </c:pt>
                <c:pt idx="74">
                  <c:v>7.6447368421052628</c:v>
                </c:pt>
                <c:pt idx="75">
                  <c:v>6.9146341463414647</c:v>
                </c:pt>
                <c:pt idx="76">
                  <c:v>6.8292682926829285</c:v>
                </c:pt>
                <c:pt idx="77">
                  <c:v>6.8292682926829285</c:v>
                </c:pt>
                <c:pt idx="78">
                  <c:v>7.0250000000000004</c:v>
                </c:pt>
                <c:pt idx="79">
                  <c:v>7.6447368421052628</c:v>
                </c:pt>
                <c:pt idx="80">
                  <c:v>7.3947368421052637</c:v>
                </c:pt>
                <c:pt idx="81">
                  <c:v>6.9146341463414647</c:v>
                </c:pt>
                <c:pt idx="82">
                  <c:v>7.9743589743589745</c:v>
                </c:pt>
                <c:pt idx="83">
                  <c:v>7.6052631578947354</c:v>
                </c:pt>
                <c:pt idx="84">
                  <c:v>7.6447368421052628</c:v>
                </c:pt>
                <c:pt idx="85">
                  <c:v>7.4358974358974361</c:v>
                </c:pt>
                <c:pt idx="86">
                  <c:v>6.8636363636363633</c:v>
                </c:pt>
                <c:pt idx="87">
                  <c:v>8.7222222222222214</c:v>
                </c:pt>
                <c:pt idx="88">
                  <c:v>8.7222222222222214</c:v>
                </c:pt>
                <c:pt idx="89">
                  <c:v>8.7222222222222214</c:v>
                </c:pt>
                <c:pt idx="90">
                  <c:v>8.1184210526315788</c:v>
                </c:pt>
                <c:pt idx="91">
                  <c:v>8.1184210526315788</c:v>
                </c:pt>
                <c:pt idx="92">
                  <c:v>7.5180722891566258</c:v>
                </c:pt>
                <c:pt idx="93">
                  <c:v>6.526315789473685</c:v>
                </c:pt>
                <c:pt idx="94">
                  <c:v>5.8095238095238102</c:v>
                </c:pt>
                <c:pt idx="95">
                  <c:v>5.4999999999999991</c:v>
                </c:pt>
                <c:pt idx="96">
                  <c:v>5.0789473684210531</c:v>
                </c:pt>
                <c:pt idx="97">
                  <c:v>6.1408450704225368</c:v>
                </c:pt>
                <c:pt idx="98">
                  <c:v>5.0789473684210531</c:v>
                </c:pt>
                <c:pt idx="99">
                  <c:v>6.0000000000000009</c:v>
                </c:pt>
                <c:pt idx="100">
                  <c:v>6.1204819277108422</c:v>
                </c:pt>
                <c:pt idx="101">
                  <c:v>5.0561797752808983</c:v>
                </c:pt>
                <c:pt idx="102">
                  <c:v>6.8421052631578947</c:v>
                </c:pt>
                <c:pt idx="103">
                  <c:v>8.1666666666666661</c:v>
                </c:pt>
                <c:pt idx="104">
                  <c:v>7.384615384615385</c:v>
                </c:pt>
                <c:pt idx="105">
                  <c:v>7.4358974358974361</c:v>
                </c:pt>
                <c:pt idx="106">
                  <c:v>7.7857142857142865</c:v>
                </c:pt>
                <c:pt idx="107">
                  <c:v>7.6190476190476195</c:v>
                </c:pt>
                <c:pt idx="108">
                  <c:v>5.7706535141800241</c:v>
                </c:pt>
                <c:pt idx="109">
                  <c:v>4.5</c:v>
                </c:pt>
                <c:pt idx="110">
                  <c:v>6.0196905766526019</c:v>
                </c:pt>
                <c:pt idx="111">
                  <c:v>5.0000000000000009</c:v>
                </c:pt>
                <c:pt idx="112">
                  <c:v>4.8000000000000007</c:v>
                </c:pt>
                <c:pt idx="113">
                  <c:v>5.1724137931034484</c:v>
                </c:pt>
                <c:pt idx="114">
                  <c:v>5.5918367346938762</c:v>
                </c:pt>
                <c:pt idx="115">
                  <c:v>4.5438596491228065</c:v>
                </c:pt>
                <c:pt idx="116">
                  <c:v>6.75</c:v>
                </c:pt>
                <c:pt idx="117">
                  <c:v>4.1538461538461542</c:v>
                </c:pt>
                <c:pt idx="118">
                  <c:v>4.4642857142857153</c:v>
                </c:pt>
                <c:pt idx="119">
                  <c:v>4.709090909090909</c:v>
                </c:pt>
                <c:pt idx="120">
                  <c:v>4.4642857142857153</c:v>
                </c:pt>
                <c:pt idx="121">
                  <c:v>4.8653846153846159</c:v>
                </c:pt>
                <c:pt idx="122">
                  <c:v>4.7735849056603783</c:v>
                </c:pt>
                <c:pt idx="123">
                  <c:v>4.8653846153846159</c:v>
                </c:pt>
                <c:pt idx="124">
                  <c:v>5.1219512195121952</c:v>
                </c:pt>
                <c:pt idx="125">
                  <c:v>6.1489361702127647</c:v>
                </c:pt>
                <c:pt idx="126">
                  <c:v>4.3103448275862073</c:v>
                </c:pt>
                <c:pt idx="127">
                  <c:v>4.7619047619047628</c:v>
                </c:pt>
                <c:pt idx="128">
                  <c:v>4.4406779661016937</c:v>
                </c:pt>
                <c:pt idx="129">
                  <c:v>5.8000000000000007</c:v>
                </c:pt>
                <c:pt idx="130">
                  <c:v>4.6875</c:v>
                </c:pt>
                <c:pt idx="131">
                  <c:v>5.161290322580645</c:v>
                </c:pt>
                <c:pt idx="132">
                  <c:v>4.5689655172413799</c:v>
                </c:pt>
                <c:pt idx="133">
                  <c:v>5.5357142857142865</c:v>
                </c:pt>
                <c:pt idx="134">
                  <c:v>5.8000000000000007</c:v>
                </c:pt>
                <c:pt idx="135">
                  <c:v>4.1515151515151514</c:v>
                </c:pt>
                <c:pt idx="136">
                  <c:v>5.07936507936508</c:v>
                </c:pt>
                <c:pt idx="137">
                  <c:v>5.1219512195121952</c:v>
                </c:pt>
                <c:pt idx="138">
                  <c:v>4.5890410958904111</c:v>
                </c:pt>
                <c:pt idx="139">
                  <c:v>4.6101694915254239</c:v>
                </c:pt>
                <c:pt idx="140">
                  <c:v>5.1269841269841265</c:v>
                </c:pt>
                <c:pt idx="141">
                  <c:v>4.5689655172413799</c:v>
                </c:pt>
                <c:pt idx="142">
                  <c:v>4.3283582089552235</c:v>
                </c:pt>
                <c:pt idx="143">
                  <c:v>5.8000000000000007</c:v>
                </c:pt>
                <c:pt idx="144">
                  <c:v>5.2333333333333325</c:v>
                </c:pt>
                <c:pt idx="145">
                  <c:v>4.693548387096774</c:v>
                </c:pt>
                <c:pt idx="146">
                  <c:v>5.4137931034482767</c:v>
                </c:pt>
                <c:pt idx="147">
                  <c:v>4.6612903225806441</c:v>
                </c:pt>
                <c:pt idx="148">
                  <c:v>4.6612903225806441</c:v>
                </c:pt>
                <c:pt idx="149">
                  <c:v>4.9384615384615378</c:v>
                </c:pt>
                <c:pt idx="150">
                  <c:v>4.4666666666666668</c:v>
                </c:pt>
                <c:pt idx="151">
                  <c:v>4.765625</c:v>
                </c:pt>
                <c:pt idx="152">
                  <c:v>4.6875</c:v>
                </c:pt>
                <c:pt idx="153">
                  <c:v>4.9824561403508758</c:v>
                </c:pt>
                <c:pt idx="154">
                  <c:v>4.7571428571428562</c:v>
                </c:pt>
                <c:pt idx="155">
                  <c:v>5.0000000000000009</c:v>
                </c:pt>
                <c:pt idx="156">
                  <c:v>5.8653846153846159</c:v>
                </c:pt>
                <c:pt idx="157">
                  <c:v>5.234375</c:v>
                </c:pt>
                <c:pt idx="158">
                  <c:v>5.9615384615384617</c:v>
                </c:pt>
                <c:pt idx="159">
                  <c:v>4.9253731343283578</c:v>
                </c:pt>
                <c:pt idx="160">
                  <c:v>5.5555555555555562</c:v>
                </c:pt>
                <c:pt idx="161">
                  <c:v>5.5172413793103452</c:v>
                </c:pt>
                <c:pt idx="162">
                  <c:v>5.3442622950819674</c:v>
                </c:pt>
                <c:pt idx="163">
                  <c:v>4.7014925373134329</c:v>
                </c:pt>
                <c:pt idx="164">
                  <c:v>5.2238805970149249</c:v>
                </c:pt>
                <c:pt idx="165">
                  <c:v>5.3442622950819674</c:v>
                </c:pt>
                <c:pt idx="166">
                  <c:v>5.1793721973094167</c:v>
                </c:pt>
                <c:pt idx="167">
                  <c:v>5.2333333333333325</c:v>
                </c:pt>
                <c:pt idx="168">
                  <c:v>6.2758620689655178</c:v>
                </c:pt>
                <c:pt idx="169">
                  <c:v>6.4814814814814801</c:v>
                </c:pt>
                <c:pt idx="170">
                  <c:v>5.0151515151515156</c:v>
                </c:pt>
                <c:pt idx="171">
                  <c:v>4.7260273972602738</c:v>
                </c:pt>
                <c:pt idx="172">
                  <c:v>4.828125</c:v>
                </c:pt>
                <c:pt idx="173">
                  <c:v>4.828125</c:v>
                </c:pt>
                <c:pt idx="174">
                  <c:v>5.4090909090909101</c:v>
                </c:pt>
                <c:pt idx="175">
                  <c:v>5.9836065573770494</c:v>
                </c:pt>
                <c:pt idx="176">
                  <c:v>5.887096774193548</c:v>
                </c:pt>
                <c:pt idx="177">
                  <c:v>4.6578947368421053</c:v>
                </c:pt>
                <c:pt idx="178">
                  <c:v>3.5555555555555558</c:v>
                </c:pt>
                <c:pt idx="179">
                  <c:v>6.2413793103448283</c:v>
                </c:pt>
                <c:pt idx="180">
                  <c:v>5.3770491803278686</c:v>
                </c:pt>
                <c:pt idx="181">
                  <c:v>6.8474576271186427</c:v>
                </c:pt>
                <c:pt idx="182">
                  <c:v>3.9540229885057472</c:v>
                </c:pt>
                <c:pt idx="183">
                  <c:v>4.8461538461538458</c:v>
                </c:pt>
                <c:pt idx="184">
                  <c:v>4.2666666666666666</c:v>
                </c:pt>
                <c:pt idx="185">
                  <c:v>5.4347826086956514</c:v>
                </c:pt>
                <c:pt idx="186">
                  <c:v>3.8888888888888888</c:v>
                </c:pt>
                <c:pt idx="187">
                  <c:v>3.8888888888888888</c:v>
                </c:pt>
                <c:pt idx="188">
                  <c:v>3.8888888888888888</c:v>
                </c:pt>
                <c:pt idx="189">
                  <c:v>5.234375</c:v>
                </c:pt>
                <c:pt idx="190">
                  <c:v>3.9756097560975614</c:v>
                </c:pt>
                <c:pt idx="191">
                  <c:v>6.9999999999999991</c:v>
                </c:pt>
                <c:pt idx="192">
                  <c:v>6.2812500000000009</c:v>
                </c:pt>
                <c:pt idx="193">
                  <c:v>5.8579462326261886</c:v>
                </c:pt>
                <c:pt idx="194">
                  <c:v>6.2812500000000009</c:v>
                </c:pt>
                <c:pt idx="195">
                  <c:v>5.8208955223880592</c:v>
                </c:pt>
                <c:pt idx="196">
                  <c:v>4.9253731343283578</c:v>
                </c:pt>
                <c:pt idx="197">
                  <c:v>4.0232558139534884</c:v>
                </c:pt>
                <c:pt idx="198">
                  <c:v>5.9382716049382722</c:v>
                </c:pt>
                <c:pt idx="199">
                  <c:v>4.9420289855072461</c:v>
                </c:pt>
                <c:pt idx="200">
                  <c:v>5.208333333333333</c:v>
                </c:pt>
                <c:pt idx="201">
                  <c:v>6.1470588235294112</c:v>
                </c:pt>
                <c:pt idx="202">
                  <c:v>6.8412698412698427</c:v>
                </c:pt>
                <c:pt idx="203">
                  <c:v>5.7323943661971848</c:v>
                </c:pt>
                <c:pt idx="204">
                  <c:v>5.7357723577235769</c:v>
                </c:pt>
                <c:pt idx="205">
                  <c:v>6.4043478260869566</c:v>
                </c:pt>
                <c:pt idx="206">
                  <c:v>4.8624999999999998</c:v>
                </c:pt>
                <c:pt idx="207">
                  <c:v>5.4347826086956514</c:v>
                </c:pt>
                <c:pt idx="208">
                  <c:v>5</c:v>
                </c:pt>
                <c:pt idx="209">
                  <c:v>4.8250000000000002</c:v>
                </c:pt>
                <c:pt idx="210">
                  <c:v>6.0597014925373127</c:v>
                </c:pt>
                <c:pt idx="211">
                  <c:v>4.2558139534883725</c:v>
                </c:pt>
                <c:pt idx="212">
                  <c:v>5.04</c:v>
                </c:pt>
                <c:pt idx="213">
                  <c:v>4.9873417721518987</c:v>
                </c:pt>
                <c:pt idx="214">
                  <c:v>5.5260869565217385</c:v>
                </c:pt>
                <c:pt idx="215">
                  <c:v>6.1351351351351342</c:v>
                </c:pt>
                <c:pt idx="216">
                  <c:v>5.9423868312757202</c:v>
                </c:pt>
                <c:pt idx="217">
                  <c:v>6.1408450704225368</c:v>
                </c:pt>
                <c:pt idx="218">
                  <c:v>5.887323943661972</c:v>
                </c:pt>
                <c:pt idx="219">
                  <c:v>5.1219512195121952</c:v>
                </c:pt>
                <c:pt idx="220">
                  <c:v>6.7605633802816918</c:v>
                </c:pt>
                <c:pt idx="221">
                  <c:v>6.7605633802816918</c:v>
                </c:pt>
                <c:pt idx="222">
                  <c:v>6.4043478260869566</c:v>
                </c:pt>
                <c:pt idx="223">
                  <c:v>6.4146341463414638</c:v>
                </c:pt>
                <c:pt idx="224">
                  <c:v>6.1382113821138207</c:v>
                </c:pt>
                <c:pt idx="225">
                  <c:v>6.1999999999999993</c:v>
                </c:pt>
                <c:pt idx="226">
                  <c:v>6.1999999999999993</c:v>
                </c:pt>
                <c:pt idx="227">
                  <c:v>5.3822314049586781</c:v>
                </c:pt>
                <c:pt idx="228">
                  <c:v>6.8630136986301373</c:v>
                </c:pt>
                <c:pt idx="229">
                  <c:v>5.9459459459459456</c:v>
                </c:pt>
                <c:pt idx="230">
                  <c:v>5.7142857142857135</c:v>
                </c:pt>
                <c:pt idx="231">
                  <c:v>6.1341463414634143</c:v>
                </c:pt>
                <c:pt idx="232">
                  <c:v>6.7272727272727275</c:v>
                </c:pt>
                <c:pt idx="233">
                  <c:v>5.6857142857142851</c:v>
                </c:pt>
                <c:pt idx="234">
                  <c:v>6.5696202531645564</c:v>
                </c:pt>
                <c:pt idx="235">
                  <c:v>5.4</c:v>
                </c:pt>
                <c:pt idx="236">
                  <c:v>6.8089887640449431</c:v>
                </c:pt>
                <c:pt idx="237">
                  <c:v>8.1666666666666661</c:v>
                </c:pt>
                <c:pt idx="238">
                  <c:v>8.1666666666666661</c:v>
                </c:pt>
                <c:pt idx="239">
                  <c:v>7.5657894736842106</c:v>
                </c:pt>
                <c:pt idx="240">
                  <c:v>6.2555555555555546</c:v>
                </c:pt>
                <c:pt idx="241">
                  <c:v>6.2555555555555546</c:v>
                </c:pt>
                <c:pt idx="242">
                  <c:v>6.5325203252032509</c:v>
                </c:pt>
                <c:pt idx="243">
                  <c:v>4.7619047619047628</c:v>
                </c:pt>
                <c:pt idx="244">
                  <c:v>8.3055555555555554</c:v>
                </c:pt>
                <c:pt idx="245">
                  <c:v>5.4799999999999995</c:v>
                </c:pt>
                <c:pt idx="246">
                  <c:v>6.9146341463414647</c:v>
                </c:pt>
                <c:pt idx="247">
                  <c:v>6.5333333333333341</c:v>
                </c:pt>
                <c:pt idx="248">
                  <c:v>6.8125</c:v>
                </c:pt>
                <c:pt idx="249">
                  <c:v>5.2981366459627326</c:v>
                </c:pt>
                <c:pt idx="250">
                  <c:v>7.6447368421052628</c:v>
                </c:pt>
                <c:pt idx="251">
                  <c:v>7.6447368421052628</c:v>
                </c:pt>
                <c:pt idx="252">
                  <c:v>7</c:v>
                </c:pt>
                <c:pt idx="253">
                  <c:v>7.6447368421052628</c:v>
                </c:pt>
                <c:pt idx="254">
                  <c:v>6.8250000000000002</c:v>
                </c:pt>
                <c:pt idx="255">
                  <c:v>7.6447368421052628</c:v>
                </c:pt>
                <c:pt idx="256">
                  <c:v>7.6447368421052628</c:v>
                </c:pt>
                <c:pt idx="257">
                  <c:v>5.8333333333333339</c:v>
                </c:pt>
                <c:pt idx="258">
                  <c:v>6.2959641255605385</c:v>
                </c:pt>
                <c:pt idx="259">
                  <c:v>6.8125</c:v>
                </c:pt>
                <c:pt idx="260">
                  <c:v>6.0000000000000009</c:v>
                </c:pt>
                <c:pt idx="261">
                  <c:v>7.073170731707318</c:v>
                </c:pt>
                <c:pt idx="262">
                  <c:v>8.1184210526315788</c:v>
                </c:pt>
                <c:pt idx="263">
                  <c:v>8.8888888888888893</c:v>
                </c:pt>
                <c:pt idx="264">
                  <c:v>7.1728395061728394</c:v>
                </c:pt>
                <c:pt idx="265">
                  <c:v>6.395348837209303</c:v>
                </c:pt>
                <c:pt idx="266">
                  <c:v>5.8192771084337336</c:v>
                </c:pt>
                <c:pt idx="267">
                  <c:v>5.7058823529411766</c:v>
                </c:pt>
                <c:pt idx="268">
                  <c:v>5.6395348837209305</c:v>
                </c:pt>
                <c:pt idx="269">
                  <c:v>5.65</c:v>
                </c:pt>
                <c:pt idx="270">
                  <c:v>5.2190476190476192</c:v>
                </c:pt>
                <c:pt idx="271">
                  <c:v>5.6140350877192979</c:v>
                </c:pt>
              </c:numCache>
            </c:numRef>
          </c:yVal>
          <c:smooth val="1"/>
          <c:extLst>
            <c:ext xmlns:c16="http://schemas.microsoft.com/office/drawing/2014/chart" uri="{C3380CC4-5D6E-409C-BE32-E72D297353CC}">
              <c16:uniqueId val="{00000000-A44D-414D-A033-99B49388F0A6}"/>
            </c:ext>
          </c:extLst>
        </c:ser>
        <c:ser>
          <c:idx val="1"/>
          <c:order val="1"/>
          <c:tx>
            <c:strRef>
              <c:f>'Task 1 Converted AMI PDF Stats'!$A$5</c:f>
              <c:strCache>
                <c:ptCount val="1"/>
                <c:pt idx="0">
                  <c:v>Corvette</c:v>
                </c:pt>
              </c:strCache>
            </c:strRef>
          </c:tx>
          <c:spPr>
            <a:ln w="19050">
              <a:noFill/>
            </a:ln>
          </c:spPr>
          <c:marker>
            <c:symbol val="square"/>
            <c:size val="5"/>
            <c:spPr>
              <a:solidFill>
                <a:srgbClr val="99CCFF"/>
              </a:solidFill>
              <a:ln>
                <a:solidFill>
                  <a:srgbClr val="0000FF"/>
                </a:solidFill>
                <a:prstDash val="solid"/>
              </a:ln>
            </c:spPr>
          </c:marker>
          <c:trendline>
            <c:spPr>
              <a:ln w="25400">
                <a:solidFill>
                  <a:srgbClr val="0000FF"/>
                </a:solidFill>
                <a:prstDash val="solid"/>
              </a:ln>
            </c:spPr>
            <c:trendlineType val="power"/>
            <c:dispRSqr val="1"/>
            <c:dispEq val="1"/>
            <c:trendlineLbl>
              <c:layout>
                <c:manualLayout>
                  <c:x val="0.19362303546401194"/>
                  <c:y val="-0.24569536991394139"/>
                </c:manualLayout>
              </c:layout>
              <c:numFmt formatCode="General" sourceLinked="0"/>
              <c:spPr>
                <a:no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'Task 1 Converted AMI PDF Stats'!$I$5:$I$12</c:f>
              <c:numCache>
                <c:formatCode>0</c:formatCode>
                <c:ptCount val="8"/>
                <c:pt idx="0">
                  <c:v>325.76901785714284</c:v>
                </c:pt>
                <c:pt idx="1">
                  <c:v>334.62678571428569</c:v>
                </c:pt>
                <c:pt idx="2">
                  <c:v>384.82080357142854</c:v>
                </c:pt>
                <c:pt idx="3">
                  <c:v>398.59955357142854</c:v>
                </c:pt>
                <c:pt idx="4">
                  <c:v>440</c:v>
                </c:pt>
                <c:pt idx="5">
                  <c:v>454.69874999999996</c:v>
                </c:pt>
                <c:pt idx="6">
                  <c:v>540.32383928571426</c:v>
                </c:pt>
                <c:pt idx="7">
                  <c:v>585.59687499999995</c:v>
                </c:pt>
              </c:numCache>
            </c:numRef>
          </c:xVal>
          <c:yVal>
            <c:numRef>
              <c:f>'Task 1 Converted AMI PDF Stats'!$R$5:$R$12</c:f>
              <c:numCache>
                <c:formatCode>0.00</c:formatCode>
                <c:ptCount val="8"/>
                <c:pt idx="0">
                  <c:v>5.7241379310344822</c:v>
                </c:pt>
                <c:pt idx="1">
                  <c:v>6.666666666666667</c:v>
                </c:pt>
                <c:pt idx="2">
                  <c:v>6.3058823529411772</c:v>
                </c:pt>
                <c:pt idx="3">
                  <c:v>7.125</c:v>
                </c:pt>
                <c:pt idx="4">
                  <c:v>5.6470588235294121</c:v>
                </c:pt>
                <c:pt idx="5">
                  <c:v>4.8782608695652181</c:v>
                </c:pt>
                <c:pt idx="6">
                  <c:v>6.8705882352941181</c:v>
                </c:pt>
                <c:pt idx="7">
                  <c:v>7.3411764705882359</c:v>
                </c:pt>
              </c:numCache>
            </c:numRef>
          </c:yVal>
          <c:smooth val="1"/>
          <c:extLst>
            <c:ext xmlns:c16="http://schemas.microsoft.com/office/drawing/2014/chart" uri="{C3380CC4-5D6E-409C-BE32-E72D297353CC}">
              <c16:uniqueId val="{00000001-A44D-414D-A033-99B49388F0A6}"/>
            </c:ext>
          </c:extLst>
        </c:ser>
        <c:ser>
          <c:idx val="2"/>
          <c:order val="2"/>
          <c:tx>
            <c:strRef>
              <c:f>'Task 1 Converted AMI PDF Stats'!$A$13</c:f>
              <c:strCache>
                <c:ptCount val="1"/>
                <c:pt idx="0">
                  <c:v>FAC</c:v>
                </c:pt>
              </c:strCache>
            </c:strRef>
          </c:tx>
          <c:spPr>
            <a:ln w="19050">
              <a:noFill/>
            </a:ln>
          </c:spPr>
          <c:marker>
            <c:symbol val="diamond"/>
            <c:size val="5"/>
            <c:spPr>
              <a:solidFill>
                <a:srgbClr val="FF99CC"/>
              </a:solidFill>
              <a:ln>
                <a:solidFill>
                  <a:srgbClr val="FF0000"/>
                </a:solidFill>
                <a:prstDash val="solid"/>
              </a:ln>
            </c:spPr>
          </c:marker>
          <c:trendline>
            <c:spPr>
              <a:ln w="25400">
                <a:solidFill>
                  <a:srgbClr val="FF0000"/>
                </a:solidFill>
                <a:prstDash val="solid"/>
              </a:ln>
            </c:spPr>
            <c:trendlineType val="power"/>
            <c:dispRSqr val="1"/>
            <c:dispEq val="1"/>
            <c:trendlineLbl>
              <c:layout>
                <c:manualLayout>
                  <c:x val="0.197894663566343"/>
                  <c:y val="2.4106285939759775E-3"/>
                </c:manualLayout>
              </c:layout>
              <c:numFmt formatCode="General" sourceLinked="0"/>
              <c:spPr>
                <a:no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'Task 1 Converted AMI PDF Stats'!$I$13:$I$98</c:f>
              <c:numCache>
                <c:formatCode>0</c:formatCode>
                <c:ptCount val="86"/>
                <c:pt idx="0">
                  <c:v>52</c:v>
                </c:pt>
                <c:pt idx="1">
                  <c:v>58</c:v>
                </c:pt>
                <c:pt idx="2">
                  <c:v>79.2</c:v>
                </c:pt>
                <c:pt idx="3">
                  <c:v>79.2</c:v>
                </c:pt>
                <c:pt idx="4">
                  <c:v>82</c:v>
                </c:pt>
                <c:pt idx="5">
                  <c:v>111</c:v>
                </c:pt>
                <c:pt idx="6">
                  <c:v>124</c:v>
                </c:pt>
                <c:pt idx="7">
                  <c:v>131</c:v>
                </c:pt>
                <c:pt idx="8">
                  <c:v>134</c:v>
                </c:pt>
                <c:pt idx="9">
                  <c:v>134</c:v>
                </c:pt>
                <c:pt idx="10">
                  <c:v>139</c:v>
                </c:pt>
                <c:pt idx="11">
                  <c:v>142</c:v>
                </c:pt>
                <c:pt idx="12">
                  <c:v>143</c:v>
                </c:pt>
                <c:pt idx="13">
                  <c:v>148</c:v>
                </c:pt>
                <c:pt idx="14">
                  <c:v>150</c:v>
                </c:pt>
                <c:pt idx="15">
                  <c:v>160</c:v>
                </c:pt>
                <c:pt idx="16">
                  <c:v>160</c:v>
                </c:pt>
                <c:pt idx="17">
                  <c:v>170</c:v>
                </c:pt>
                <c:pt idx="18">
                  <c:v>170</c:v>
                </c:pt>
                <c:pt idx="19">
                  <c:v>175</c:v>
                </c:pt>
                <c:pt idx="20">
                  <c:v>185</c:v>
                </c:pt>
                <c:pt idx="21">
                  <c:v>190</c:v>
                </c:pt>
                <c:pt idx="22">
                  <c:v>190</c:v>
                </c:pt>
                <c:pt idx="23">
                  <c:v>190</c:v>
                </c:pt>
                <c:pt idx="24">
                  <c:v>205</c:v>
                </c:pt>
                <c:pt idx="25">
                  <c:v>205</c:v>
                </c:pt>
                <c:pt idx="26">
                  <c:v>205</c:v>
                </c:pt>
                <c:pt idx="27">
                  <c:v>205</c:v>
                </c:pt>
                <c:pt idx="28">
                  <c:v>206</c:v>
                </c:pt>
                <c:pt idx="29">
                  <c:v>210</c:v>
                </c:pt>
                <c:pt idx="30">
                  <c:v>210</c:v>
                </c:pt>
                <c:pt idx="31">
                  <c:v>212</c:v>
                </c:pt>
                <c:pt idx="32">
                  <c:v>215</c:v>
                </c:pt>
                <c:pt idx="33">
                  <c:v>225</c:v>
                </c:pt>
                <c:pt idx="34">
                  <c:v>240</c:v>
                </c:pt>
                <c:pt idx="35">
                  <c:v>244</c:v>
                </c:pt>
                <c:pt idx="36">
                  <c:v>245</c:v>
                </c:pt>
                <c:pt idx="37">
                  <c:v>253</c:v>
                </c:pt>
                <c:pt idx="38">
                  <c:v>254</c:v>
                </c:pt>
                <c:pt idx="39">
                  <c:v>255</c:v>
                </c:pt>
                <c:pt idx="40">
                  <c:v>255</c:v>
                </c:pt>
                <c:pt idx="41">
                  <c:v>255</c:v>
                </c:pt>
                <c:pt idx="42">
                  <c:v>259</c:v>
                </c:pt>
                <c:pt idx="43">
                  <c:v>260</c:v>
                </c:pt>
                <c:pt idx="44">
                  <c:v>260</c:v>
                </c:pt>
                <c:pt idx="45">
                  <c:v>260</c:v>
                </c:pt>
                <c:pt idx="46">
                  <c:v>260</c:v>
                </c:pt>
                <c:pt idx="47">
                  <c:v>265</c:v>
                </c:pt>
                <c:pt idx="48">
                  <c:v>265</c:v>
                </c:pt>
                <c:pt idx="49">
                  <c:v>265</c:v>
                </c:pt>
                <c:pt idx="50">
                  <c:v>265</c:v>
                </c:pt>
                <c:pt idx="51">
                  <c:v>265</c:v>
                </c:pt>
                <c:pt idx="52">
                  <c:v>268</c:v>
                </c:pt>
                <c:pt idx="53">
                  <c:v>268</c:v>
                </c:pt>
                <c:pt idx="54">
                  <c:v>268</c:v>
                </c:pt>
                <c:pt idx="55">
                  <c:v>269</c:v>
                </c:pt>
                <c:pt idx="56">
                  <c:v>270</c:v>
                </c:pt>
                <c:pt idx="57">
                  <c:v>270</c:v>
                </c:pt>
                <c:pt idx="58">
                  <c:v>270</c:v>
                </c:pt>
                <c:pt idx="59">
                  <c:v>275</c:v>
                </c:pt>
                <c:pt idx="60">
                  <c:v>311</c:v>
                </c:pt>
                <c:pt idx="61">
                  <c:v>358</c:v>
                </c:pt>
                <c:pt idx="62">
                  <c:v>375</c:v>
                </c:pt>
                <c:pt idx="63">
                  <c:v>389</c:v>
                </c:pt>
                <c:pt idx="64">
                  <c:v>391</c:v>
                </c:pt>
                <c:pt idx="65">
                  <c:v>392</c:v>
                </c:pt>
                <c:pt idx="66">
                  <c:v>393</c:v>
                </c:pt>
                <c:pt idx="67">
                  <c:v>394</c:v>
                </c:pt>
                <c:pt idx="68">
                  <c:v>395</c:v>
                </c:pt>
                <c:pt idx="69">
                  <c:v>425</c:v>
                </c:pt>
                <c:pt idx="70">
                  <c:v>425</c:v>
                </c:pt>
                <c:pt idx="71">
                  <c:v>425</c:v>
                </c:pt>
                <c:pt idx="72">
                  <c:v>430</c:v>
                </c:pt>
                <c:pt idx="73">
                  <c:v>430</c:v>
                </c:pt>
                <c:pt idx="74">
                  <c:v>430</c:v>
                </c:pt>
                <c:pt idx="75">
                  <c:v>433</c:v>
                </c:pt>
                <c:pt idx="76">
                  <c:v>436</c:v>
                </c:pt>
                <c:pt idx="77">
                  <c:v>450</c:v>
                </c:pt>
                <c:pt idx="78">
                  <c:v>450</c:v>
                </c:pt>
                <c:pt idx="79">
                  <c:v>478</c:v>
                </c:pt>
                <c:pt idx="80">
                  <c:v>478</c:v>
                </c:pt>
                <c:pt idx="81">
                  <c:v>478</c:v>
                </c:pt>
                <c:pt idx="82">
                  <c:v>488</c:v>
                </c:pt>
                <c:pt idx="83">
                  <c:v>498</c:v>
                </c:pt>
                <c:pt idx="84">
                  <c:v>550</c:v>
                </c:pt>
                <c:pt idx="85">
                  <c:v>580</c:v>
                </c:pt>
              </c:numCache>
            </c:numRef>
          </c:xVal>
          <c:yVal>
            <c:numRef>
              <c:f>'Task 1 Converted AMI PDF Stats'!$R$13:$R$98</c:f>
              <c:numCache>
                <c:formatCode>0.00</c:formatCode>
                <c:ptCount val="86"/>
                <c:pt idx="0">
                  <c:v>4.5454545454545459</c:v>
                </c:pt>
                <c:pt idx="1">
                  <c:v>4.3859649122807012</c:v>
                </c:pt>
                <c:pt idx="2">
                  <c:v>4.2857142857142865</c:v>
                </c:pt>
                <c:pt idx="3">
                  <c:v>4.2857142857142865</c:v>
                </c:pt>
                <c:pt idx="4">
                  <c:v>4.1803278688524594</c:v>
                </c:pt>
                <c:pt idx="5">
                  <c:v>5.07936507936508</c:v>
                </c:pt>
                <c:pt idx="6">
                  <c:v>4.4202898550724639</c:v>
                </c:pt>
                <c:pt idx="7">
                  <c:v>7.1851851851851842</c:v>
                </c:pt>
                <c:pt idx="8">
                  <c:v>7.1851851851851842</c:v>
                </c:pt>
                <c:pt idx="9">
                  <c:v>7.1851851851851842</c:v>
                </c:pt>
                <c:pt idx="10">
                  <c:v>7.1851851851851842</c:v>
                </c:pt>
                <c:pt idx="11">
                  <c:v>4.7761194029850742</c:v>
                </c:pt>
                <c:pt idx="12">
                  <c:v>4.7681159420289854</c:v>
                </c:pt>
                <c:pt idx="13">
                  <c:v>5.36231884057971</c:v>
                </c:pt>
                <c:pt idx="14">
                  <c:v>7.5925925925925908</c:v>
                </c:pt>
                <c:pt idx="15">
                  <c:v>5.887096774193548</c:v>
                </c:pt>
                <c:pt idx="16">
                  <c:v>5.4545454545454541</c:v>
                </c:pt>
                <c:pt idx="17">
                  <c:v>5.1971830985915499</c:v>
                </c:pt>
                <c:pt idx="18">
                  <c:v>5.1791044776119408</c:v>
                </c:pt>
                <c:pt idx="19">
                  <c:v>6.6180257510729605</c:v>
                </c:pt>
                <c:pt idx="20">
                  <c:v>5.8208955223880592</c:v>
                </c:pt>
                <c:pt idx="21">
                  <c:v>5.9027777777777768</c:v>
                </c:pt>
                <c:pt idx="22">
                  <c:v>5.906779661016949</c:v>
                </c:pt>
                <c:pt idx="23">
                  <c:v>6.0714285714285712</c:v>
                </c:pt>
                <c:pt idx="24">
                  <c:v>5.0789473684210531</c:v>
                </c:pt>
                <c:pt idx="25">
                  <c:v>5.0789473684210531</c:v>
                </c:pt>
                <c:pt idx="26">
                  <c:v>5.0789473684210531</c:v>
                </c:pt>
                <c:pt idx="27">
                  <c:v>5.6764705882352944</c:v>
                </c:pt>
                <c:pt idx="28">
                  <c:v>5.125</c:v>
                </c:pt>
                <c:pt idx="29">
                  <c:v>5.0789473684210531</c:v>
                </c:pt>
                <c:pt idx="30">
                  <c:v>5.0789473684210531</c:v>
                </c:pt>
                <c:pt idx="31">
                  <c:v>7.1093749999999991</c:v>
                </c:pt>
                <c:pt idx="32">
                  <c:v>4.8421052631578947</c:v>
                </c:pt>
                <c:pt idx="33">
                  <c:v>6.9117647058823524</c:v>
                </c:pt>
                <c:pt idx="34">
                  <c:v>6.1408450704225368</c:v>
                </c:pt>
                <c:pt idx="35">
                  <c:v>6.4142857142857137</c:v>
                </c:pt>
                <c:pt idx="36">
                  <c:v>6.8630136986301373</c:v>
                </c:pt>
                <c:pt idx="37">
                  <c:v>4.9873417721518987</c:v>
                </c:pt>
                <c:pt idx="38">
                  <c:v>6.4142857142857137</c:v>
                </c:pt>
                <c:pt idx="39">
                  <c:v>6.619718309859155</c:v>
                </c:pt>
                <c:pt idx="40">
                  <c:v>6.4285714285714279</c:v>
                </c:pt>
                <c:pt idx="41">
                  <c:v>6.4142857142857137</c:v>
                </c:pt>
                <c:pt idx="42">
                  <c:v>6.4142857142857137</c:v>
                </c:pt>
                <c:pt idx="43">
                  <c:v>6.4142857142857137</c:v>
                </c:pt>
                <c:pt idx="44">
                  <c:v>5.3571428571428568</c:v>
                </c:pt>
                <c:pt idx="45">
                  <c:v>6.4043478260869566</c:v>
                </c:pt>
                <c:pt idx="46">
                  <c:v>6.4142857142857137</c:v>
                </c:pt>
                <c:pt idx="47">
                  <c:v>6.7142857142857135</c:v>
                </c:pt>
                <c:pt idx="48">
                  <c:v>6.7142857142857135</c:v>
                </c:pt>
                <c:pt idx="49">
                  <c:v>6.7043478260869565</c:v>
                </c:pt>
                <c:pt idx="50">
                  <c:v>6.7142857142857135</c:v>
                </c:pt>
                <c:pt idx="51">
                  <c:v>6.7142857142857135</c:v>
                </c:pt>
                <c:pt idx="52">
                  <c:v>6.0675675675675667</c:v>
                </c:pt>
                <c:pt idx="53">
                  <c:v>7.3561643835616444</c:v>
                </c:pt>
                <c:pt idx="54">
                  <c:v>6.1351351351351342</c:v>
                </c:pt>
                <c:pt idx="55">
                  <c:v>6.4142857142857137</c:v>
                </c:pt>
                <c:pt idx="56">
                  <c:v>6.8767123287671232</c:v>
                </c:pt>
                <c:pt idx="57">
                  <c:v>6.8767123287671232</c:v>
                </c:pt>
                <c:pt idx="58">
                  <c:v>6.64</c:v>
                </c:pt>
                <c:pt idx="59">
                  <c:v>6.619718309859155</c:v>
                </c:pt>
                <c:pt idx="60">
                  <c:v>6.9014084507042268</c:v>
                </c:pt>
                <c:pt idx="61">
                  <c:v>7.5466666666666669</c:v>
                </c:pt>
                <c:pt idx="62">
                  <c:v>5.2717391304347831</c:v>
                </c:pt>
                <c:pt idx="63">
                  <c:v>7.6447368421052628</c:v>
                </c:pt>
                <c:pt idx="64">
                  <c:v>7.384615384615385</c:v>
                </c:pt>
                <c:pt idx="65">
                  <c:v>8.1666666666666661</c:v>
                </c:pt>
                <c:pt idx="66">
                  <c:v>7.6447368421052628</c:v>
                </c:pt>
                <c:pt idx="67">
                  <c:v>6.9146341463414647</c:v>
                </c:pt>
                <c:pt idx="68">
                  <c:v>6.8292682926829285</c:v>
                </c:pt>
                <c:pt idx="69">
                  <c:v>6.8292682926829285</c:v>
                </c:pt>
                <c:pt idx="70">
                  <c:v>7.0250000000000004</c:v>
                </c:pt>
                <c:pt idx="71">
                  <c:v>7.6447368421052628</c:v>
                </c:pt>
                <c:pt idx="72">
                  <c:v>7.3947368421052637</c:v>
                </c:pt>
                <c:pt idx="73">
                  <c:v>6.9146341463414647</c:v>
                </c:pt>
                <c:pt idx="74">
                  <c:v>7.9743589743589745</c:v>
                </c:pt>
                <c:pt idx="75">
                  <c:v>7.6052631578947354</c:v>
                </c:pt>
                <c:pt idx="76">
                  <c:v>7.6447368421052628</c:v>
                </c:pt>
                <c:pt idx="77">
                  <c:v>7.4358974358974361</c:v>
                </c:pt>
                <c:pt idx="78">
                  <c:v>6.8636363636363633</c:v>
                </c:pt>
                <c:pt idx="79">
                  <c:v>8.7222222222222214</c:v>
                </c:pt>
                <c:pt idx="80">
                  <c:v>8.7222222222222214</c:v>
                </c:pt>
                <c:pt idx="81">
                  <c:v>8.7222222222222214</c:v>
                </c:pt>
                <c:pt idx="82">
                  <c:v>8.1184210526315788</c:v>
                </c:pt>
                <c:pt idx="83">
                  <c:v>8.1184210526315788</c:v>
                </c:pt>
                <c:pt idx="84">
                  <c:v>7.5180722891566258</c:v>
                </c:pt>
                <c:pt idx="85">
                  <c:v>6.526315789473685</c:v>
                </c:pt>
              </c:numCache>
            </c:numRef>
          </c:yVal>
          <c:smooth val="1"/>
          <c:extLst>
            <c:ext xmlns:c16="http://schemas.microsoft.com/office/drawing/2014/chart" uri="{C3380CC4-5D6E-409C-BE32-E72D297353CC}">
              <c16:uniqueId val="{00000002-A44D-414D-A033-99B49388F0A6}"/>
            </c:ext>
          </c:extLst>
        </c:ser>
        <c:ser>
          <c:idx val="3"/>
          <c:order val="3"/>
          <c:tx>
            <c:strRef>
              <c:f>'Task 1 Converted AMI PDF Stats'!$A$99</c:f>
              <c:strCache>
                <c:ptCount val="1"/>
                <c:pt idx="0">
                  <c:v>FAC/Patrol Boat</c:v>
                </c:pt>
              </c:strCache>
            </c:strRef>
          </c:tx>
          <c:spPr>
            <a:ln w="19050">
              <a:noFill/>
            </a:ln>
          </c:spPr>
          <c:marker>
            <c:symbol val="triangle"/>
            <c:size val="5"/>
            <c:spPr>
              <a:solidFill>
                <a:srgbClr val="FFFF99"/>
              </a:solidFill>
              <a:ln>
                <a:solidFill>
                  <a:srgbClr val="808000"/>
                </a:solidFill>
                <a:prstDash val="solid"/>
              </a:ln>
            </c:spPr>
          </c:marker>
          <c:trendline>
            <c:spPr>
              <a:ln w="25400">
                <a:solidFill>
                  <a:srgbClr val="808000"/>
                </a:solidFill>
                <a:prstDash val="solid"/>
              </a:ln>
            </c:spPr>
            <c:trendlineType val="power"/>
            <c:dispRSqr val="1"/>
            <c:dispEq val="1"/>
            <c:trendlineLbl>
              <c:layout>
                <c:manualLayout>
                  <c:x val="0.21783157489913441"/>
                  <c:y val="7.3960897618527477E-2"/>
                </c:manualLayout>
              </c:layout>
              <c:numFmt formatCode="General" sourceLinked="0"/>
              <c:spPr>
                <a:noFill/>
                <a:ln w="25400">
                  <a:noFill/>
                </a:ln>
              </c:spPr>
              <c:txPr>
                <a:bodyPr/>
                <a:lstStyle/>
                <a:p>
                  <a:pPr>
                    <a:defRPr sz="1000" b="0" i="0" u="none" strike="noStrike" baseline="0">
                      <a:solidFill>
                        <a:srgbClr val="808000"/>
                      </a:solidFill>
                      <a:latin typeface="Arial"/>
                      <a:ea typeface="Arial"/>
                      <a:cs typeface="Arial"/>
                    </a:defRPr>
                  </a:pPr>
                  <a:endParaRPr lang="en-US"/>
                </a:p>
              </c:txPr>
            </c:trendlineLbl>
          </c:trendline>
          <c:xVal>
            <c:numRef>
              <c:f>'Task 1 Converted AMI PDF Stats'!$I$99:$I$112</c:f>
              <c:numCache>
                <c:formatCode>0</c:formatCode>
                <c:ptCount val="14"/>
                <c:pt idx="0">
                  <c:v>170</c:v>
                </c:pt>
                <c:pt idx="1">
                  <c:v>205</c:v>
                </c:pt>
                <c:pt idx="2">
                  <c:v>210</c:v>
                </c:pt>
                <c:pt idx="3">
                  <c:v>230</c:v>
                </c:pt>
                <c:pt idx="4">
                  <c:v>245</c:v>
                </c:pt>
                <c:pt idx="5">
                  <c:v>248</c:v>
                </c:pt>
                <c:pt idx="6">
                  <c:v>270</c:v>
                </c:pt>
                <c:pt idx="7">
                  <c:v>300</c:v>
                </c:pt>
                <c:pt idx="8">
                  <c:v>307</c:v>
                </c:pt>
                <c:pt idx="9">
                  <c:v>392</c:v>
                </c:pt>
                <c:pt idx="10">
                  <c:v>398</c:v>
                </c:pt>
                <c:pt idx="11">
                  <c:v>450</c:v>
                </c:pt>
                <c:pt idx="12">
                  <c:v>520</c:v>
                </c:pt>
                <c:pt idx="13">
                  <c:v>560</c:v>
                </c:pt>
              </c:numCache>
            </c:numRef>
          </c:xVal>
          <c:yVal>
            <c:numRef>
              <c:f>'Task 1 Converted AMI PDF Stats'!$R$99:$R$112</c:f>
              <c:numCache>
                <c:formatCode>0.00</c:formatCode>
                <c:ptCount val="14"/>
                <c:pt idx="0">
                  <c:v>5.8095238095238102</c:v>
                </c:pt>
                <c:pt idx="1">
                  <c:v>5.4999999999999991</c:v>
                </c:pt>
                <c:pt idx="2">
                  <c:v>5.0789473684210531</c:v>
                </c:pt>
                <c:pt idx="3">
                  <c:v>6.1408450704225368</c:v>
                </c:pt>
                <c:pt idx="4">
                  <c:v>5.0789473684210531</c:v>
                </c:pt>
                <c:pt idx="5">
                  <c:v>6.0000000000000009</c:v>
                </c:pt>
                <c:pt idx="6">
                  <c:v>6.1204819277108422</c:v>
                </c:pt>
                <c:pt idx="7">
                  <c:v>5.0561797752808983</c:v>
                </c:pt>
                <c:pt idx="8">
                  <c:v>6.8421052631578947</c:v>
                </c:pt>
                <c:pt idx="9">
                  <c:v>8.1666666666666661</c:v>
                </c:pt>
                <c:pt idx="10">
                  <c:v>7.384615384615385</c:v>
                </c:pt>
                <c:pt idx="11">
                  <c:v>7.4358974358974361</c:v>
                </c:pt>
                <c:pt idx="12">
                  <c:v>7.7857142857142865</c:v>
                </c:pt>
                <c:pt idx="13">
                  <c:v>7.6190476190476195</c:v>
                </c:pt>
              </c:numCache>
            </c:numRef>
          </c:yVal>
          <c:smooth val="1"/>
          <c:extLst>
            <c:ext xmlns:c16="http://schemas.microsoft.com/office/drawing/2014/chart" uri="{C3380CC4-5D6E-409C-BE32-E72D297353CC}">
              <c16:uniqueId val="{00000003-A44D-414D-A033-99B49388F0A6}"/>
            </c:ext>
          </c:extLst>
        </c:ser>
        <c:ser>
          <c:idx val="4"/>
          <c:order val="4"/>
          <c:tx>
            <c:strRef>
              <c:f>'Task 1 Converted AMI PDF Stats'!$A$116</c:f>
              <c:strCache>
                <c:ptCount val="1"/>
                <c:pt idx="0">
                  <c:v>Patrol Boat</c:v>
                </c:pt>
              </c:strCache>
            </c:strRef>
          </c:tx>
          <c:spPr>
            <a:ln w="19050">
              <a:noFill/>
            </a:ln>
          </c:spPr>
          <c:marker>
            <c:symbol val="circle"/>
            <c:size val="5"/>
            <c:spPr>
              <a:solidFill>
                <a:srgbClr val="FFCC99"/>
              </a:solidFill>
              <a:ln>
                <a:solidFill>
                  <a:srgbClr val="993300"/>
                </a:solidFill>
                <a:prstDash val="solid"/>
              </a:ln>
            </c:spPr>
          </c:marker>
          <c:trendline>
            <c:spPr>
              <a:ln w="25400">
                <a:solidFill>
                  <a:srgbClr val="993300"/>
                </a:solidFill>
                <a:prstDash val="solid"/>
              </a:ln>
            </c:spPr>
            <c:trendlineType val="power"/>
            <c:dispRSqr val="1"/>
            <c:dispEq val="1"/>
            <c:trendlineLbl>
              <c:layout>
                <c:manualLayout>
                  <c:x val="0.19678478565291346"/>
                  <c:y val="-2.524933415436037E-2"/>
                </c:manualLayout>
              </c:layout>
              <c:numFmt formatCode="General" sourceLinked="0"/>
              <c:spPr>
                <a:noFill/>
                <a:ln w="25400">
                  <a:noFill/>
                </a:ln>
              </c:spPr>
              <c:txPr>
                <a:bodyPr/>
                <a:lstStyle/>
                <a:p>
                  <a:pPr>
                    <a:defRPr sz="1000" b="0" i="0" u="none" strike="noStrike" baseline="0">
                      <a:solidFill>
                        <a:srgbClr val="993300"/>
                      </a:solidFill>
                      <a:latin typeface="Arial"/>
                      <a:ea typeface="Arial"/>
                      <a:cs typeface="Arial"/>
                    </a:defRPr>
                  </a:pPr>
                  <a:endParaRPr lang="en-US"/>
                </a:p>
              </c:txPr>
            </c:trendlineLbl>
          </c:trendline>
          <c:xVal>
            <c:numRef>
              <c:f>'Task 1 Converted AMI PDF Stats'!$I$113:$I$276</c:f>
              <c:numCache>
                <c:formatCode>0</c:formatCode>
                <c:ptCount val="164"/>
                <c:pt idx="3">
                  <c:v>39</c:v>
                </c:pt>
                <c:pt idx="4">
                  <c:v>39</c:v>
                </c:pt>
                <c:pt idx="5">
                  <c:v>46</c:v>
                </c:pt>
                <c:pt idx="6">
                  <c:v>52</c:v>
                </c:pt>
                <c:pt idx="7">
                  <c:v>54</c:v>
                </c:pt>
                <c:pt idx="8">
                  <c:v>55</c:v>
                </c:pt>
                <c:pt idx="9">
                  <c:v>58</c:v>
                </c:pt>
                <c:pt idx="10">
                  <c:v>58</c:v>
                </c:pt>
                <c:pt idx="11">
                  <c:v>60</c:v>
                </c:pt>
                <c:pt idx="12">
                  <c:v>60</c:v>
                </c:pt>
                <c:pt idx="13">
                  <c:v>66</c:v>
                </c:pt>
                <c:pt idx="14">
                  <c:v>67</c:v>
                </c:pt>
                <c:pt idx="15">
                  <c:v>68</c:v>
                </c:pt>
                <c:pt idx="17">
                  <c:v>70</c:v>
                </c:pt>
                <c:pt idx="18">
                  <c:v>74</c:v>
                </c:pt>
                <c:pt idx="19">
                  <c:v>85</c:v>
                </c:pt>
                <c:pt idx="20">
                  <c:v>86</c:v>
                </c:pt>
                <c:pt idx="21">
                  <c:v>86</c:v>
                </c:pt>
                <c:pt idx="22">
                  <c:v>90</c:v>
                </c:pt>
                <c:pt idx="23">
                  <c:v>90.5</c:v>
                </c:pt>
                <c:pt idx="24">
                  <c:v>91</c:v>
                </c:pt>
                <c:pt idx="25">
                  <c:v>91</c:v>
                </c:pt>
                <c:pt idx="26">
                  <c:v>92</c:v>
                </c:pt>
                <c:pt idx="27">
                  <c:v>92</c:v>
                </c:pt>
                <c:pt idx="28">
                  <c:v>93</c:v>
                </c:pt>
                <c:pt idx="30">
                  <c:v>93.5</c:v>
                </c:pt>
                <c:pt idx="31">
                  <c:v>94</c:v>
                </c:pt>
                <c:pt idx="32">
                  <c:v>94</c:v>
                </c:pt>
                <c:pt idx="33">
                  <c:v>95</c:v>
                </c:pt>
                <c:pt idx="34">
                  <c:v>95</c:v>
                </c:pt>
                <c:pt idx="35">
                  <c:v>95</c:v>
                </c:pt>
                <c:pt idx="36">
                  <c:v>96</c:v>
                </c:pt>
                <c:pt idx="37">
                  <c:v>96</c:v>
                </c:pt>
                <c:pt idx="38">
                  <c:v>96</c:v>
                </c:pt>
                <c:pt idx="39">
                  <c:v>98</c:v>
                </c:pt>
                <c:pt idx="40">
                  <c:v>98</c:v>
                </c:pt>
                <c:pt idx="41">
                  <c:v>98</c:v>
                </c:pt>
                <c:pt idx="42">
                  <c:v>99</c:v>
                </c:pt>
                <c:pt idx="43">
                  <c:v>100</c:v>
                </c:pt>
                <c:pt idx="44">
                  <c:v>100</c:v>
                </c:pt>
                <c:pt idx="45">
                  <c:v>102</c:v>
                </c:pt>
                <c:pt idx="46">
                  <c:v>104</c:v>
                </c:pt>
                <c:pt idx="47">
                  <c:v>105</c:v>
                </c:pt>
                <c:pt idx="48">
                  <c:v>106</c:v>
                </c:pt>
                <c:pt idx="49">
                  <c:v>110</c:v>
                </c:pt>
                <c:pt idx="50">
                  <c:v>110</c:v>
                </c:pt>
                <c:pt idx="51">
                  <c:v>110</c:v>
                </c:pt>
                <c:pt idx="52">
                  <c:v>115</c:v>
                </c:pt>
                <c:pt idx="53">
                  <c:v>115</c:v>
                </c:pt>
                <c:pt idx="54">
                  <c:v>115</c:v>
                </c:pt>
                <c:pt idx="55">
                  <c:v>115</c:v>
                </c:pt>
                <c:pt idx="56">
                  <c:v>115</c:v>
                </c:pt>
                <c:pt idx="57">
                  <c:v>115</c:v>
                </c:pt>
                <c:pt idx="58">
                  <c:v>116</c:v>
                </c:pt>
                <c:pt idx="59">
                  <c:v>117</c:v>
                </c:pt>
                <c:pt idx="60">
                  <c:v>119</c:v>
                </c:pt>
                <c:pt idx="61">
                  <c:v>120</c:v>
                </c:pt>
                <c:pt idx="62">
                  <c:v>120</c:v>
                </c:pt>
                <c:pt idx="63">
                  <c:v>130</c:v>
                </c:pt>
                <c:pt idx="64">
                  <c:v>130</c:v>
                </c:pt>
                <c:pt idx="65">
                  <c:v>130</c:v>
                </c:pt>
                <c:pt idx="66">
                  <c:v>134</c:v>
                </c:pt>
                <c:pt idx="67">
                  <c:v>135</c:v>
                </c:pt>
                <c:pt idx="68">
                  <c:v>138</c:v>
                </c:pt>
                <c:pt idx="69">
                  <c:v>142</c:v>
                </c:pt>
                <c:pt idx="70">
                  <c:v>143</c:v>
                </c:pt>
                <c:pt idx="71">
                  <c:v>145</c:v>
                </c:pt>
                <c:pt idx="72">
                  <c:v>146</c:v>
                </c:pt>
                <c:pt idx="73">
                  <c:v>147.5</c:v>
                </c:pt>
                <c:pt idx="74">
                  <c:v>148</c:v>
                </c:pt>
                <c:pt idx="75">
                  <c:v>150</c:v>
                </c:pt>
                <c:pt idx="76">
                  <c:v>155</c:v>
                </c:pt>
                <c:pt idx="77">
                  <c:v>155.5</c:v>
                </c:pt>
                <c:pt idx="78">
                  <c:v>162</c:v>
                </c:pt>
                <c:pt idx="79">
                  <c:v>162</c:v>
                </c:pt>
                <c:pt idx="80">
                  <c:v>165</c:v>
                </c:pt>
                <c:pt idx="81">
                  <c:v>168</c:v>
                </c:pt>
                <c:pt idx="82">
                  <c:v>170</c:v>
                </c:pt>
                <c:pt idx="83">
                  <c:v>170</c:v>
                </c:pt>
                <c:pt idx="84">
                  <c:v>170</c:v>
                </c:pt>
                <c:pt idx="85">
                  <c:v>180</c:v>
                </c:pt>
                <c:pt idx="86">
                  <c:v>180</c:v>
                </c:pt>
                <c:pt idx="87">
                  <c:v>180</c:v>
                </c:pt>
                <c:pt idx="88">
                  <c:v>180</c:v>
                </c:pt>
                <c:pt idx="89">
                  <c:v>180</c:v>
                </c:pt>
                <c:pt idx="90">
                  <c:v>181</c:v>
                </c:pt>
                <c:pt idx="91">
                  <c:v>190</c:v>
                </c:pt>
                <c:pt idx="92">
                  <c:v>190</c:v>
                </c:pt>
                <c:pt idx="93">
                  <c:v>190</c:v>
                </c:pt>
                <c:pt idx="94">
                  <c:v>195</c:v>
                </c:pt>
                <c:pt idx="95">
                  <c:v>195</c:v>
                </c:pt>
                <c:pt idx="96">
                  <c:v>195</c:v>
                </c:pt>
                <c:pt idx="97">
                  <c:v>195</c:v>
                </c:pt>
                <c:pt idx="98">
                  <c:v>200</c:v>
                </c:pt>
                <c:pt idx="99">
                  <c:v>200</c:v>
                </c:pt>
                <c:pt idx="100">
                  <c:v>203</c:v>
                </c:pt>
                <c:pt idx="101">
                  <c:v>210</c:v>
                </c:pt>
                <c:pt idx="102">
                  <c:v>210</c:v>
                </c:pt>
                <c:pt idx="103">
                  <c:v>210</c:v>
                </c:pt>
                <c:pt idx="104">
                  <c:v>210</c:v>
                </c:pt>
                <c:pt idx="105">
                  <c:v>210.91329464285715</c:v>
                </c:pt>
                <c:pt idx="106">
                  <c:v>218</c:v>
                </c:pt>
                <c:pt idx="107">
                  <c:v>223.90468749999999</c:v>
                </c:pt>
                <c:pt idx="108">
                  <c:v>236</c:v>
                </c:pt>
                <c:pt idx="109">
                  <c:v>240.14392857142857</c:v>
                </c:pt>
                <c:pt idx="110">
                  <c:v>245</c:v>
                </c:pt>
                <c:pt idx="111">
                  <c:v>245.06491071428573</c:v>
                </c:pt>
                <c:pt idx="112">
                  <c:v>250</c:v>
                </c:pt>
                <c:pt idx="113">
                  <c:v>250</c:v>
                </c:pt>
                <c:pt idx="114">
                  <c:v>255</c:v>
                </c:pt>
                <c:pt idx="115">
                  <c:v>260</c:v>
                </c:pt>
                <c:pt idx="116">
                  <c:v>260</c:v>
                </c:pt>
                <c:pt idx="117">
                  <c:v>262.78044642857139</c:v>
                </c:pt>
                <c:pt idx="118">
                  <c:v>263</c:v>
                </c:pt>
                <c:pt idx="119">
                  <c:v>265.73303571428573</c:v>
                </c:pt>
                <c:pt idx="120">
                  <c:v>270</c:v>
                </c:pt>
                <c:pt idx="121">
                  <c:v>279</c:v>
                </c:pt>
                <c:pt idx="122">
                  <c:v>292.5</c:v>
                </c:pt>
                <c:pt idx="123">
                  <c:v>306</c:v>
                </c:pt>
                <c:pt idx="124">
                  <c:v>319</c:v>
                </c:pt>
                <c:pt idx="125">
                  <c:v>330</c:v>
                </c:pt>
                <c:pt idx="126">
                  <c:v>334</c:v>
                </c:pt>
                <c:pt idx="127">
                  <c:v>374</c:v>
                </c:pt>
                <c:pt idx="128">
                  <c:v>375</c:v>
                </c:pt>
                <c:pt idx="129">
                  <c:v>375</c:v>
                </c:pt>
                <c:pt idx="130">
                  <c:v>375</c:v>
                </c:pt>
                <c:pt idx="131">
                  <c:v>375</c:v>
                </c:pt>
                <c:pt idx="132">
                  <c:v>375.9630357142857</c:v>
                </c:pt>
                <c:pt idx="133">
                  <c:v>376</c:v>
                </c:pt>
                <c:pt idx="134">
                  <c:v>380</c:v>
                </c:pt>
                <c:pt idx="135">
                  <c:v>385</c:v>
                </c:pt>
                <c:pt idx="136">
                  <c:v>385</c:v>
                </c:pt>
                <c:pt idx="137">
                  <c:v>390</c:v>
                </c:pt>
                <c:pt idx="138">
                  <c:v>393.67857142857144</c:v>
                </c:pt>
                <c:pt idx="139">
                  <c:v>400</c:v>
                </c:pt>
                <c:pt idx="140">
                  <c:v>406</c:v>
                </c:pt>
                <c:pt idx="141">
                  <c:v>410</c:v>
                </c:pt>
                <c:pt idx="142">
                  <c:v>423</c:v>
                </c:pt>
                <c:pt idx="143">
                  <c:v>425</c:v>
                </c:pt>
                <c:pt idx="144">
                  <c:v>430</c:v>
                </c:pt>
                <c:pt idx="145">
                  <c:v>443.8725892857143</c:v>
                </c:pt>
                <c:pt idx="146">
                  <c:v>446</c:v>
                </c:pt>
                <c:pt idx="147">
                  <c:v>447</c:v>
                </c:pt>
                <c:pt idx="148">
                  <c:v>447</c:v>
                </c:pt>
                <c:pt idx="149">
                  <c:v>450</c:v>
                </c:pt>
                <c:pt idx="150">
                  <c:v>450</c:v>
                </c:pt>
                <c:pt idx="151">
                  <c:v>475</c:v>
                </c:pt>
                <c:pt idx="152">
                  <c:v>480</c:v>
                </c:pt>
                <c:pt idx="153">
                  <c:v>480</c:v>
                </c:pt>
                <c:pt idx="154">
                  <c:v>488.16142857142853</c:v>
                </c:pt>
                <c:pt idx="155">
                  <c:v>490</c:v>
                </c:pt>
                <c:pt idx="156">
                  <c:v>495.05080357142862</c:v>
                </c:pt>
                <c:pt idx="157">
                  <c:v>500</c:v>
                </c:pt>
                <c:pt idx="158">
                  <c:v>530</c:v>
                </c:pt>
                <c:pt idx="159">
                  <c:v>545</c:v>
                </c:pt>
                <c:pt idx="160">
                  <c:v>550</c:v>
                </c:pt>
                <c:pt idx="161">
                  <c:v>555</c:v>
                </c:pt>
                <c:pt idx="162">
                  <c:v>555</c:v>
                </c:pt>
                <c:pt idx="163">
                  <c:v>580</c:v>
                </c:pt>
              </c:numCache>
            </c:numRef>
          </c:xVal>
          <c:yVal>
            <c:numRef>
              <c:f>'Task 1 Converted AMI PDF Stats'!$R$113:$R$276</c:f>
              <c:numCache>
                <c:formatCode>0.00</c:formatCode>
                <c:ptCount val="164"/>
                <c:pt idx="0">
                  <c:v>5.7706535141800241</c:v>
                </c:pt>
                <c:pt idx="1">
                  <c:v>4.5</c:v>
                </c:pt>
                <c:pt idx="2">
                  <c:v>6.0196905766526019</c:v>
                </c:pt>
                <c:pt idx="3">
                  <c:v>5.0000000000000009</c:v>
                </c:pt>
                <c:pt idx="4">
                  <c:v>4.8000000000000007</c:v>
                </c:pt>
                <c:pt idx="5">
                  <c:v>5.1724137931034484</c:v>
                </c:pt>
                <c:pt idx="6">
                  <c:v>5.5918367346938762</c:v>
                </c:pt>
                <c:pt idx="7">
                  <c:v>4.5438596491228065</c:v>
                </c:pt>
                <c:pt idx="8">
                  <c:v>6.75</c:v>
                </c:pt>
                <c:pt idx="9">
                  <c:v>4.1538461538461542</c:v>
                </c:pt>
                <c:pt idx="10">
                  <c:v>4.4642857142857153</c:v>
                </c:pt>
                <c:pt idx="11">
                  <c:v>4.709090909090909</c:v>
                </c:pt>
                <c:pt idx="12">
                  <c:v>4.4642857142857153</c:v>
                </c:pt>
                <c:pt idx="13">
                  <c:v>4.8653846153846159</c:v>
                </c:pt>
                <c:pt idx="14">
                  <c:v>4.7735849056603783</c:v>
                </c:pt>
                <c:pt idx="15">
                  <c:v>4.8653846153846159</c:v>
                </c:pt>
                <c:pt idx="16">
                  <c:v>5.1219512195121952</c:v>
                </c:pt>
                <c:pt idx="17">
                  <c:v>6.1489361702127647</c:v>
                </c:pt>
                <c:pt idx="18">
                  <c:v>4.3103448275862073</c:v>
                </c:pt>
                <c:pt idx="19">
                  <c:v>4.7619047619047628</c:v>
                </c:pt>
                <c:pt idx="20">
                  <c:v>4.4406779661016937</c:v>
                </c:pt>
                <c:pt idx="21">
                  <c:v>5.8000000000000007</c:v>
                </c:pt>
                <c:pt idx="22">
                  <c:v>4.6875</c:v>
                </c:pt>
                <c:pt idx="23">
                  <c:v>5.161290322580645</c:v>
                </c:pt>
                <c:pt idx="24">
                  <c:v>4.5689655172413799</c:v>
                </c:pt>
                <c:pt idx="25">
                  <c:v>5.5357142857142865</c:v>
                </c:pt>
                <c:pt idx="26">
                  <c:v>5.8000000000000007</c:v>
                </c:pt>
                <c:pt idx="27">
                  <c:v>4.1515151515151514</c:v>
                </c:pt>
                <c:pt idx="28">
                  <c:v>5.07936507936508</c:v>
                </c:pt>
                <c:pt idx="29">
                  <c:v>5.1219512195121952</c:v>
                </c:pt>
                <c:pt idx="30">
                  <c:v>4.5890410958904111</c:v>
                </c:pt>
                <c:pt idx="31">
                  <c:v>4.6101694915254239</c:v>
                </c:pt>
                <c:pt idx="32">
                  <c:v>5.1269841269841265</c:v>
                </c:pt>
                <c:pt idx="33">
                  <c:v>4.5689655172413799</c:v>
                </c:pt>
                <c:pt idx="34">
                  <c:v>4.3283582089552235</c:v>
                </c:pt>
                <c:pt idx="35">
                  <c:v>5.8000000000000007</c:v>
                </c:pt>
                <c:pt idx="36">
                  <c:v>5.2333333333333325</c:v>
                </c:pt>
                <c:pt idx="37">
                  <c:v>4.693548387096774</c:v>
                </c:pt>
                <c:pt idx="38">
                  <c:v>5.4137931034482767</c:v>
                </c:pt>
                <c:pt idx="39">
                  <c:v>4.6612903225806441</c:v>
                </c:pt>
                <c:pt idx="40">
                  <c:v>4.6612903225806441</c:v>
                </c:pt>
                <c:pt idx="41">
                  <c:v>4.9384615384615378</c:v>
                </c:pt>
                <c:pt idx="42">
                  <c:v>4.4666666666666668</c:v>
                </c:pt>
                <c:pt idx="43">
                  <c:v>4.765625</c:v>
                </c:pt>
                <c:pt idx="44">
                  <c:v>4.6875</c:v>
                </c:pt>
                <c:pt idx="45">
                  <c:v>4.9824561403508758</c:v>
                </c:pt>
                <c:pt idx="46">
                  <c:v>4.7571428571428562</c:v>
                </c:pt>
                <c:pt idx="47">
                  <c:v>5.0000000000000009</c:v>
                </c:pt>
                <c:pt idx="48">
                  <c:v>5.8653846153846159</c:v>
                </c:pt>
                <c:pt idx="49">
                  <c:v>5.234375</c:v>
                </c:pt>
                <c:pt idx="50">
                  <c:v>5.9615384615384617</c:v>
                </c:pt>
                <c:pt idx="51">
                  <c:v>4.9253731343283578</c:v>
                </c:pt>
                <c:pt idx="52">
                  <c:v>5.5555555555555562</c:v>
                </c:pt>
                <c:pt idx="53">
                  <c:v>5.5172413793103452</c:v>
                </c:pt>
                <c:pt idx="54">
                  <c:v>5.3442622950819674</c:v>
                </c:pt>
                <c:pt idx="55">
                  <c:v>4.7014925373134329</c:v>
                </c:pt>
                <c:pt idx="56">
                  <c:v>5.2238805970149249</c:v>
                </c:pt>
                <c:pt idx="57">
                  <c:v>5.3442622950819674</c:v>
                </c:pt>
                <c:pt idx="58">
                  <c:v>5.1793721973094167</c:v>
                </c:pt>
                <c:pt idx="59">
                  <c:v>5.2333333333333325</c:v>
                </c:pt>
                <c:pt idx="60">
                  <c:v>6.2758620689655178</c:v>
                </c:pt>
                <c:pt idx="61">
                  <c:v>6.4814814814814801</c:v>
                </c:pt>
                <c:pt idx="62">
                  <c:v>5.0151515151515156</c:v>
                </c:pt>
                <c:pt idx="63">
                  <c:v>4.7260273972602738</c:v>
                </c:pt>
                <c:pt idx="64">
                  <c:v>4.828125</c:v>
                </c:pt>
                <c:pt idx="65">
                  <c:v>4.828125</c:v>
                </c:pt>
                <c:pt idx="66">
                  <c:v>5.4090909090909101</c:v>
                </c:pt>
                <c:pt idx="67">
                  <c:v>5.9836065573770494</c:v>
                </c:pt>
                <c:pt idx="68">
                  <c:v>5.887096774193548</c:v>
                </c:pt>
                <c:pt idx="69">
                  <c:v>4.6578947368421053</c:v>
                </c:pt>
                <c:pt idx="70">
                  <c:v>3.5555555555555558</c:v>
                </c:pt>
                <c:pt idx="71">
                  <c:v>6.2413793103448283</c:v>
                </c:pt>
                <c:pt idx="72">
                  <c:v>5.3770491803278686</c:v>
                </c:pt>
                <c:pt idx="73">
                  <c:v>6.8474576271186427</c:v>
                </c:pt>
                <c:pt idx="74">
                  <c:v>3.9540229885057472</c:v>
                </c:pt>
                <c:pt idx="75">
                  <c:v>4.8461538461538458</c:v>
                </c:pt>
                <c:pt idx="76">
                  <c:v>4.2666666666666666</c:v>
                </c:pt>
                <c:pt idx="77">
                  <c:v>5.4347826086956514</c:v>
                </c:pt>
                <c:pt idx="78">
                  <c:v>3.8888888888888888</c:v>
                </c:pt>
                <c:pt idx="79">
                  <c:v>3.8888888888888888</c:v>
                </c:pt>
                <c:pt idx="80">
                  <c:v>3.8888888888888888</c:v>
                </c:pt>
                <c:pt idx="81">
                  <c:v>5.234375</c:v>
                </c:pt>
                <c:pt idx="82">
                  <c:v>3.9756097560975614</c:v>
                </c:pt>
                <c:pt idx="83">
                  <c:v>6.9999999999999991</c:v>
                </c:pt>
                <c:pt idx="84">
                  <c:v>6.2812500000000009</c:v>
                </c:pt>
                <c:pt idx="85">
                  <c:v>5.8579462326261886</c:v>
                </c:pt>
                <c:pt idx="86">
                  <c:v>6.2812500000000009</c:v>
                </c:pt>
                <c:pt idx="87">
                  <c:v>5.8208955223880592</c:v>
                </c:pt>
                <c:pt idx="88">
                  <c:v>4.9253731343283578</c:v>
                </c:pt>
                <c:pt idx="89">
                  <c:v>4.0232558139534884</c:v>
                </c:pt>
                <c:pt idx="90">
                  <c:v>5.9382716049382722</c:v>
                </c:pt>
                <c:pt idx="91">
                  <c:v>4.9420289855072461</c:v>
                </c:pt>
                <c:pt idx="92">
                  <c:v>5.208333333333333</c:v>
                </c:pt>
                <c:pt idx="93">
                  <c:v>6.1470588235294112</c:v>
                </c:pt>
                <c:pt idx="94">
                  <c:v>6.8412698412698427</c:v>
                </c:pt>
                <c:pt idx="95">
                  <c:v>5.7323943661971848</c:v>
                </c:pt>
                <c:pt idx="96">
                  <c:v>5.7357723577235769</c:v>
                </c:pt>
                <c:pt idx="97">
                  <c:v>6.4043478260869566</c:v>
                </c:pt>
                <c:pt idx="98">
                  <c:v>4.8624999999999998</c:v>
                </c:pt>
                <c:pt idx="99">
                  <c:v>5.4347826086956514</c:v>
                </c:pt>
                <c:pt idx="100">
                  <c:v>5</c:v>
                </c:pt>
                <c:pt idx="101">
                  <c:v>4.8250000000000002</c:v>
                </c:pt>
                <c:pt idx="102">
                  <c:v>6.0597014925373127</c:v>
                </c:pt>
                <c:pt idx="103">
                  <c:v>4.2558139534883725</c:v>
                </c:pt>
                <c:pt idx="104">
                  <c:v>5.04</c:v>
                </c:pt>
                <c:pt idx="105">
                  <c:v>4.9873417721518987</c:v>
                </c:pt>
                <c:pt idx="106">
                  <c:v>5.5260869565217385</c:v>
                </c:pt>
                <c:pt idx="107">
                  <c:v>6.1351351351351342</c:v>
                </c:pt>
                <c:pt idx="108">
                  <c:v>5.9423868312757202</c:v>
                </c:pt>
                <c:pt idx="109">
                  <c:v>6.1408450704225368</c:v>
                </c:pt>
                <c:pt idx="110">
                  <c:v>5.887323943661972</c:v>
                </c:pt>
                <c:pt idx="111">
                  <c:v>5.1219512195121952</c:v>
                </c:pt>
                <c:pt idx="112">
                  <c:v>6.7605633802816918</c:v>
                </c:pt>
                <c:pt idx="113">
                  <c:v>6.7605633802816918</c:v>
                </c:pt>
                <c:pt idx="114">
                  <c:v>6.4043478260869566</c:v>
                </c:pt>
                <c:pt idx="115">
                  <c:v>6.4146341463414638</c:v>
                </c:pt>
                <c:pt idx="116">
                  <c:v>6.1382113821138207</c:v>
                </c:pt>
                <c:pt idx="117">
                  <c:v>6.1999999999999993</c:v>
                </c:pt>
                <c:pt idx="118">
                  <c:v>6.1999999999999993</c:v>
                </c:pt>
                <c:pt idx="119">
                  <c:v>5.3822314049586781</c:v>
                </c:pt>
                <c:pt idx="120">
                  <c:v>6.8630136986301373</c:v>
                </c:pt>
                <c:pt idx="121">
                  <c:v>5.9459459459459456</c:v>
                </c:pt>
                <c:pt idx="122">
                  <c:v>5.7142857142857135</c:v>
                </c:pt>
                <c:pt idx="123">
                  <c:v>6.1341463414634143</c:v>
                </c:pt>
                <c:pt idx="124">
                  <c:v>6.7272727272727275</c:v>
                </c:pt>
                <c:pt idx="125">
                  <c:v>5.6857142857142851</c:v>
                </c:pt>
                <c:pt idx="126">
                  <c:v>6.5696202531645564</c:v>
                </c:pt>
                <c:pt idx="127">
                  <c:v>5.4</c:v>
                </c:pt>
                <c:pt idx="128">
                  <c:v>6.8089887640449431</c:v>
                </c:pt>
                <c:pt idx="129">
                  <c:v>8.1666666666666661</c:v>
                </c:pt>
                <c:pt idx="130">
                  <c:v>8.1666666666666661</c:v>
                </c:pt>
                <c:pt idx="131">
                  <c:v>7.5657894736842106</c:v>
                </c:pt>
                <c:pt idx="132">
                  <c:v>6.2555555555555546</c:v>
                </c:pt>
                <c:pt idx="133">
                  <c:v>6.2555555555555546</c:v>
                </c:pt>
                <c:pt idx="134">
                  <c:v>6.5325203252032509</c:v>
                </c:pt>
                <c:pt idx="135">
                  <c:v>4.7619047619047628</c:v>
                </c:pt>
                <c:pt idx="136">
                  <c:v>8.3055555555555554</c:v>
                </c:pt>
                <c:pt idx="137">
                  <c:v>5.4799999999999995</c:v>
                </c:pt>
                <c:pt idx="138">
                  <c:v>6.9146341463414647</c:v>
                </c:pt>
                <c:pt idx="139">
                  <c:v>6.5333333333333341</c:v>
                </c:pt>
                <c:pt idx="140">
                  <c:v>6.8125</c:v>
                </c:pt>
                <c:pt idx="141">
                  <c:v>5.2981366459627326</c:v>
                </c:pt>
                <c:pt idx="142">
                  <c:v>7.6447368421052628</c:v>
                </c:pt>
                <c:pt idx="143">
                  <c:v>7.6447368421052628</c:v>
                </c:pt>
                <c:pt idx="144">
                  <c:v>7</c:v>
                </c:pt>
                <c:pt idx="145">
                  <c:v>7.6447368421052628</c:v>
                </c:pt>
                <c:pt idx="146">
                  <c:v>6.8250000000000002</c:v>
                </c:pt>
                <c:pt idx="147">
                  <c:v>7.6447368421052628</c:v>
                </c:pt>
                <c:pt idx="148">
                  <c:v>7.6447368421052628</c:v>
                </c:pt>
                <c:pt idx="149">
                  <c:v>5.8333333333333339</c:v>
                </c:pt>
                <c:pt idx="150">
                  <c:v>6.2959641255605385</c:v>
                </c:pt>
                <c:pt idx="151">
                  <c:v>6.8125</c:v>
                </c:pt>
                <c:pt idx="152">
                  <c:v>6.0000000000000009</c:v>
                </c:pt>
                <c:pt idx="153">
                  <c:v>7.073170731707318</c:v>
                </c:pt>
                <c:pt idx="154">
                  <c:v>8.1184210526315788</c:v>
                </c:pt>
                <c:pt idx="155">
                  <c:v>8.8888888888888893</c:v>
                </c:pt>
                <c:pt idx="156">
                  <c:v>7.1728395061728394</c:v>
                </c:pt>
                <c:pt idx="157">
                  <c:v>6.395348837209303</c:v>
                </c:pt>
                <c:pt idx="158">
                  <c:v>5.8192771084337336</c:v>
                </c:pt>
                <c:pt idx="159">
                  <c:v>5.7058823529411766</c:v>
                </c:pt>
                <c:pt idx="160">
                  <c:v>5.6395348837209305</c:v>
                </c:pt>
                <c:pt idx="161">
                  <c:v>5.65</c:v>
                </c:pt>
                <c:pt idx="162">
                  <c:v>5.2190476190476192</c:v>
                </c:pt>
                <c:pt idx="163">
                  <c:v>5.6140350877192979</c:v>
                </c:pt>
              </c:numCache>
            </c:numRef>
          </c:yVal>
          <c:smooth val="1"/>
          <c:extLst>
            <c:ext xmlns:c16="http://schemas.microsoft.com/office/drawing/2014/chart" uri="{C3380CC4-5D6E-409C-BE32-E72D297353CC}">
              <c16:uniqueId val="{00000004-A44D-414D-A033-99B49388F0A6}"/>
            </c:ext>
          </c:extLst>
        </c:ser>
        <c:ser>
          <c:idx val="5"/>
          <c:order val="5"/>
          <c:tx>
            <c:v>FRC</c:v>
          </c:tx>
          <c:spPr>
            <a:ln w="19050">
              <a:noFill/>
            </a:ln>
          </c:spPr>
          <c:marker>
            <c:symbol val="plus"/>
            <c:size val="5"/>
            <c:spPr>
              <a:solidFill>
                <a:srgbClr val="800000"/>
              </a:solidFill>
              <a:ln>
                <a:solidFill>
                  <a:srgbClr val="FFCC99"/>
                </a:solidFill>
                <a:prstDash val="solid"/>
              </a:ln>
            </c:spPr>
          </c:marker>
          <c:xVal>
            <c:numRef>
              <c:f>'Task 1 Converted AMI PDF Stats'!$I$283</c:f>
              <c:numCache>
                <c:formatCode>0</c:formatCode>
                <c:ptCount val="1"/>
                <c:pt idx="0">
                  <c:v>325</c:v>
                </c:pt>
              </c:numCache>
            </c:numRef>
          </c:xVal>
          <c:yVal>
            <c:numRef>
              <c:f>'Task 1 Converted AMI PDF Stats'!$R$283</c:f>
              <c:numCache>
                <c:formatCode>0.00</c:formatCode>
                <c:ptCount val="1"/>
                <c:pt idx="0">
                  <c:v>4.6401384083044981</c:v>
                </c:pt>
              </c:numCache>
            </c:numRef>
          </c:yVal>
          <c:smooth val="1"/>
          <c:extLst>
            <c:ext xmlns:c16="http://schemas.microsoft.com/office/drawing/2014/chart" uri="{C3380CC4-5D6E-409C-BE32-E72D297353CC}">
              <c16:uniqueId val="{00000005-A44D-414D-A033-99B49388F0A6}"/>
            </c:ext>
          </c:extLst>
        </c:ser>
        <c:ser>
          <c:idx val="6"/>
          <c:order val="6"/>
          <c:spPr>
            <a:ln w="19050">
              <a:noFill/>
            </a:ln>
          </c:spPr>
          <c:marker>
            <c:symbol val="circle"/>
            <c:size val="6"/>
            <c:spPr>
              <a:solidFill>
                <a:srgbClr val="993300"/>
              </a:solidFill>
              <a:ln>
                <a:solidFill>
                  <a:srgbClr val="993300"/>
                </a:solidFill>
                <a:prstDash val="solid"/>
              </a:ln>
            </c:spPr>
          </c:marker>
          <c:xVal>
            <c:numRef>
              <c:f>'Task 1 Converted AMI PDF Stats'!$I$284:$I$294</c:f>
              <c:numCache>
                <c:formatCode>0</c:formatCode>
                <c:ptCount val="11"/>
                <c:pt idx="3">
                  <c:v>265.73303571428573</c:v>
                </c:pt>
                <c:pt idx="6">
                  <c:v>245</c:v>
                </c:pt>
                <c:pt idx="7">
                  <c:v>279</c:v>
                </c:pt>
                <c:pt idx="8">
                  <c:v>334</c:v>
                </c:pt>
                <c:pt idx="9">
                  <c:v>168</c:v>
                </c:pt>
                <c:pt idx="10">
                  <c:v>180</c:v>
                </c:pt>
              </c:numCache>
            </c:numRef>
          </c:xVal>
          <c:yVal>
            <c:numRef>
              <c:f>'Task 1 Converted AMI PDF Stats'!$R$284:$R$294</c:f>
              <c:numCache>
                <c:formatCode>0.00</c:formatCode>
                <c:ptCount val="11"/>
                <c:pt idx="0">
                  <c:v>5.7706535141800241</c:v>
                </c:pt>
                <c:pt idx="1">
                  <c:v>4.5</c:v>
                </c:pt>
                <c:pt idx="2">
                  <c:v>6.0196905766526019</c:v>
                </c:pt>
                <c:pt idx="3">
                  <c:v>5.3822314049586781</c:v>
                </c:pt>
                <c:pt idx="4">
                  <c:v>5.1219512195121952</c:v>
                </c:pt>
                <c:pt idx="5">
                  <c:v>5.1219512195121952</c:v>
                </c:pt>
                <c:pt idx="6">
                  <c:v>5.887323943661972</c:v>
                </c:pt>
                <c:pt idx="7">
                  <c:v>5.9459459459459456</c:v>
                </c:pt>
                <c:pt idx="8">
                  <c:v>6.5696202531645564</c:v>
                </c:pt>
                <c:pt idx="9">
                  <c:v>5.234375</c:v>
                </c:pt>
                <c:pt idx="10">
                  <c:v>5.8579462326261886</c:v>
                </c:pt>
              </c:numCache>
            </c:numRef>
          </c:yVal>
          <c:smooth val="1"/>
          <c:extLst>
            <c:ext xmlns:c16="http://schemas.microsoft.com/office/drawing/2014/chart" uri="{C3380CC4-5D6E-409C-BE32-E72D297353CC}">
              <c16:uniqueId val="{00000006-A44D-414D-A033-99B49388F0A6}"/>
            </c:ext>
          </c:extLst>
        </c:ser>
        <c:ser>
          <c:idx val="7"/>
          <c:order val="7"/>
          <c:spPr>
            <a:ln w="19050">
              <a:noFill/>
            </a:ln>
          </c:spPr>
          <c:marker>
            <c:symbol val="triangle"/>
            <c:size val="6"/>
            <c:spPr>
              <a:solidFill>
                <a:srgbClr val="808000"/>
              </a:solidFill>
              <a:ln>
                <a:solidFill>
                  <a:srgbClr val="808000"/>
                </a:solidFill>
                <a:prstDash val="solid"/>
              </a:ln>
            </c:spPr>
          </c:marker>
          <c:xVal>
            <c:numRef>
              <c:f>'Task 1 Converted AMI PDF Stats'!$I$295:$I$298</c:f>
              <c:numCache>
                <c:formatCode>0</c:formatCode>
                <c:ptCount val="4"/>
                <c:pt idx="0">
                  <c:v>307</c:v>
                </c:pt>
                <c:pt idx="1">
                  <c:v>248</c:v>
                </c:pt>
                <c:pt idx="2">
                  <c:v>270</c:v>
                </c:pt>
                <c:pt idx="3">
                  <c:v>300</c:v>
                </c:pt>
              </c:numCache>
            </c:numRef>
          </c:xVal>
          <c:yVal>
            <c:numRef>
              <c:f>'Task 1 Converted AMI PDF Stats'!$R$295:$R$298</c:f>
              <c:numCache>
                <c:formatCode>0.00</c:formatCode>
                <c:ptCount val="4"/>
                <c:pt idx="0">
                  <c:v>6.8421052631578947</c:v>
                </c:pt>
                <c:pt idx="1">
                  <c:v>6.0000000000000009</c:v>
                </c:pt>
                <c:pt idx="2">
                  <c:v>6.1204819277108422</c:v>
                </c:pt>
                <c:pt idx="3">
                  <c:v>5.0561797752808983</c:v>
                </c:pt>
              </c:numCache>
            </c:numRef>
          </c:yVal>
          <c:smooth val="1"/>
          <c:extLst>
            <c:ext xmlns:c16="http://schemas.microsoft.com/office/drawing/2014/chart" uri="{C3380CC4-5D6E-409C-BE32-E72D297353CC}">
              <c16:uniqueId val="{00000007-A44D-414D-A033-99B49388F0A6}"/>
            </c:ext>
          </c:extLst>
        </c:ser>
        <c:ser>
          <c:idx val="8"/>
          <c:order val="8"/>
          <c:spPr>
            <a:ln w="19050">
              <a:noFill/>
            </a:ln>
          </c:spPr>
          <c:marker>
            <c:symbol val="diamond"/>
            <c:size val="6"/>
            <c:spPr>
              <a:solidFill>
                <a:srgbClr val="FF0000"/>
              </a:solidFill>
              <a:ln>
                <a:solidFill>
                  <a:srgbClr val="FF0000"/>
                </a:solidFill>
                <a:prstDash val="solid"/>
              </a:ln>
            </c:spPr>
          </c:marker>
          <c:xVal>
            <c:numRef>
              <c:f>'Task 1 Converted AMI PDF Stats'!$I$299:$I$300</c:f>
              <c:numCache>
                <c:formatCode>0</c:formatCode>
                <c:ptCount val="2"/>
                <c:pt idx="0">
                  <c:v>260</c:v>
                </c:pt>
              </c:numCache>
            </c:numRef>
          </c:xVal>
          <c:yVal>
            <c:numRef>
              <c:f>'Task 1 Converted AMI PDF Stats'!$R$299:$R$300</c:f>
              <c:numCache>
                <c:formatCode>0.00</c:formatCode>
                <c:ptCount val="2"/>
                <c:pt idx="0">
                  <c:v>6.4142857142857137</c:v>
                </c:pt>
              </c:numCache>
            </c:numRef>
          </c:yVal>
          <c:smooth val="1"/>
          <c:extLst>
            <c:ext xmlns:c16="http://schemas.microsoft.com/office/drawing/2014/chart" uri="{C3380CC4-5D6E-409C-BE32-E72D297353CC}">
              <c16:uniqueId val="{00000008-A44D-414D-A033-99B49388F0A6}"/>
            </c:ext>
          </c:extLst>
        </c:ser>
        <c:dLbls>
          <c:showLegendKey val="0"/>
          <c:showVal val="0"/>
          <c:showCatName val="0"/>
          <c:showSerName val="0"/>
          <c:showPercent val="0"/>
          <c:showBubbleSize val="0"/>
        </c:dLbls>
        <c:axId val="727678144"/>
        <c:axId val="1"/>
      </c:scatterChart>
      <c:valAx>
        <c:axId val="727678144"/>
        <c:scaling>
          <c:orientation val="minMax"/>
          <c:max val="600"/>
          <c:min val="0"/>
        </c:scaling>
        <c:delete val="0"/>
        <c:axPos val="b"/>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Displ (LT)</a:t>
                </a:r>
              </a:p>
            </c:rich>
          </c:tx>
          <c:layout>
            <c:manualLayout>
              <c:xMode val="edge"/>
              <c:yMode val="edge"/>
              <c:x val="0.37402885682574916"/>
              <c:y val="0.94453507340946163"/>
            </c:manualLayout>
          </c:layout>
          <c:overlay val="0"/>
          <c:spPr>
            <a:noFill/>
            <a:ln w="25400">
              <a:noFill/>
            </a:ln>
          </c:spPr>
        </c:title>
        <c:numFmt formatCode="0" sourceLinked="1"/>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9"/>
          <c:min val="3"/>
        </c:scaling>
        <c:delete val="0"/>
        <c:axPos val="l"/>
        <c:majorGridlines>
          <c:spPr>
            <a:ln w="3175">
              <a:solidFill>
                <a:schemeClr val="tx1"/>
              </a:solidFill>
              <a:prstDash val="sysDot"/>
            </a:ln>
          </c:spPr>
        </c:majorGridlines>
        <c:title>
          <c:tx>
            <c:rich>
              <a:bodyPr/>
              <a:lstStyle/>
              <a:p>
                <a:pPr>
                  <a:defRPr sz="1000" b="1" i="0" u="none" strike="noStrike" baseline="0">
                    <a:solidFill>
                      <a:srgbClr val="000000"/>
                    </a:solidFill>
                    <a:latin typeface="Arial"/>
                    <a:ea typeface="Arial"/>
                    <a:cs typeface="Arial"/>
                  </a:defRPr>
                </a:pPr>
                <a:r>
                  <a:rPr lang="en-US"/>
                  <a:t>L/B</a:t>
                </a:r>
              </a:p>
            </c:rich>
          </c:tx>
          <c:layout>
            <c:manualLayout>
              <c:xMode val="edge"/>
              <c:yMode val="edge"/>
              <c:x val="1.4428412874583796E-2"/>
              <c:y val="0.46492659053833607"/>
            </c:manualLayout>
          </c:layout>
          <c:overlay val="0"/>
          <c:spPr>
            <a:noFill/>
            <a:ln w="25400">
              <a:noFill/>
            </a:ln>
          </c:spPr>
        </c:title>
        <c:numFmt formatCode="0" sourceLinked="0"/>
        <c:majorTickMark val="out"/>
        <c:minorTickMark val="none"/>
        <c:tickLblPos val="nextTo"/>
        <c:spPr>
          <a:ln w="3175">
            <a:solidFill>
              <a:srgbClr val="008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27678144"/>
        <c:crosses val="autoZero"/>
        <c:crossBetween val="midCat"/>
      </c:valAx>
      <c:spPr>
        <a:noFill/>
        <a:ln w="25400">
          <a:solidFill>
            <a:schemeClr val="tx1"/>
          </a:solidFill>
          <a:prstDash val="solid"/>
        </a:ln>
      </c:spPr>
    </c:plotArea>
    <c:legend>
      <c:legendPos val="r"/>
      <c:legendEntry>
        <c:idx val="0"/>
        <c:delete val="1"/>
      </c:legendEntry>
      <c:legendEntry>
        <c:idx val="6"/>
        <c:delete val="1"/>
      </c:legendEntry>
      <c:legendEntry>
        <c:idx val="7"/>
        <c:delete val="1"/>
      </c:legendEntry>
      <c:legendEntry>
        <c:idx val="8"/>
        <c:delete val="1"/>
      </c:legendEntry>
      <c:layout>
        <c:manualLayout>
          <c:xMode val="edge"/>
          <c:yMode val="edge"/>
          <c:x val="0.76470588235294112"/>
          <c:y val="0.49592169657422513"/>
          <c:w val="0.23418423973362934"/>
          <c:h val="0.41109298531810767"/>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7.bin"/></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9.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bin"/></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6.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horizontalDpi="300" verticalDpi="30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2.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3.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4.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5.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6.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17.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horizontalDpi="300" verticalDpi="300" r:id="rId1"/>
  <headerFooter alignWithMargins="0"/>
  <drawing r:id="rId2"/>
</chartsheet>
</file>

<file path=xl/chartsheets/sheet18.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headerFooter alignWithMargins="0"/>
  <drawing r:id="rId1"/>
</chartsheet>
</file>

<file path=xl/chartsheets/sheet19.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headerFooter alignWithMargins="0"/>
  <drawing r:id="rId1"/>
</chartsheet>
</file>

<file path=xl/chartsheets/sheet21.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22.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24.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headerFooter alignWithMargins="0"/>
  <drawing r:id="rId1"/>
</chartsheet>
</file>

<file path=xl/chartsheets/sheet25.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headerFooter alignWithMargins="0"/>
  <drawing r:id="rId1"/>
</chartsheet>
</file>

<file path=xl/chartsheets/sheet26.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headerFooter alignWithMargins="0"/>
  <drawing r:id="rId1"/>
</chartsheet>
</file>

<file path=xl/chartsheets/sheet27.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pageSetup orientation="landscape" horizontalDpi="300" verticalDpi="300" r:id="rId1"/>
  <headerFooter alignWithMargins="0"/>
  <drawing r:id="rId2"/>
</chartsheet>
</file>

<file path=xl/chartsheets/sheet9.xml><?xml version="1.0" encoding="utf-8"?>
<chartsheet xmlns="http://schemas.openxmlformats.org/spreadsheetml/2006/main" xmlns:r="http://schemas.openxmlformats.org/officeDocument/2006/relationships">
  <sheetPr>
    <tabColor rgb="FFFFFF99"/>
  </sheetPr>
  <sheetViews>
    <sheetView zoomScale="128" workbookViewId="0"/>
  </sheetViews>
  <pageMargins left="0.75" right="0.75" top="1" bottom="1" header="0.5" footer="0.5"/>
  <headerFooter alignWithMargins="0"/>
  <drawing r:id="rId1"/>
</chartsheet>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4248150</xdr:colOff>
      <xdr:row>4</xdr:row>
      <xdr:rowOff>9525</xdr:rowOff>
    </xdr:from>
    <xdr:to>
      <xdr:col>0</xdr:col>
      <xdr:colOff>4410075</xdr:colOff>
      <xdr:row>4</xdr:row>
      <xdr:rowOff>142875</xdr:rowOff>
    </xdr:to>
    <xdr:sp macro="" textlink="">
      <xdr:nvSpPr>
        <xdr:cNvPr id="2" name="Isosceles Triangle 1"/>
        <xdr:cNvSpPr/>
      </xdr:nvSpPr>
      <xdr:spPr>
        <a:xfrm>
          <a:off x="4248150" y="1190625"/>
          <a:ext cx="161925" cy="133350"/>
        </a:xfrm>
        <a:prstGeom prst="triangle">
          <a:avLst/>
        </a:prstGeom>
        <a:solidFill>
          <a:schemeClr val="accent4">
            <a:lumMod val="75000"/>
          </a:schemeClr>
        </a:solidFill>
        <a:ln>
          <a:solidFill>
            <a:schemeClr val="accent4">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4248150</xdr:colOff>
      <xdr:row>5</xdr:row>
      <xdr:rowOff>19050</xdr:rowOff>
    </xdr:from>
    <xdr:to>
      <xdr:col>0</xdr:col>
      <xdr:colOff>4410075</xdr:colOff>
      <xdr:row>5</xdr:row>
      <xdr:rowOff>180975</xdr:rowOff>
    </xdr:to>
    <xdr:sp macro="" textlink="">
      <xdr:nvSpPr>
        <xdr:cNvPr id="3" name="Oval 2"/>
        <xdr:cNvSpPr/>
      </xdr:nvSpPr>
      <xdr:spPr>
        <a:xfrm>
          <a:off x="4248150" y="1397000"/>
          <a:ext cx="161925" cy="1619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4257675</xdr:colOff>
      <xdr:row>6</xdr:row>
      <xdr:rowOff>28575</xdr:rowOff>
    </xdr:from>
    <xdr:to>
      <xdr:col>0</xdr:col>
      <xdr:colOff>4400550</xdr:colOff>
      <xdr:row>6</xdr:row>
      <xdr:rowOff>171450</xdr:rowOff>
    </xdr:to>
    <xdr:sp macro="" textlink="">
      <xdr:nvSpPr>
        <xdr:cNvPr id="4" name="Rectangle 3"/>
        <xdr:cNvSpPr/>
      </xdr:nvSpPr>
      <xdr:spPr>
        <a:xfrm>
          <a:off x="4257675" y="1603375"/>
          <a:ext cx="142875" cy="142875"/>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4248150</xdr:colOff>
      <xdr:row>7</xdr:row>
      <xdr:rowOff>28575</xdr:rowOff>
    </xdr:from>
    <xdr:to>
      <xdr:col>0</xdr:col>
      <xdr:colOff>4410075</xdr:colOff>
      <xdr:row>7</xdr:row>
      <xdr:rowOff>190500</xdr:rowOff>
    </xdr:to>
    <xdr:sp macro="" textlink="">
      <xdr:nvSpPr>
        <xdr:cNvPr id="5" name="Diamond 4"/>
        <xdr:cNvSpPr/>
      </xdr:nvSpPr>
      <xdr:spPr>
        <a:xfrm>
          <a:off x="4248150" y="1800225"/>
          <a:ext cx="161925" cy="161925"/>
        </a:xfrm>
        <a:prstGeom prst="diamond">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4238625</xdr:colOff>
      <xdr:row>13</xdr:row>
      <xdr:rowOff>28575</xdr:rowOff>
    </xdr:from>
    <xdr:to>
      <xdr:col>0</xdr:col>
      <xdr:colOff>4400550</xdr:colOff>
      <xdr:row>13</xdr:row>
      <xdr:rowOff>190500</xdr:rowOff>
    </xdr:to>
    <xdr:sp macro="" textlink="">
      <xdr:nvSpPr>
        <xdr:cNvPr id="6" name="Oval 5"/>
        <xdr:cNvSpPr/>
      </xdr:nvSpPr>
      <xdr:spPr>
        <a:xfrm>
          <a:off x="4238625" y="3571875"/>
          <a:ext cx="161925" cy="161925"/>
        </a:xfrm>
        <a:prstGeom prst="ellipse">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4267200</xdr:colOff>
      <xdr:row>10</xdr:row>
      <xdr:rowOff>28575</xdr:rowOff>
    </xdr:from>
    <xdr:to>
      <xdr:col>0</xdr:col>
      <xdr:colOff>4429125</xdr:colOff>
      <xdr:row>10</xdr:row>
      <xdr:rowOff>190500</xdr:rowOff>
    </xdr:to>
    <xdr:sp macro="" textlink="">
      <xdr:nvSpPr>
        <xdr:cNvPr id="7" name="Diamond 6"/>
        <xdr:cNvSpPr/>
      </xdr:nvSpPr>
      <xdr:spPr>
        <a:xfrm>
          <a:off x="4267200" y="2784475"/>
          <a:ext cx="161925" cy="161925"/>
        </a:xfrm>
        <a:prstGeom prst="diamond">
          <a:avLst/>
        </a:prstGeom>
        <a:solidFill>
          <a:schemeClr val="bg1"/>
        </a:solidFill>
        <a:ln w="3810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4181475</xdr:colOff>
      <xdr:row>18</xdr:row>
      <xdr:rowOff>190500</xdr:rowOff>
    </xdr:from>
    <xdr:to>
      <xdr:col>0</xdr:col>
      <xdr:colOff>4400550</xdr:colOff>
      <xdr:row>20</xdr:row>
      <xdr:rowOff>9525</xdr:rowOff>
    </xdr:to>
    <xdr:sp macro="" textlink="">
      <xdr:nvSpPr>
        <xdr:cNvPr id="8" name="Plus Sign 7"/>
        <xdr:cNvSpPr/>
      </xdr:nvSpPr>
      <xdr:spPr>
        <a:xfrm>
          <a:off x="4181475" y="4718050"/>
          <a:ext cx="219075" cy="212725"/>
        </a:xfrm>
        <a:prstGeom prst="mathPlus">
          <a:avLst/>
        </a:prstGeom>
        <a:solidFill>
          <a:srgbClr val="00B050"/>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0.818</cdr:x>
      <cdr:y>0.0715</cdr:y>
    </cdr:from>
    <cdr:to>
      <cdr:x>0.911</cdr:x>
      <cdr:y>0.12425</cdr:y>
    </cdr:to>
    <cdr:sp macro="" textlink="">
      <cdr:nvSpPr>
        <cdr:cNvPr id="73729" name="Text Box 1"/>
        <cdr:cNvSpPr txBox="1">
          <a:spLocks xmlns:a="http://schemas.openxmlformats.org/drawingml/2006/main" noChangeArrowheads="1"/>
        </cdr:cNvSpPr>
      </cdr:nvSpPr>
      <cdr:spPr bwMode="auto">
        <a:xfrm xmlns:a="http://schemas.openxmlformats.org/drawingml/2006/main">
          <a:off x="7020096" y="417476"/>
          <a:ext cx="798129" cy="307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0.25175</cdr:x>
      <cdr:y>0.745</cdr:y>
    </cdr:from>
    <cdr:to>
      <cdr:x>0.75425</cdr:x>
      <cdr:y>0.88825</cdr:y>
    </cdr:to>
    <cdr:sp macro="" textlink="">
      <cdr:nvSpPr>
        <cdr:cNvPr id="73730" name="Text Box 2"/>
        <cdr:cNvSpPr txBox="1">
          <a:spLocks xmlns:a="http://schemas.openxmlformats.org/drawingml/2006/main" noChangeArrowheads="1"/>
        </cdr:cNvSpPr>
      </cdr:nvSpPr>
      <cdr:spPr bwMode="auto">
        <a:xfrm xmlns:a="http://schemas.openxmlformats.org/drawingml/2006/main">
          <a:off x="2160525" y="4349925"/>
          <a:ext cx="4312467" cy="8364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             2   110WPB           3   123WPB                 4   Fremantle        </a:t>
          </a:r>
        </a:p>
        <a:p xmlns:a="http://schemas.openxmlformats.org/drawingml/2006/main">
          <a:pPr algn="l" rtl="0">
            <a:defRPr sz="1000"/>
          </a:pPr>
          <a:r>
            <a:rPr lang="en-US" sz="1000" b="1" i="0" u="none" strike="noStrike" baseline="0">
              <a:solidFill>
                <a:srgbClr val="993300"/>
              </a:solidFill>
              <a:latin typeface="Arial"/>
              <a:cs typeface="Arial"/>
            </a:rPr>
            <a:t>  5   Stanflex      6   Damen 4207     7   Philipines LPC     8   Damen 4708   </a:t>
          </a:r>
        </a:p>
        <a:p xmlns:a="http://schemas.openxmlformats.org/drawingml/2006/main">
          <a:pPr algn="l" rtl="0">
            <a:defRPr sz="1000"/>
          </a:pPr>
          <a:r>
            <a:rPr lang="en-US" sz="1000" b="1" i="0" u="none" strike="noStrike" baseline="0">
              <a:solidFill>
                <a:srgbClr val="993300"/>
              </a:solidFill>
              <a:latin typeface="Arial"/>
              <a:cs typeface="Arial"/>
            </a:rPr>
            <a:t>  9   Cyclone    10   Armidale         </a:t>
          </a:r>
          <a:r>
            <a:rPr lang="en-US" sz="1000" b="1" i="0" u="none" strike="noStrike" baseline="0">
              <a:solidFill>
                <a:srgbClr val="808000"/>
              </a:solidFill>
              <a:latin typeface="Arial"/>
              <a:cs typeface="Arial"/>
            </a:rPr>
            <a:t>11   Helsinki                12   Rauma</a:t>
          </a:r>
        </a:p>
        <a:p xmlns:a="http://schemas.openxmlformats.org/drawingml/2006/main">
          <a:pPr algn="l" rtl="0">
            <a:defRPr sz="1000"/>
          </a:pPr>
          <a:r>
            <a:rPr lang="en-US" sz="1000" b="1" i="0" u="none" strike="noStrike" baseline="0">
              <a:solidFill>
                <a:srgbClr val="808000"/>
              </a:solidFill>
              <a:latin typeface="Arial"/>
              <a:cs typeface="Arial"/>
            </a:rPr>
            <a:t>13   Hamina     14   Ramadan        </a:t>
          </a: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0.6875</cdr:x>
      <cdr:y>0.96025</cdr:y>
    </cdr:from>
    <cdr:to>
      <cdr:x>0.991</cdr:x>
      <cdr:y>0.99</cdr:y>
    </cdr:to>
    <cdr:sp macro="" textlink="">
      <cdr:nvSpPr>
        <cdr:cNvPr id="73731" name="Text Box 3"/>
        <cdr:cNvSpPr txBox="1">
          <a:spLocks xmlns:a="http://schemas.openxmlformats.org/drawingml/2006/main" noChangeArrowheads="1"/>
        </cdr:cNvSpPr>
      </cdr:nvSpPr>
      <cdr:spPr bwMode="auto">
        <a:xfrm xmlns:a="http://schemas.openxmlformats.org/drawingml/2006/main">
          <a:off x="5900142" y="5606732"/>
          <a:ext cx="2604645"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0.2315</cdr:x>
      <cdr:y>0.58525</cdr:y>
    </cdr:from>
    <cdr:to>
      <cdr:x>0.25725</cdr:x>
      <cdr:y>0.61625</cdr:y>
    </cdr:to>
    <cdr:sp macro="" textlink="">
      <cdr:nvSpPr>
        <cdr:cNvPr id="73732" name="Text Box 4"/>
        <cdr:cNvSpPr txBox="1">
          <a:spLocks xmlns:a="http://schemas.openxmlformats.org/drawingml/2006/main" noChangeArrowheads="1"/>
        </cdr:cNvSpPr>
      </cdr:nvSpPr>
      <cdr:spPr bwMode="auto">
        <a:xfrm xmlns:a="http://schemas.openxmlformats.org/drawingml/2006/main">
          <a:off x="1986739" y="3417172"/>
          <a:ext cx="220987"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0.33375</cdr:x>
      <cdr:y>0.5115</cdr:y>
    </cdr:from>
    <cdr:to>
      <cdr:x>0.35675</cdr:x>
      <cdr:y>0.545</cdr:y>
    </cdr:to>
    <cdr:sp macro="" textlink="">
      <cdr:nvSpPr>
        <cdr:cNvPr id="73733" name="Text Box 5"/>
        <cdr:cNvSpPr txBox="1">
          <a:spLocks xmlns:a="http://schemas.openxmlformats.org/drawingml/2006/main" noChangeArrowheads="1"/>
        </cdr:cNvSpPr>
      </cdr:nvSpPr>
      <cdr:spPr bwMode="auto">
        <a:xfrm xmlns:a="http://schemas.openxmlformats.org/drawingml/2006/main">
          <a:off x="2864251" y="2986559"/>
          <a:ext cx="197386" cy="195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0.36925</cdr:x>
      <cdr:y>0.501</cdr:y>
    </cdr:from>
    <cdr:to>
      <cdr:x>0.40075</cdr:x>
      <cdr:y>0.53375</cdr:y>
    </cdr:to>
    <cdr:sp macro="" textlink="">
      <cdr:nvSpPr>
        <cdr:cNvPr id="73734" name="Text Box 6"/>
        <cdr:cNvSpPr txBox="1">
          <a:spLocks xmlns:a="http://schemas.openxmlformats.org/drawingml/2006/main" noChangeArrowheads="1"/>
        </cdr:cNvSpPr>
      </cdr:nvSpPr>
      <cdr:spPr bwMode="auto">
        <a:xfrm xmlns:a="http://schemas.openxmlformats.org/drawingml/2006/main">
          <a:off x="3168913" y="2925251"/>
          <a:ext cx="270334"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0.322</cdr:x>
      <cdr:y>0.4435</cdr:y>
    </cdr:from>
    <cdr:to>
      <cdr:x>0.37775</cdr:x>
      <cdr:y>0.4715</cdr:y>
    </cdr:to>
    <cdr:sp macro="" textlink="">
      <cdr:nvSpPr>
        <cdr:cNvPr id="73735" name="Text Box 7"/>
        <cdr:cNvSpPr txBox="1">
          <a:spLocks xmlns:a="http://schemas.openxmlformats.org/drawingml/2006/main" noChangeArrowheads="1"/>
        </cdr:cNvSpPr>
      </cdr:nvSpPr>
      <cdr:spPr bwMode="auto">
        <a:xfrm xmlns:a="http://schemas.openxmlformats.org/drawingml/2006/main">
          <a:off x="2763412" y="2589519"/>
          <a:ext cx="478448"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0.45</cdr:x>
      <cdr:y>0.39125</cdr:y>
    </cdr:from>
    <cdr:to>
      <cdr:x>0.4695</cdr:x>
      <cdr:y>0.4205</cdr:y>
    </cdr:to>
    <cdr:sp macro="" textlink="">
      <cdr:nvSpPr>
        <cdr:cNvPr id="73736" name="Text Box 8"/>
        <cdr:cNvSpPr txBox="1">
          <a:spLocks xmlns:a="http://schemas.openxmlformats.org/drawingml/2006/main" noChangeArrowheads="1"/>
        </cdr:cNvSpPr>
      </cdr:nvSpPr>
      <cdr:spPr bwMode="auto">
        <a:xfrm xmlns:a="http://schemas.openxmlformats.org/drawingml/2006/main">
          <a:off x="3861911" y="2284440"/>
          <a:ext cx="167350" cy="170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0.3895</cdr:x>
      <cdr:y>0.34775</cdr:y>
    </cdr:from>
    <cdr:to>
      <cdr:x>0.42025</cdr:x>
      <cdr:y>0.37725</cdr:y>
    </cdr:to>
    <cdr:sp macro="" textlink="">
      <cdr:nvSpPr>
        <cdr:cNvPr id="73737" name="Text Box 9"/>
        <cdr:cNvSpPr txBox="1">
          <a:spLocks xmlns:a="http://schemas.openxmlformats.org/drawingml/2006/main" noChangeArrowheads="1"/>
        </cdr:cNvSpPr>
      </cdr:nvSpPr>
      <cdr:spPr bwMode="auto">
        <a:xfrm xmlns:a="http://schemas.openxmlformats.org/drawingml/2006/main">
          <a:off x="3342699" y="2030451"/>
          <a:ext cx="263897"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0.36925</cdr:x>
      <cdr:y>0.45675</cdr:y>
    </cdr:from>
    <cdr:to>
      <cdr:x>0.42025</cdr:x>
      <cdr:y>0.48775</cdr:y>
    </cdr:to>
    <cdr:sp macro="" textlink="">
      <cdr:nvSpPr>
        <cdr:cNvPr id="73738" name="Text Box 10"/>
        <cdr:cNvSpPr txBox="1">
          <a:spLocks xmlns:a="http://schemas.openxmlformats.org/drawingml/2006/main" noChangeArrowheads="1"/>
        </cdr:cNvSpPr>
      </cdr:nvSpPr>
      <cdr:spPr bwMode="auto">
        <a:xfrm xmlns:a="http://schemas.openxmlformats.org/drawingml/2006/main">
          <a:off x="3168913" y="2666883"/>
          <a:ext cx="43768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0.34975</cdr:x>
      <cdr:y>0.39025</cdr:y>
    </cdr:from>
    <cdr:to>
      <cdr:x>0.37775</cdr:x>
      <cdr:y>0.4215</cdr:y>
    </cdr:to>
    <cdr:sp macro="" textlink="">
      <cdr:nvSpPr>
        <cdr:cNvPr id="73739" name="Text Box 11"/>
        <cdr:cNvSpPr txBox="1">
          <a:spLocks xmlns:a="http://schemas.openxmlformats.org/drawingml/2006/main" noChangeArrowheads="1"/>
        </cdr:cNvSpPr>
      </cdr:nvSpPr>
      <cdr:spPr bwMode="auto">
        <a:xfrm xmlns:a="http://schemas.openxmlformats.org/drawingml/2006/main">
          <a:off x="3001563" y="2278601"/>
          <a:ext cx="240297" cy="1824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0.393</cdr:x>
      <cdr:y>0.57775</cdr:y>
    </cdr:from>
    <cdr:to>
      <cdr:x>0.42075</cdr:x>
      <cdr:y>0.60725</cdr:y>
    </cdr:to>
    <cdr:sp macro="" textlink="">
      <cdr:nvSpPr>
        <cdr:cNvPr id="73740" name="Text Box 12"/>
        <cdr:cNvSpPr txBox="1">
          <a:spLocks xmlns:a="http://schemas.openxmlformats.org/drawingml/2006/main" noChangeArrowheads="1"/>
        </cdr:cNvSpPr>
      </cdr:nvSpPr>
      <cdr:spPr bwMode="auto">
        <a:xfrm xmlns:a="http://schemas.openxmlformats.org/drawingml/2006/main">
          <a:off x="3372736" y="3373381"/>
          <a:ext cx="238151"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0.24625</cdr:x>
      <cdr:y>0.4715</cdr:y>
    </cdr:from>
    <cdr:to>
      <cdr:x>0.272</cdr:x>
      <cdr:y>0.501</cdr:y>
    </cdr:to>
    <cdr:sp macro="" textlink="">
      <cdr:nvSpPr>
        <cdr:cNvPr id="73741" name="Text Box 13"/>
        <cdr:cNvSpPr txBox="1">
          <a:spLocks xmlns:a="http://schemas.openxmlformats.org/drawingml/2006/main" noChangeArrowheads="1"/>
        </cdr:cNvSpPr>
      </cdr:nvSpPr>
      <cdr:spPr bwMode="auto">
        <a:xfrm xmlns:a="http://schemas.openxmlformats.org/drawingml/2006/main">
          <a:off x="2113324" y="2753006"/>
          <a:ext cx="220987"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0.3665</cdr:x>
      <cdr:y>0.5665</cdr:y>
    </cdr:from>
    <cdr:to>
      <cdr:x>0.39225</cdr:x>
      <cdr:y>0.59675</cdr:y>
    </cdr:to>
    <cdr:sp macro="" textlink="">
      <cdr:nvSpPr>
        <cdr:cNvPr id="73742" name="Text Box 14"/>
        <cdr:cNvSpPr txBox="1">
          <a:spLocks xmlns:a="http://schemas.openxmlformats.org/drawingml/2006/main" noChangeArrowheads="1"/>
        </cdr:cNvSpPr>
      </cdr:nvSpPr>
      <cdr:spPr bwMode="auto">
        <a:xfrm xmlns:a="http://schemas.openxmlformats.org/drawingml/2006/main">
          <a:off x="3145312" y="3307694"/>
          <a:ext cx="220987"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0.8175</cdr:x>
      <cdr:y>0.704</cdr:y>
    </cdr:from>
    <cdr:to>
      <cdr:x>0.863</cdr:x>
      <cdr:y>0.7335</cdr:y>
    </cdr:to>
    <cdr:sp macro="" textlink="">
      <cdr:nvSpPr>
        <cdr:cNvPr id="73743" name="Text Box 15"/>
        <cdr:cNvSpPr txBox="1">
          <a:spLocks xmlns:a="http://schemas.openxmlformats.org/drawingml/2006/main" noChangeArrowheads="1"/>
        </cdr:cNvSpPr>
      </cdr:nvSpPr>
      <cdr:spPr bwMode="auto">
        <a:xfrm xmlns:a="http://schemas.openxmlformats.org/drawingml/2006/main">
          <a:off x="7015805" y="4110533"/>
          <a:ext cx="390483"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0.74975</cdr:y>
    </cdr:from>
    <cdr:to>
      <cdr:x>0.863</cdr:x>
      <cdr:y>0.781</cdr:y>
    </cdr:to>
    <cdr:sp macro="" textlink="">
      <cdr:nvSpPr>
        <cdr:cNvPr id="73744" name="Text Box 16"/>
        <cdr:cNvSpPr txBox="1">
          <a:spLocks xmlns:a="http://schemas.openxmlformats.org/drawingml/2006/main" noChangeArrowheads="1"/>
        </cdr:cNvSpPr>
      </cdr:nvSpPr>
      <cdr:spPr bwMode="auto">
        <a:xfrm xmlns:a="http://schemas.openxmlformats.org/drawingml/2006/main">
          <a:off x="7015805" y="4377659"/>
          <a:ext cx="390483"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0.78425</cdr:y>
    </cdr:from>
    <cdr:to>
      <cdr:x>0.86175</cdr:x>
      <cdr:y>0.81375</cdr:y>
    </cdr:to>
    <cdr:sp macro="" textlink="">
      <cdr:nvSpPr>
        <cdr:cNvPr id="73745" name="Text Box 17"/>
        <cdr:cNvSpPr txBox="1">
          <a:spLocks xmlns:a="http://schemas.openxmlformats.org/drawingml/2006/main" noChangeArrowheads="1"/>
        </cdr:cNvSpPr>
      </cdr:nvSpPr>
      <cdr:spPr bwMode="auto">
        <a:xfrm xmlns:a="http://schemas.openxmlformats.org/drawingml/2006/main">
          <a:off x="7015805" y="4579099"/>
          <a:ext cx="379755"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0.82525</cdr:y>
    </cdr:from>
    <cdr:to>
      <cdr:x>0.863</cdr:x>
      <cdr:y>0.86775</cdr:y>
    </cdr:to>
    <cdr:sp macro="" textlink="">
      <cdr:nvSpPr>
        <cdr:cNvPr id="73746" name="Text Box 18"/>
        <cdr:cNvSpPr txBox="1">
          <a:spLocks xmlns:a="http://schemas.openxmlformats.org/drawingml/2006/main" noChangeArrowheads="1"/>
        </cdr:cNvSpPr>
      </cdr:nvSpPr>
      <cdr:spPr bwMode="auto">
        <a:xfrm xmlns:a="http://schemas.openxmlformats.org/drawingml/2006/main">
          <a:off x="7015805" y="4818490"/>
          <a:ext cx="390483"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0.867</cdr:y>
    </cdr:from>
    <cdr:to>
      <cdr:x>0.863</cdr:x>
      <cdr:y>0.9</cdr:y>
    </cdr:to>
    <cdr:sp macro="" textlink="">
      <cdr:nvSpPr>
        <cdr:cNvPr id="73747" name="Text Box 19"/>
        <cdr:cNvSpPr txBox="1">
          <a:spLocks xmlns:a="http://schemas.openxmlformats.org/drawingml/2006/main" noChangeArrowheads="1"/>
        </cdr:cNvSpPr>
      </cdr:nvSpPr>
      <cdr:spPr bwMode="auto">
        <a:xfrm xmlns:a="http://schemas.openxmlformats.org/drawingml/2006/main">
          <a:off x="7015805" y="5062261"/>
          <a:ext cx="390483" cy="1926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0.82725</cdr:x>
      <cdr:y>0.06075</cdr:y>
    </cdr:from>
    <cdr:to>
      <cdr:x>0.92025</cdr:x>
      <cdr:y>0.11375</cdr:y>
    </cdr:to>
    <cdr:sp macro="" textlink="">
      <cdr:nvSpPr>
        <cdr:cNvPr id="74753" name="Text Box 1"/>
        <cdr:cNvSpPr txBox="1">
          <a:spLocks xmlns:a="http://schemas.openxmlformats.org/drawingml/2006/main" noChangeArrowheads="1"/>
        </cdr:cNvSpPr>
      </cdr:nvSpPr>
      <cdr:spPr bwMode="auto">
        <a:xfrm xmlns:a="http://schemas.openxmlformats.org/drawingml/2006/main">
          <a:off x="7099480" y="354709"/>
          <a:ext cx="798129" cy="3094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0.2515</cdr:x>
      <cdr:y>0.7435</cdr:y>
    </cdr:from>
    <cdr:to>
      <cdr:x>0.75375</cdr:x>
      <cdr:y>0.8875</cdr:y>
    </cdr:to>
    <cdr:sp macro="" textlink="">
      <cdr:nvSpPr>
        <cdr:cNvPr id="74754" name="Text Box 2"/>
        <cdr:cNvSpPr txBox="1">
          <a:spLocks xmlns:a="http://schemas.openxmlformats.org/drawingml/2006/main" noChangeArrowheads="1"/>
        </cdr:cNvSpPr>
      </cdr:nvSpPr>
      <cdr:spPr bwMode="auto">
        <a:xfrm xmlns:a="http://schemas.openxmlformats.org/drawingml/2006/main">
          <a:off x="2158379" y="4341166"/>
          <a:ext cx="4310322" cy="8407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             2   110WPB            3   123WPB                4   Fremantle        </a:t>
          </a:r>
        </a:p>
        <a:p xmlns:a="http://schemas.openxmlformats.org/drawingml/2006/main">
          <a:pPr algn="l" rtl="0">
            <a:defRPr sz="1000"/>
          </a:pPr>
          <a:r>
            <a:rPr lang="en-US" sz="1000" b="1" i="0" u="none" strike="noStrike" baseline="0">
              <a:solidFill>
                <a:srgbClr val="993300"/>
              </a:solidFill>
              <a:latin typeface="Arial"/>
              <a:cs typeface="Arial"/>
            </a:rPr>
            <a:t>  5   Stanflex      6   Damen 4207     7   Philipines LPC     8   Damen 4708   </a:t>
          </a:r>
        </a:p>
        <a:p xmlns:a="http://schemas.openxmlformats.org/drawingml/2006/main">
          <a:pPr algn="l" rtl="0">
            <a:defRPr sz="1000"/>
          </a:pPr>
          <a:r>
            <a:rPr lang="en-US" sz="1000" b="1" i="0" u="none" strike="noStrike" baseline="0">
              <a:solidFill>
                <a:srgbClr val="993300"/>
              </a:solidFill>
              <a:latin typeface="Arial"/>
              <a:cs typeface="Arial"/>
            </a:rPr>
            <a:t>  9   Cyclone    10   Armidale         </a:t>
          </a:r>
          <a:r>
            <a:rPr lang="en-US" sz="1000" b="1" i="0" u="none" strike="noStrike" baseline="0">
              <a:solidFill>
                <a:srgbClr val="808000"/>
              </a:solidFill>
              <a:latin typeface="Arial"/>
              <a:cs typeface="Arial"/>
            </a:rPr>
            <a:t>11   Helsinki                12   Rauma</a:t>
          </a:r>
        </a:p>
        <a:p xmlns:a="http://schemas.openxmlformats.org/drawingml/2006/main">
          <a:pPr algn="l" rtl="0">
            <a:defRPr sz="1000"/>
          </a:pPr>
          <a:r>
            <a:rPr lang="en-US" sz="1000" b="1" i="0" u="none" strike="noStrike" baseline="0">
              <a:solidFill>
                <a:srgbClr val="808000"/>
              </a:solidFill>
              <a:latin typeface="Arial"/>
              <a:cs typeface="Arial"/>
            </a:rPr>
            <a:t>13   Hamina     14   Ramadan        </a:t>
          </a: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0.687</cdr:x>
      <cdr:y>0.96725</cdr:y>
    </cdr:from>
    <cdr:to>
      <cdr:x>0.98925</cdr:x>
      <cdr:y>0.9965</cdr:y>
    </cdr:to>
    <cdr:sp macro="" textlink="">
      <cdr:nvSpPr>
        <cdr:cNvPr id="74755" name="Text Box 3"/>
        <cdr:cNvSpPr txBox="1">
          <a:spLocks xmlns:a="http://schemas.openxmlformats.org/drawingml/2006/main" noChangeArrowheads="1"/>
        </cdr:cNvSpPr>
      </cdr:nvSpPr>
      <cdr:spPr bwMode="auto">
        <a:xfrm xmlns:a="http://schemas.openxmlformats.org/drawingml/2006/main">
          <a:off x="5895851" y="5647603"/>
          <a:ext cx="2593917" cy="170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0.261</cdr:x>
      <cdr:y>0.61275</cdr:y>
    </cdr:from>
    <cdr:to>
      <cdr:x>0.2865</cdr:x>
      <cdr:y>0.644</cdr:y>
    </cdr:to>
    <cdr:sp macro="" textlink="">
      <cdr:nvSpPr>
        <cdr:cNvPr id="74756" name="Text Box 4"/>
        <cdr:cNvSpPr txBox="1">
          <a:spLocks xmlns:a="http://schemas.openxmlformats.org/drawingml/2006/main" noChangeArrowheads="1"/>
        </cdr:cNvSpPr>
      </cdr:nvSpPr>
      <cdr:spPr bwMode="auto">
        <a:xfrm xmlns:a="http://schemas.openxmlformats.org/drawingml/2006/main">
          <a:off x="2239909" y="3577740"/>
          <a:ext cx="218841"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0.33625</cdr:x>
      <cdr:y>0.39725</cdr:y>
    </cdr:from>
    <cdr:to>
      <cdr:x>0.35825</cdr:x>
      <cdr:y>0.432</cdr:y>
    </cdr:to>
    <cdr:sp macro="" textlink="">
      <cdr:nvSpPr>
        <cdr:cNvPr id="74757" name="Text Box 5"/>
        <cdr:cNvSpPr txBox="1">
          <a:spLocks xmlns:a="http://schemas.openxmlformats.org/drawingml/2006/main" noChangeArrowheads="1"/>
        </cdr:cNvSpPr>
      </cdr:nvSpPr>
      <cdr:spPr bwMode="auto">
        <a:xfrm xmlns:a="http://schemas.openxmlformats.org/drawingml/2006/main">
          <a:off x="2885706" y="2319473"/>
          <a:ext cx="188804" cy="202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0.39075</cdr:x>
      <cdr:y>0.2075</cdr:y>
    </cdr:from>
    <cdr:to>
      <cdr:x>0.42225</cdr:x>
      <cdr:y>0.24025</cdr:y>
    </cdr:to>
    <cdr:sp macro="" textlink="">
      <cdr:nvSpPr>
        <cdr:cNvPr id="74758" name="Text Box 6"/>
        <cdr:cNvSpPr txBox="1">
          <a:spLocks xmlns:a="http://schemas.openxmlformats.org/drawingml/2006/main" noChangeArrowheads="1"/>
        </cdr:cNvSpPr>
      </cdr:nvSpPr>
      <cdr:spPr bwMode="auto">
        <a:xfrm xmlns:a="http://schemas.openxmlformats.org/drawingml/2006/main">
          <a:off x="3353426" y="1211556"/>
          <a:ext cx="270334"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0.3155</cdr:x>
      <cdr:y>0.159</cdr:y>
    </cdr:from>
    <cdr:to>
      <cdr:x>0.39075</cdr:x>
      <cdr:y>0.18675</cdr:y>
    </cdr:to>
    <cdr:sp macro="" textlink="">
      <cdr:nvSpPr>
        <cdr:cNvPr id="74759" name="Text Box 7"/>
        <cdr:cNvSpPr txBox="1">
          <a:spLocks xmlns:a="http://schemas.openxmlformats.org/drawingml/2006/main" noChangeArrowheads="1"/>
        </cdr:cNvSpPr>
      </cdr:nvSpPr>
      <cdr:spPr bwMode="auto">
        <a:xfrm xmlns:a="http://schemas.openxmlformats.org/drawingml/2006/main">
          <a:off x="2707629" y="928373"/>
          <a:ext cx="645797" cy="162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0.45825</cdr:x>
      <cdr:y>0.42525</cdr:y>
    </cdr:from>
    <cdr:to>
      <cdr:x>0.47875</cdr:x>
      <cdr:y>0.455</cdr:y>
    </cdr:to>
    <cdr:sp macro="" textlink="">
      <cdr:nvSpPr>
        <cdr:cNvPr id="74760" name="Text Box 8"/>
        <cdr:cNvSpPr txBox="1">
          <a:spLocks xmlns:a="http://schemas.openxmlformats.org/drawingml/2006/main" noChangeArrowheads="1"/>
        </cdr:cNvSpPr>
      </cdr:nvSpPr>
      <cdr:spPr bwMode="auto">
        <a:xfrm xmlns:a="http://schemas.openxmlformats.org/drawingml/2006/main">
          <a:off x="3932713" y="2482960"/>
          <a:ext cx="175931"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0.39075</cdr:x>
      <cdr:y>0.39725</cdr:y>
    </cdr:from>
    <cdr:to>
      <cdr:x>0.42225</cdr:x>
      <cdr:y>0.42775</cdr:y>
    </cdr:to>
    <cdr:sp macro="" textlink="">
      <cdr:nvSpPr>
        <cdr:cNvPr id="74761" name="Text Box 9"/>
        <cdr:cNvSpPr txBox="1">
          <a:spLocks xmlns:a="http://schemas.openxmlformats.org/drawingml/2006/main" noChangeArrowheads="1"/>
        </cdr:cNvSpPr>
      </cdr:nvSpPr>
      <cdr:spPr bwMode="auto">
        <a:xfrm xmlns:a="http://schemas.openxmlformats.org/drawingml/2006/main">
          <a:off x="3353426" y="2319473"/>
          <a:ext cx="270334"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0.34725</cdr:x>
      <cdr:y>0.29775</cdr:y>
    </cdr:from>
    <cdr:to>
      <cdr:x>0.4085</cdr:x>
      <cdr:y>0.329</cdr:y>
    </cdr:to>
    <cdr:sp macro="" textlink="">
      <cdr:nvSpPr>
        <cdr:cNvPr id="74762" name="Text Box 10"/>
        <cdr:cNvSpPr txBox="1">
          <a:spLocks xmlns:a="http://schemas.openxmlformats.org/drawingml/2006/main" noChangeArrowheads="1"/>
        </cdr:cNvSpPr>
      </cdr:nvSpPr>
      <cdr:spPr bwMode="auto">
        <a:xfrm xmlns:a="http://schemas.openxmlformats.org/drawingml/2006/main">
          <a:off x="2980108" y="1738510"/>
          <a:ext cx="525649"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0.359</cdr:x>
      <cdr:y>0.4385</cdr:y>
    </cdr:from>
    <cdr:to>
      <cdr:x>0.38725</cdr:x>
      <cdr:y>0.4705</cdr:y>
    </cdr:to>
    <cdr:sp macro="" textlink="">
      <cdr:nvSpPr>
        <cdr:cNvPr id="74763" name="Text Box 11"/>
        <cdr:cNvSpPr txBox="1">
          <a:spLocks xmlns:a="http://schemas.openxmlformats.org/drawingml/2006/main" noChangeArrowheads="1"/>
        </cdr:cNvSpPr>
      </cdr:nvSpPr>
      <cdr:spPr bwMode="auto">
        <a:xfrm xmlns:a="http://schemas.openxmlformats.org/drawingml/2006/main">
          <a:off x="3080947" y="2560325"/>
          <a:ext cx="242442"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0.3995</cdr:x>
      <cdr:y>0.6275</cdr:y>
    </cdr:from>
    <cdr:to>
      <cdr:x>0.42725</cdr:x>
      <cdr:y>0.65625</cdr:y>
    </cdr:to>
    <cdr:sp macro="" textlink="">
      <cdr:nvSpPr>
        <cdr:cNvPr id="74764" name="Text Box 12"/>
        <cdr:cNvSpPr txBox="1">
          <a:spLocks xmlns:a="http://schemas.openxmlformats.org/drawingml/2006/main" noChangeArrowheads="1"/>
        </cdr:cNvSpPr>
      </cdr:nvSpPr>
      <cdr:spPr bwMode="auto">
        <a:xfrm xmlns:a="http://schemas.openxmlformats.org/drawingml/2006/main">
          <a:off x="3428519" y="3663863"/>
          <a:ext cx="238151"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0.2515</cdr:x>
      <cdr:y>0.56425</cdr:y>
    </cdr:from>
    <cdr:to>
      <cdr:x>0.277</cdr:x>
      <cdr:y>0.594</cdr:y>
    </cdr:to>
    <cdr:sp macro="" textlink="">
      <cdr:nvSpPr>
        <cdr:cNvPr id="74765" name="Text Box 13"/>
        <cdr:cNvSpPr txBox="1">
          <a:spLocks xmlns:a="http://schemas.openxmlformats.org/drawingml/2006/main" noChangeArrowheads="1"/>
        </cdr:cNvSpPr>
      </cdr:nvSpPr>
      <cdr:spPr bwMode="auto">
        <a:xfrm xmlns:a="http://schemas.openxmlformats.org/drawingml/2006/main">
          <a:off x="2158379" y="3294557"/>
          <a:ext cx="218842"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0.37625</cdr:x>
      <cdr:y>0.4985</cdr:y>
    </cdr:from>
    <cdr:to>
      <cdr:x>0.40175</cdr:x>
      <cdr:y>0.52725</cdr:y>
    </cdr:to>
    <cdr:sp macro="" textlink="">
      <cdr:nvSpPr>
        <cdr:cNvPr id="74766" name="Text Box 14"/>
        <cdr:cNvSpPr txBox="1">
          <a:spLocks xmlns:a="http://schemas.openxmlformats.org/drawingml/2006/main" noChangeArrowheads="1"/>
        </cdr:cNvSpPr>
      </cdr:nvSpPr>
      <cdr:spPr bwMode="auto">
        <a:xfrm xmlns:a="http://schemas.openxmlformats.org/drawingml/2006/main">
          <a:off x="3228987" y="2910654"/>
          <a:ext cx="218842"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0.81475</cdr:x>
      <cdr:y>0.71225</cdr:y>
    </cdr:from>
    <cdr:to>
      <cdr:x>0.86</cdr:x>
      <cdr:y>0.742</cdr:y>
    </cdr:to>
    <cdr:sp macro="" textlink="">
      <cdr:nvSpPr>
        <cdr:cNvPr id="74767" name="Text Box 15"/>
        <cdr:cNvSpPr txBox="1">
          <a:spLocks xmlns:a="http://schemas.openxmlformats.org/drawingml/2006/main" noChangeArrowheads="1"/>
        </cdr:cNvSpPr>
      </cdr:nvSpPr>
      <cdr:spPr bwMode="auto">
        <a:xfrm xmlns:a="http://schemas.openxmlformats.org/drawingml/2006/main">
          <a:off x="6992205" y="4158703"/>
          <a:ext cx="388337" cy="17370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0.81475</cdr:x>
      <cdr:y>0.755</cdr:y>
    </cdr:from>
    <cdr:to>
      <cdr:x>0.86</cdr:x>
      <cdr:y>0.7855</cdr:y>
    </cdr:to>
    <cdr:sp macro="" textlink="">
      <cdr:nvSpPr>
        <cdr:cNvPr id="74768" name="Text Box 16"/>
        <cdr:cNvSpPr txBox="1">
          <a:spLocks xmlns:a="http://schemas.openxmlformats.org/drawingml/2006/main" noChangeArrowheads="1"/>
        </cdr:cNvSpPr>
      </cdr:nvSpPr>
      <cdr:spPr bwMode="auto">
        <a:xfrm xmlns:a="http://schemas.openxmlformats.org/drawingml/2006/main">
          <a:off x="6992205" y="4408313"/>
          <a:ext cx="388337" cy="17808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0.81475</cdr:x>
      <cdr:y>0.79275</cdr:y>
    </cdr:from>
    <cdr:to>
      <cdr:x>0.859</cdr:x>
      <cdr:y>0.8225</cdr:y>
    </cdr:to>
    <cdr:sp macro="" textlink="">
      <cdr:nvSpPr>
        <cdr:cNvPr id="74769" name="Text Box 17"/>
        <cdr:cNvSpPr txBox="1">
          <a:spLocks xmlns:a="http://schemas.openxmlformats.org/drawingml/2006/main" noChangeArrowheads="1"/>
        </cdr:cNvSpPr>
      </cdr:nvSpPr>
      <cdr:spPr bwMode="auto">
        <a:xfrm xmlns:a="http://schemas.openxmlformats.org/drawingml/2006/main">
          <a:off x="6992205" y="4628729"/>
          <a:ext cx="379754" cy="17370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0.81475</cdr:x>
      <cdr:y>0.834</cdr:y>
    </cdr:from>
    <cdr:to>
      <cdr:x>0.86</cdr:x>
      <cdr:y>0.87675</cdr:y>
    </cdr:to>
    <cdr:sp macro="" textlink="">
      <cdr:nvSpPr>
        <cdr:cNvPr id="74770" name="Text Box 18"/>
        <cdr:cNvSpPr txBox="1">
          <a:spLocks xmlns:a="http://schemas.openxmlformats.org/drawingml/2006/main" noChangeArrowheads="1"/>
        </cdr:cNvSpPr>
      </cdr:nvSpPr>
      <cdr:spPr bwMode="auto">
        <a:xfrm xmlns:a="http://schemas.openxmlformats.org/drawingml/2006/main">
          <a:off x="6992205" y="4869580"/>
          <a:ext cx="388337"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0.81475</cdr:x>
      <cdr:y>0.876</cdr:y>
    </cdr:from>
    <cdr:to>
      <cdr:x>0.86</cdr:x>
      <cdr:y>0.908</cdr:y>
    </cdr:to>
    <cdr:sp macro="" textlink="">
      <cdr:nvSpPr>
        <cdr:cNvPr id="74771" name="Text Box 19"/>
        <cdr:cNvSpPr txBox="1">
          <a:spLocks xmlns:a="http://schemas.openxmlformats.org/drawingml/2006/main" noChangeArrowheads="1"/>
        </cdr:cNvSpPr>
      </cdr:nvSpPr>
      <cdr:spPr bwMode="auto">
        <a:xfrm xmlns:a="http://schemas.openxmlformats.org/drawingml/2006/main">
          <a:off x="6992205" y="5114811"/>
          <a:ext cx="388337" cy="186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0.831</cdr:x>
      <cdr:y>0.052</cdr:y>
    </cdr:from>
    <cdr:to>
      <cdr:x>0.90425</cdr:x>
      <cdr:y>0.10225</cdr:y>
    </cdr:to>
    <cdr:sp macro="" textlink="">
      <cdr:nvSpPr>
        <cdr:cNvPr id="38913" name="Text Box 1"/>
        <cdr:cNvSpPr txBox="1">
          <a:spLocks xmlns:a="http://schemas.openxmlformats.org/drawingml/2006/main" noChangeArrowheads="1"/>
        </cdr:cNvSpPr>
      </cdr:nvSpPr>
      <cdr:spPr bwMode="auto">
        <a:xfrm xmlns:a="http://schemas.openxmlformats.org/drawingml/2006/main">
          <a:off x="7131663" y="303619"/>
          <a:ext cx="628633" cy="2934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0.6835</cdr:x>
      <cdr:y>0.9575</cdr:y>
    </cdr:from>
    <cdr:to>
      <cdr:x>0.98625</cdr:x>
      <cdr:y>0.98625</cdr:y>
    </cdr:to>
    <cdr:sp macro="" textlink="">
      <cdr:nvSpPr>
        <cdr:cNvPr id="38914" name="Text Box 2"/>
        <cdr:cNvSpPr txBox="1">
          <a:spLocks xmlns:a="http://schemas.openxmlformats.org/drawingml/2006/main" noChangeArrowheads="1"/>
        </cdr:cNvSpPr>
      </cdr:nvSpPr>
      <cdr:spPr bwMode="auto">
        <a:xfrm xmlns:a="http://schemas.openxmlformats.org/drawingml/2006/main">
          <a:off x="5865814" y="5590675"/>
          <a:ext cx="2598208"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0.34575</cdr:x>
      <cdr:y>0.68475</cdr:y>
    </cdr:from>
    <cdr:to>
      <cdr:x>0.374</cdr:x>
      <cdr:y>0.7185</cdr:y>
    </cdr:to>
    <cdr:sp macro="" textlink="">
      <cdr:nvSpPr>
        <cdr:cNvPr id="38917" name="Text Box 5"/>
        <cdr:cNvSpPr txBox="1">
          <a:spLocks xmlns:a="http://schemas.openxmlformats.org/drawingml/2006/main" noChangeArrowheads="1"/>
        </cdr:cNvSpPr>
      </cdr:nvSpPr>
      <cdr:spPr bwMode="auto">
        <a:xfrm xmlns:a="http://schemas.openxmlformats.org/drawingml/2006/main">
          <a:off x="2967235" y="3998135"/>
          <a:ext cx="242442" cy="1970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0.26475</cdr:x>
      <cdr:y>0.73</cdr:y>
    </cdr:from>
    <cdr:to>
      <cdr:x>0.29025</cdr:x>
      <cdr:y>0.761</cdr:y>
    </cdr:to>
    <cdr:sp macro="" textlink="">
      <cdr:nvSpPr>
        <cdr:cNvPr id="38918" name="Text Box 6"/>
        <cdr:cNvSpPr txBox="1">
          <a:spLocks xmlns:a="http://schemas.openxmlformats.org/drawingml/2006/main" noChangeArrowheads="1"/>
        </cdr:cNvSpPr>
      </cdr:nvSpPr>
      <cdr:spPr bwMode="auto">
        <a:xfrm xmlns:a="http://schemas.openxmlformats.org/drawingml/2006/main">
          <a:off x="2272091" y="4262342"/>
          <a:ext cx="218842"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0.35625</cdr:x>
      <cdr:y>0.6625</cdr:y>
    </cdr:from>
    <cdr:to>
      <cdr:x>0.38025</cdr:x>
      <cdr:y>0.697</cdr:y>
    </cdr:to>
    <cdr:sp macro="" textlink="">
      <cdr:nvSpPr>
        <cdr:cNvPr id="38920" name="Text Box 8"/>
        <cdr:cNvSpPr txBox="1">
          <a:spLocks xmlns:a="http://schemas.openxmlformats.org/drawingml/2006/main" noChangeArrowheads="1"/>
        </cdr:cNvSpPr>
      </cdr:nvSpPr>
      <cdr:spPr bwMode="auto">
        <a:xfrm xmlns:a="http://schemas.openxmlformats.org/drawingml/2006/main">
          <a:off x="3057346" y="3868222"/>
          <a:ext cx="205969"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0.38525</cdr:x>
      <cdr:y>0.56425</cdr:y>
    </cdr:from>
    <cdr:to>
      <cdr:x>0.42525</cdr:x>
      <cdr:y>0.59625</cdr:y>
    </cdr:to>
    <cdr:sp macro="" textlink="">
      <cdr:nvSpPr>
        <cdr:cNvPr id="38921" name="Text Box 9"/>
        <cdr:cNvSpPr txBox="1">
          <a:spLocks xmlns:a="http://schemas.openxmlformats.org/drawingml/2006/main" noChangeArrowheads="1"/>
        </cdr:cNvSpPr>
      </cdr:nvSpPr>
      <cdr:spPr bwMode="auto">
        <a:xfrm xmlns:a="http://schemas.openxmlformats.org/drawingml/2006/main">
          <a:off x="3306225" y="3294557"/>
          <a:ext cx="343281"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0.33175</cdr:x>
      <cdr:y>0.72575</cdr:y>
    </cdr:from>
    <cdr:to>
      <cdr:x>0.40775</cdr:x>
      <cdr:y>0.75375</cdr:y>
    </cdr:to>
    <cdr:sp macro="" textlink="">
      <cdr:nvSpPr>
        <cdr:cNvPr id="38922" name="Text Box 10"/>
        <cdr:cNvSpPr txBox="1">
          <a:spLocks xmlns:a="http://schemas.openxmlformats.org/drawingml/2006/main" noChangeArrowheads="1"/>
        </cdr:cNvSpPr>
      </cdr:nvSpPr>
      <cdr:spPr bwMode="auto">
        <a:xfrm xmlns:a="http://schemas.openxmlformats.org/drawingml/2006/main">
          <a:off x="2847087" y="4237527"/>
          <a:ext cx="652234"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0.46325</cdr:x>
      <cdr:y>0.6215</cdr:y>
    </cdr:from>
    <cdr:to>
      <cdr:x>0.48425</cdr:x>
      <cdr:y>0.652</cdr:y>
    </cdr:to>
    <cdr:sp macro="" textlink="">
      <cdr:nvSpPr>
        <cdr:cNvPr id="38923" name="Text Box 11"/>
        <cdr:cNvSpPr txBox="1">
          <a:spLocks xmlns:a="http://schemas.openxmlformats.org/drawingml/2006/main" noChangeArrowheads="1"/>
        </cdr:cNvSpPr>
      </cdr:nvSpPr>
      <cdr:spPr bwMode="auto">
        <a:xfrm xmlns:a="http://schemas.openxmlformats.org/drawingml/2006/main">
          <a:off x="3975623" y="3628830"/>
          <a:ext cx="180223"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0.42525</cdr:x>
      <cdr:y>0.59625</cdr:y>
    </cdr:from>
    <cdr:to>
      <cdr:x>0.45625</cdr:x>
      <cdr:y>0.62725</cdr:y>
    </cdr:to>
    <cdr:sp macro="" textlink="">
      <cdr:nvSpPr>
        <cdr:cNvPr id="38924" name="Text Box 12"/>
        <cdr:cNvSpPr txBox="1">
          <a:spLocks xmlns:a="http://schemas.openxmlformats.org/drawingml/2006/main" noChangeArrowheads="1"/>
        </cdr:cNvSpPr>
      </cdr:nvSpPr>
      <cdr:spPr bwMode="auto">
        <a:xfrm xmlns:a="http://schemas.openxmlformats.org/drawingml/2006/main">
          <a:off x="3649506" y="3481399"/>
          <a:ext cx="26604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0.36975</cdr:x>
      <cdr:y>0.706</cdr:y>
    </cdr:from>
    <cdr:to>
      <cdr:x>0.43225</cdr:x>
      <cdr:y>0.73725</cdr:y>
    </cdr:to>
    <cdr:sp macro="" textlink="">
      <cdr:nvSpPr>
        <cdr:cNvPr id="38925" name="Text Box 13"/>
        <cdr:cNvSpPr txBox="1">
          <a:spLocks xmlns:a="http://schemas.openxmlformats.org/drawingml/2006/main" noChangeArrowheads="1"/>
        </cdr:cNvSpPr>
      </cdr:nvSpPr>
      <cdr:spPr bwMode="auto">
        <a:xfrm xmlns:a="http://schemas.openxmlformats.org/drawingml/2006/main">
          <a:off x="3173204" y="4122210"/>
          <a:ext cx="536376" cy="1824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0.357</cdr:x>
      <cdr:y>0.48875</cdr:y>
    </cdr:from>
    <cdr:to>
      <cdr:x>0.38525</cdr:x>
      <cdr:y>0.52075</cdr:y>
    </cdr:to>
    <cdr:sp macro="" textlink="">
      <cdr:nvSpPr>
        <cdr:cNvPr id="38926" name="Text Box 14"/>
        <cdr:cNvSpPr txBox="1">
          <a:spLocks xmlns:a="http://schemas.openxmlformats.org/drawingml/2006/main" noChangeArrowheads="1"/>
        </cdr:cNvSpPr>
      </cdr:nvSpPr>
      <cdr:spPr bwMode="auto">
        <a:xfrm xmlns:a="http://schemas.openxmlformats.org/drawingml/2006/main">
          <a:off x="3063783" y="2853726"/>
          <a:ext cx="242442"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0.393</cdr:x>
      <cdr:y>0.61</cdr:y>
    </cdr:from>
    <cdr:to>
      <cdr:x>0.421</cdr:x>
      <cdr:y>0.63975</cdr:y>
    </cdr:to>
    <cdr:sp macro="" textlink="">
      <cdr:nvSpPr>
        <cdr:cNvPr id="38927" name="Text Box 15"/>
        <cdr:cNvSpPr txBox="1">
          <a:spLocks xmlns:a="http://schemas.openxmlformats.org/drawingml/2006/main" noChangeArrowheads="1"/>
        </cdr:cNvSpPr>
      </cdr:nvSpPr>
      <cdr:spPr bwMode="auto">
        <a:xfrm xmlns:a="http://schemas.openxmlformats.org/drawingml/2006/main">
          <a:off x="3372736" y="3561683"/>
          <a:ext cx="240297"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0.072</cdr:x>
      <cdr:y>0.08325</cdr:y>
    </cdr:from>
    <cdr:to>
      <cdr:x>0.2205</cdr:x>
      <cdr:y>0.39745</cdr:y>
    </cdr:to>
    <cdr:sp macro="" textlink="">
      <cdr:nvSpPr>
        <cdr:cNvPr id="38929" name="Text Box 17"/>
        <cdr:cNvSpPr txBox="1">
          <a:spLocks xmlns:a="http://schemas.openxmlformats.org/drawingml/2006/main" noChangeArrowheads="1"/>
        </cdr:cNvSpPr>
      </cdr:nvSpPr>
      <cdr:spPr bwMode="auto">
        <a:xfrm xmlns:a="http://schemas.openxmlformats.org/drawingml/2006/main">
          <a:off x="618292" y="486305"/>
          <a:ext cx="1275226" cy="183541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0.82</cdr:x>
      <cdr:y>0.69625</cdr:y>
    </cdr:from>
    <cdr:to>
      <cdr:x>0.86525</cdr:x>
      <cdr:y>0.72575</cdr:y>
    </cdr:to>
    <cdr:sp macro="" textlink="">
      <cdr:nvSpPr>
        <cdr:cNvPr id="38930" name="Text Box 18"/>
        <cdr:cNvSpPr txBox="1">
          <a:spLocks xmlns:a="http://schemas.openxmlformats.org/drawingml/2006/main" noChangeArrowheads="1"/>
        </cdr:cNvSpPr>
      </cdr:nvSpPr>
      <cdr:spPr bwMode="auto">
        <a:xfrm xmlns:a="http://schemas.openxmlformats.org/drawingml/2006/main">
          <a:off x="7037261" y="4065282"/>
          <a:ext cx="388336"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cdr:x>
      <cdr:y>0.738</cdr:y>
    </cdr:from>
    <cdr:to>
      <cdr:x>0.86525</cdr:x>
      <cdr:y>0.77</cdr:y>
    </cdr:to>
    <cdr:sp macro="" textlink="">
      <cdr:nvSpPr>
        <cdr:cNvPr id="38931" name="Text Box 19"/>
        <cdr:cNvSpPr txBox="1">
          <a:spLocks xmlns:a="http://schemas.openxmlformats.org/drawingml/2006/main" noChangeArrowheads="1"/>
        </cdr:cNvSpPr>
      </cdr:nvSpPr>
      <cdr:spPr bwMode="auto">
        <a:xfrm xmlns:a="http://schemas.openxmlformats.org/drawingml/2006/main">
          <a:off x="7037261" y="4309053"/>
          <a:ext cx="388336" cy="186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cdr:x>
      <cdr:y>0.77675</cdr:y>
    </cdr:from>
    <cdr:to>
      <cdr:x>0.8655</cdr:x>
      <cdr:y>0.8055</cdr:y>
    </cdr:to>
    <cdr:sp macro="" textlink="">
      <cdr:nvSpPr>
        <cdr:cNvPr id="38932" name="Text Box 20"/>
        <cdr:cNvSpPr txBox="1">
          <a:spLocks xmlns:a="http://schemas.openxmlformats.org/drawingml/2006/main" noChangeArrowheads="1"/>
        </cdr:cNvSpPr>
      </cdr:nvSpPr>
      <cdr:spPr bwMode="auto">
        <a:xfrm xmlns:a="http://schemas.openxmlformats.org/drawingml/2006/main">
          <a:off x="7037261" y="4535307"/>
          <a:ext cx="390482" cy="16786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cdr:x>
      <cdr:y>0.81775</cdr:y>
    </cdr:from>
    <cdr:to>
      <cdr:x>0.86525</cdr:x>
      <cdr:y>0.86025</cdr:y>
    </cdr:to>
    <cdr:sp macro="" textlink="">
      <cdr:nvSpPr>
        <cdr:cNvPr id="38933" name="Text Box 21"/>
        <cdr:cNvSpPr txBox="1">
          <a:spLocks xmlns:a="http://schemas.openxmlformats.org/drawingml/2006/main" noChangeArrowheads="1"/>
        </cdr:cNvSpPr>
      </cdr:nvSpPr>
      <cdr:spPr bwMode="auto">
        <a:xfrm xmlns:a="http://schemas.openxmlformats.org/drawingml/2006/main">
          <a:off x="7037261" y="4774699"/>
          <a:ext cx="388336"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cdr:x>
      <cdr:y>0.8595</cdr:y>
    </cdr:from>
    <cdr:to>
      <cdr:x>0.86525</cdr:x>
      <cdr:y>0.89225</cdr:y>
    </cdr:to>
    <cdr:sp macro="" textlink="">
      <cdr:nvSpPr>
        <cdr:cNvPr id="38934" name="Text Box 22"/>
        <cdr:cNvSpPr txBox="1">
          <a:spLocks xmlns:a="http://schemas.openxmlformats.org/drawingml/2006/main" noChangeArrowheads="1"/>
        </cdr:cNvSpPr>
      </cdr:nvSpPr>
      <cdr:spPr bwMode="auto">
        <a:xfrm xmlns:a="http://schemas.openxmlformats.org/drawingml/2006/main">
          <a:off x="7037261" y="5018470"/>
          <a:ext cx="388336" cy="1912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0.83175</cdr:x>
      <cdr:y>0.0735</cdr:y>
    </cdr:from>
    <cdr:to>
      <cdr:x>0.90525</cdr:x>
      <cdr:y>0.12425</cdr:y>
    </cdr:to>
    <cdr:sp macro="" textlink="">
      <cdr:nvSpPr>
        <cdr:cNvPr id="37889" name="Text Box 1"/>
        <cdr:cNvSpPr txBox="1">
          <a:spLocks xmlns:a="http://schemas.openxmlformats.org/drawingml/2006/main" noChangeArrowheads="1"/>
        </cdr:cNvSpPr>
      </cdr:nvSpPr>
      <cdr:spPr bwMode="auto">
        <a:xfrm xmlns:a="http://schemas.openxmlformats.org/drawingml/2006/main">
          <a:off x="7138099" y="429154"/>
          <a:ext cx="630779" cy="296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0.34525</cdr:x>
      <cdr:y>0.6635</cdr:y>
    </cdr:from>
    <cdr:to>
      <cdr:x>0.421</cdr:x>
      <cdr:y>0.69625</cdr:y>
    </cdr:to>
    <cdr:sp macro="" textlink="">
      <cdr:nvSpPr>
        <cdr:cNvPr id="37892" name="Text Box 4"/>
        <cdr:cNvSpPr txBox="1">
          <a:spLocks xmlns:a="http://schemas.openxmlformats.org/drawingml/2006/main" noChangeArrowheads="1"/>
        </cdr:cNvSpPr>
      </cdr:nvSpPr>
      <cdr:spPr bwMode="auto">
        <a:xfrm xmlns:a="http://schemas.openxmlformats.org/drawingml/2006/main">
          <a:off x="2962944" y="3874060"/>
          <a:ext cx="650089"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0.26525</cdr:x>
      <cdr:y>0.55675</cdr:y>
    </cdr:from>
    <cdr:to>
      <cdr:x>0.29625</cdr:x>
      <cdr:y>0.588</cdr:y>
    </cdr:to>
    <cdr:sp macro="" textlink="">
      <cdr:nvSpPr>
        <cdr:cNvPr id="37893" name="Text Box 5"/>
        <cdr:cNvSpPr txBox="1">
          <a:spLocks xmlns:a="http://schemas.openxmlformats.org/drawingml/2006/main" noChangeArrowheads="1"/>
        </cdr:cNvSpPr>
      </cdr:nvSpPr>
      <cdr:spPr bwMode="auto">
        <a:xfrm xmlns:a="http://schemas.openxmlformats.org/drawingml/2006/main">
          <a:off x="2276382" y="3250766"/>
          <a:ext cx="266043"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0.2505</cdr:x>
      <cdr:y>0.6035</cdr:y>
    </cdr:from>
    <cdr:to>
      <cdr:x>0.31025</cdr:x>
      <cdr:y>0.63475</cdr:y>
    </cdr:to>
    <cdr:sp macro="" textlink="">
      <cdr:nvSpPr>
        <cdr:cNvPr id="37894" name="Text Box 6"/>
        <cdr:cNvSpPr txBox="1">
          <a:spLocks xmlns:a="http://schemas.openxmlformats.org/drawingml/2006/main" noChangeArrowheads="1"/>
        </cdr:cNvSpPr>
      </cdr:nvSpPr>
      <cdr:spPr bwMode="auto">
        <a:xfrm xmlns:a="http://schemas.openxmlformats.org/drawingml/2006/main">
          <a:off x="2149797" y="3523731"/>
          <a:ext cx="51277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0.32625</cdr:x>
      <cdr:y>0.55675</cdr:y>
    </cdr:from>
    <cdr:to>
      <cdr:x>0.37125</cdr:x>
      <cdr:y>0.59125</cdr:y>
    </cdr:to>
    <cdr:sp macro="" textlink="">
      <cdr:nvSpPr>
        <cdr:cNvPr id="37895" name="Text Box 7"/>
        <cdr:cNvSpPr txBox="1">
          <a:spLocks xmlns:a="http://schemas.openxmlformats.org/drawingml/2006/main" noChangeArrowheads="1"/>
        </cdr:cNvSpPr>
      </cdr:nvSpPr>
      <cdr:spPr bwMode="auto">
        <a:xfrm xmlns:a="http://schemas.openxmlformats.org/drawingml/2006/main">
          <a:off x="2799886" y="3250766"/>
          <a:ext cx="386191"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0.39925</cdr:x>
      <cdr:y>0.6225</cdr:y>
    </cdr:from>
    <cdr:to>
      <cdr:x>0.43375</cdr:x>
      <cdr:y>0.656</cdr:y>
    </cdr:to>
    <cdr:sp macro="" textlink="">
      <cdr:nvSpPr>
        <cdr:cNvPr id="37896" name="Text Box 8"/>
        <cdr:cNvSpPr txBox="1">
          <a:spLocks xmlns:a="http://schemas.openxmlformats.org/drawingml/2006/main" noChangeArrowheads="1"/>
        </cdr:cNvSpPr>
      </cdr:nvSpPr>
      <cdr:spPr bwMode="auto">
        <a:xfrm xmlns:a="http://schemas.openxmlformats.org/drawingml/2006/main">
          <a:off x="3426373" y="3634669"/>
          <a:ext cx="296080" cy="19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0.3445</cdr:x>
      <cdr:y>0.6035</cdr:y>
    </cdr:from>
    <cdr:to>
      <cdr:x>0.39925</cdr:x>
      <cdr:y>0.6315</cdr:y>
    </cdr:to>
    <cdr:sp macro="" textlink="">
      <cdr:nvSpPr>
        <cdr:cNvPr id="37897" name="Text Box 9"/>
        <cdr:cNvSpPr txBox="1">
          <a:spLocks xmlns:a="http://schemas.openxmlformats.org/drawingml/2006/main" noChangeArrowheads="1"/>
        </cdr:cNvSpPr>
      </cdr:nvSpPr>
      <cdr:spPr bwMode="auto">
        <a:xfrm xmlns:a="http://schemas.openxmlformats.org/drawingml/2006/main">
          <a:off x="2956508" y="3523731"/>
          <a:ext cx="469865"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0.4295</cdr:x>
      <cdr:y>0.5175</cdr:y>
    </cdr:from>
    <cdr:to>
      <cdr:x>0.49675</cdr:x>
      <cdr:y>0.5485</cdr:y>
    </cdr:to>
    <cdr:sp macro="" textlink="">
      <cdr:nvSpPr>
        <cdr:cNvPr id="37898" name="Text Box 10"/>
        <cdr:cNvSpPr txBox="1">
          <a:spLocks xmlns:a="http://schemas.openxmlformats.org/drawingml/2006/main" noChangeArrowheads="1"/>
        </cdr:cNvSpPr>
      </cdr:nvSpPr>
      <cdr:spPr bwMode="auto">
        <a:xfrm xmlns:a="http://schemas.openxmlformats.org/drawingml/2006/main">
          <a:off x="3685980" y="3021592"/>
          <a:ext cx="577141"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0.4295</cdr:x>
      <cdr:y>0.46325</cdr:y>
    </cdr:from>
    <cdr:to>
      <cdr:x>0.46525</cdr:x>
      <cdr:y>0.4945</cdr:y>
    </cdr:to>
    <cdr:sp macro="" textlink="">
      <cdr:nvSpPr>
        <cdr:cNvPr id="37899" name="Text Box 11"/>
        <cdr:cNvSpPr txBox="1">
          <a:spLocks xmlns:a="http://schemas.openxmlformats.org/drawingml/2006/main" noChangeArrowheads="1"/>
        </cdr:cNvSpPr>
      </cdr:nvSpPr>
      <cdr:spPr bwMode="auto">
        <a:xfrm xmlns:a="http://schemas.openxmlformats.org/drawingml/2006/main">
          <a:off x="3685980" y="2704836"/>
          <a:ext cx="306807"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0.3875</cdr:x>
      <cdr:y>0.55675</cdr:y>
    </cdr:from>
    <cdr:to>
      <cdr:x>0.42025</cdr:x>
      <cdr:y>0.588</cdr:y>
    </cdr:to>
    <cdr:sp macro="" textlink="">
      <cdr:nvSpPr>
        <cdr:cNvPr id="37900" name="Text Box 12"/>
        <cdr:cNvSpPr txBox="1">
          <a:spLocks xmlns:a="http://schemas.openxmlformats.org/drawingml/2006/main" noChangeArrowheads="1"/>
        </cdr:cNvSpPr>
      </cdr:nvSpPr>
      <cdr:spPr bwMode="auto">
        <a:xfrm xmlns:a="http://schemas.openxmlformats.org/drawingml/2006/main">
          <a:off x="3325535" y="3250766"/>
          <a:ext cx="281061"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0.3515</cdr:x>
      <cdr:y>0.46325</cdr:y>
    </cdr:from>
    <cdr:to>
      <cdr:x>0.37975</cdr:x>
      <cdr:y>0.496</cdr:y>
    </cdr:to>
    <cdr:sp macro="" textlink="">
      <cdr:nvSpPr>
        <cdr:cNvPr id="37901" name="Text Box 13"/>
        <cdr:cNvSpPr txBox="1">
          <a:spLocks xmlns:a="http://schemas.openxmlformats.org/drawingml/2006/main" noChangeArrowheads="1"/>
        </cdr:cNvSpPr>
      </cdr:nvSpPr>
      <cdr:spPr bwMode="auto">
        <a:xfrm xmlns:a="http://schemas.openxmlformats.org/drawingml/2006/main">
          <a:off x="3016582" y="2704836"/>
          <a:ext cx="242442"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0.42025</cdr:x>
      <cdr:y>0.5905</cdr:y>
    </cdr:from>
    <cdr:to>
      <cdr:x>0.4575</cdr:x>
      <cdr:y>0.62</cdr:y>
    </cdr:to>
    <cdr:sp macro="" textlink="">
      <cdr:nvSpPr>
        <cdr:cNvPr id="37902" name="Text Box 14"/>
        <cdr:cNvSpPr txBox="1">
          <a:spLocks xmlns:a="http://schemas.openxmlformats.org/drawingml/2006/main" noChangeArrowheads="1"/>
        </cdr:cNvSpPr>
      </cdr:nvSpPr>
      <cdr:spPr bwMode="auto">
        <a:xfrm xmlns:a="http://schemas.openxmlformats.org/drawingml/2006/main">
          <a:off x="3606596" y="3447826"/>
          <a:ext cx="319680"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0.696</cdr:x>
      <cdr:y>0.9575</cdr:y>
    </cdr:from>
    <cdr:to>
      <cdr:x>0.99725</cdr:x>
      <cdr:y>0.98625</cdr:y>
    </cdr:to>
    <cdr:sp macro="" textlink="">
      <cdr:nvSpPr>
        <cdr:cNvPr id="37903" name="Text Box 15"/>
        <cdr:cNvSpPr txBox="1">
          <a:spLocks xmlns:a="http://schemas.openxmlformats.org/drawingml/2006/main" noChangeArrowheads="1"/>
        </cdr:cNvSpPr>
      </cdr:nvSpPr>
      <cdr:spPr bwMode="auto">
        <a:xfrm xmlns:a="http://schemas.openxmlformats.org/drawingml/2006/main">
          <a:off x="5973089" y="5590675"/>
          <a:ext cx="2585335"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0.61875</cdr:x>
      <cdr:y>0.0825</cdr:y>
    </cdr:from>
    <cdr:to>
      <cdr:x>0.7675</cdr:x>
      <cdr:y>0.39618</cdr:y>
    </cdr:to>
    <cdr:sp macro="" textlink="">
      <cdr:nvSpPr>
        <cdr:cNvPr id="37905" name="Text Box 17"/>
        <cdr:cNvSpPr txBox="1">
          <a:spLocks xmlns:a="http://schemas.openxmlformats.org/drawingml/2006/main" noChangeArrowheads="1"/>
        </cdr:cNvSpPr>
      </cdr:nvSpPr>
      <cdr:spPr bwMode="auto">
        <a:xfrm xmlns:a="http://schemas.openxmlformats.org/drawingml/2006/main">
          <a:off x="5313443" y="481924"/>
          <a:ext cx="1277373" cy="183235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0.8215</cdr:x>
      <cdr:y>0.69625</cdr:y>
    </cdr:from>
    <cdr:to>
      <cdr:x>0.86675</cdr:x>
      <cdr:y>0.72575</cdr:y>
    </cdr:to>
    <cdr:sp macro="" textlink="">
      <cdr:nvSpPr>
        <cdr:cNvPr id="37906" name="Text Box 18"/>
        <cdr:cNvSpPr txBox="1">
          <a:spLocks xmlns:a="http://schemas.openxmlformats.org/drawingml/2006/main" noChangeArrowheads="1"/>
        </cdr:cNvSpPr>
      </cdr:nvSpPr>
      <cdr:spPr bwMode="auto">
        <a:xfrm xmlns:a="http://schemas.openxmlformats.org/drawingml/2006/main">
          <a:off x="7050134" y="4065282"/>
          <a:ext cx="388336"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0.73725</cdr:y>
    </cdr:from>
    <cdr:to>
      <cdr:x>0.86675</cdr:x>
      <cdr:y>0.7685</cdr:y>
    </cdr:to>
    <cdr:sp macro="" textlink="">
      <cdr:nvSpPr>
        <cdr:cNvPr id="37907" name="Text Box 19"/>
        <cdr:cNvSpPr txBox="1">
          <a:spLocks xmlns:a="http://schemas.openxmlformats.org/drawingml/2006/main" noChangeArrowheads="1"/>
        </cdr:cNvSpPr>
      </cdr:nvSpPr>
      <cdr:spPr bwMode="auto">
        <a:xfrm xmlns:a="http://schemas.openxmlformats.org/drawingml/2006/main">
          <a:off x="7050134" y="4304674"/>
          <a:ext cx="388336"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0.77675</cdr:y>
    </cdr:from>
    <cdr:to>
      <cdr:x>0.8655</cdr:x>
      <cdr:y>0.8055</cdr:y>
    </cdr:to>
    <cdr:sp macro="" textlink="">
      <cdr:nvSpPr>
        <cdr:cNvPr id="37908" name="Text Box 20"/>
        <cdr:cNvSpPr txBox="1">
          <a:spLocks xmlns:a="http://schemas.openxmlformats.org/drawingml/2006/main" noChangeArrowheads="1"/>
        </cdr:cNvSpPr>
      </cdr:nvSpPr>
      <cdr:spPr bwMode="auto">
        <a:xfrm xmlns:a="http://schemas.openxmlformats.org/drawingml/2006/main">
          <a:off x="7050134" y="4535307"/>
          <a:ext cx="377609" cy="16786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0.81775</cdr:y>
    </cdr:from>
    <cdr:to>
      <cdr:x>0.86675</cdr:x>
      <cdr:y>0.86025</cdr:y>
    </cdr:to>
    <cdr:sp macro="" textlink="">
      <cdr:nvSpPr>
        <cdr:cNvPr id="37909" name="Text Box 21"/>
        <cdr:cNvSpPr txBox="1">
          <a:spLocks xmlns:a="http://schemas.openxmlformats.org/drawingml/2006/main" noChangeArrowheads="1"/>
        </cdr:cNvSpPr>
      </cdr:nvSpPr>
      <cdr:spPr bwMode="auto">
        <a:xfrm xmlns:a="http://schemas.openxmlformats.org/drawingml/2006/main">
          <a:off x="7050134" y="4774699"/>
          <a:ext cx="388336"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0.86125</cdr:y>
    </cdr:from>
    <cdr:to>
      <cdr:x>0.86675</cdr:x>
      <cdr:y>0.894</cdr:y>
    </cdr:to>
    <cdr:sp macro="" textlink="">
      <cdr:nvSpPr>
        <cdr:cNvPr id="37910" name="Text Box 22"/>
        <cdr:cNvSpPr txBox="1">
          <a:spLocks xmlns:a="http://schemas.openxmlformats.org/drawingml/2006/main" noChangeArrowheads="1"/>
        </cdr:cNvSpPr>
      </cdr:nvSpPr>
      <cdr:spPr bwMode="auto">
        <a:xfrm xmlns:a="http://schemas.openxmlformats.org/drawingml/2006/main">
          <a:off x="7050134" y="5028688"/>
          <a:ext cx="388336" cy="1912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0.83075</cdr:x>
      <cdr:y>0.05025</cdr:y>
    </cdr:from>
    <cdr:to>
      <cdr:x>0.9045</cdr:x>
      <cdr:y>0.1005</cdr:y>
    </cdr:to>
    <cdr:sp macro="" textlink="">
      <cdr:nvSpPr>
        <cdr:cNvPr id="36865" name="Text Box 1"/>
        <cdr:cNvSpPr txBox="1">
          <a:spLocks xmlns:a="http://schemas.openxmlformats.org/drawingml/2006/main" noChangeArrowheads="1"/>
        </cdr:cNvSpPr>
      </cdr:nvSpPr>
      <cdr:spPr bwMode="auto">
        <a:xfrm xmlns:a="http://schemas.openxmlformats.org/drawingml/2006/main">
          <a:off x="7129517" y="293401"/>
          <a:ext cx="632925" cy="2934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0.38225</cdr:x>
      <cdr:y>0.61825</cdr:y>
    </cdr:from>
    <cdr:to>
      <cdr:x>0.411</cdr:x>
      <cdr:y>0.65025</cdr:y>
    </cdr:to>
    <cdr:sp macro="" textlink="">
      <cdr:nvSpPr>
        <cdr:cNvPr id="36868" name="Text Box 4"/>
        <cdr:cNvSpPr txBox="1">
          <a:spLocks xmlns:a="http://schemas.openxmlformats.org/drawingml/2006/main" noChangeArrowheads="1"/>
        </cdr:cNvSpPr>
      </cdr:nvSpPr>
      <cdr:spPr bwMode="auto">
        <a:xfrm xmlns:a="http://schemas.openxmlformats.org/drawingml/2006/main">
          <a:off x="3280479" y="3609854"/>
          <a:ext cx="246733"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0.25125</cdr:x>
      <cdr:y>0.51075</cdr:y>
    </cdr:from>
    <cdr:to>
      <cdr:x>0.28275</cdr:x>
      <cdr:y>0.542</cdr:y>
    </cdr:to>
    <cdr:sp macro="" textlink="">
      <cdr:nvSpPr>
        <cdr:cNvPr id="36869" name="Text Box 5"/>
        <cdr:cNvSpPr txBox="1">
          <a:spLocks xmlns:a="http://schemas.openxmlformats.org/drawingml/2006/main" noChangeArrowheads="1"/>
        </cdr:cNvSpPr>
      </cdr:nvSpPr>
      <cdr:spPr bwMode="auto">
        <a:xfrm xmlns:a="http://schemas.openxmlformats.org/drawingml/2006/main">
          <a:off x="2156234" y="2982180"/>
          <a:ext cx="270334"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0.26175</cdr:x>
      <cdr:y>0.5675</cdr:y>
    </cdr:from>
    <cdr:to>
      <cdr:x>0.28275</cdr:x>
      <cdr:y>0.5985</cdr:y>
    </cdr:to>
    <cdr:sp macro="" textlink="">
      <cdr:nvSpPr>
        <cdr:cNvPr id="36870" name="Text Box 6"/>
        <cdr:cNvSpPr txBox="1">
          <a:spLocks xmlns:a="http://schemas.openxmlformats.org/drawingml/2006/main" noChangeArrowheads="1"/>
        </cdr:cNvSpPr>
      </cdr:nvSpPr>
      <cdr:spPr bwMode="auto">
        <a:xfrm xmlns:a="http://schemas.openxmlformats.org/drawingml/2006/main">
          <a:off x="2246345" y="3313533"/>
          <a:ext cx="18022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0.32575</cdr:x>
      <cdr:y>0.50425</cdr:y>
    </cdr:from>
    <cdr:to>
      <cdr:x>0.352</cdr:x>
      <cdr:y>0.53875</cdr:y>
    </cdr:to>
    <cdr:sp macro="" textlink="">
      <cdr:nvSpPr>
        <cdr:cNvPr id="36871" name="Text Box 7"/>
        <cdr:cNvSpPr txBox="1">
          <a:spLocks xmlns:a="http://schemas.openxmlformats.org/drawingml/2006/main" noChangeArrowheads="1"/>
        </cdr:cNvSpPr>
      </cdr:nvSpPr>
      <cdr:spPr bwMode="auto">
        <a:xfrm xmlns:a="http://schemas.openxmlformats.org/drawingml/2006/main">
          <a:off x="2795595" y="2944228"/>
          <a:ext cx="225278"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0.39425</cdr:x>
      <cdr:y>0.56175</cdr:y>
    </cdr:from>
    <cdr:to>
      <cdr:x>0.416</cdr:x>
      <cdr:y>0.5945</cdr:y>
    </cdr:to>
    <cdr:sp macro="" textlink="">
      <cdr:nvSpPr>
        <cdr:cNvPr id="36872" name="Text Box 8"/>
        <cdr:cNvSpPr txBox="1">
          <a:spLocks xmlns:a="http://schemas.openxmlformats.org/drawingml/2006/main" noChangeArrowheads="1"/>
        </cdr:cNvSpPr>
      </cdr:nvSpPr>
      <cdr:spPr bwMode="auto">
        <a:xfrm xmlns:a="http://schemas.openxmlformats.org/drawingml/2006/main">
          <a:off x="3383463" y="3279960"/>
          <a:ext cx="186659"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0.35825</cdr:x>
      <cdr:y>0.538</cdr:y>
    </cdr:from>
    <cdr:to>
      <cdr:x>0.38225</cdr:x>
      <cdr:y>0.5665</cdr:y>
    </cdr:to>
    <cdr:sp macro="" textlink="">
      <cdr:nvSpPr>
        <cdr:cNvPr id="36873" name="Text Box 9"/>
        <cdr:cNvSpPr txBox="1">
          <a:spLocks xmlns:a="http://schemas.openxmlformats.org/drawingml/2006/main" noChangeArrowheads="1"/>
        </cdr:cNvSpPr>
      </cdr:nvSpPr>
      <cdr:spPr bwMode="auto">
        <a:xfrm xmlns:a="http://schemas.openxmlformats.org/drawingml/2006/main">
          <a:off x="3074510" y="3141288"/>
          <a:ext cx="205969" cy="1664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0.4485</cdr:x>
      <cdr:y>0.4025</cdr:y>
    </cdr:from>
    <cdr:to>
      <cdr:x>0.471</cdr:x>
      <cdr:y>0.43375</cdr:y>
    </cdr:to>
    <cdr:sp macro="" textlink="">
      <cdr:nvSpPr>
        <cdr:cNvPr id="36874" name="Text Box 10"/>
        <cdr:cNvSpPr txBox="1">
          <a:spLocks xmlns:a="http://schemas.openxmlformats.org/drawingml/2006/main" noChangeArrowheads="1"/>
        </cdr:cNvSpPr>
      </cdr:nvSpPr>
      <cdr:spPr bwMode="auto">
        <a:xfrm xmlns:a="http://schemas.openxmlformats.org/drawingml/2006/main">
          <a:off x="3849038" y="2350127"/>
          <a:ext cx="19309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0.4245</cdr:x>
      <cdr:y>0.318</cdr:y>
    </cdr:from>
    <cdr:to>
      <cdr:x>0.459</cdr:x>
      <cdr:y>0.35</cdr:y>
    </cdr:to>
    <cdr:sp macro="" textlink="">
      <cdr:nvSpPr>
        <cdr:cNvPr id="36875" name="Text Box 11"/>
        <cdr:cNvSpPr txBox="1">
          <a:spLocks xmlns:a="http://schemas.openxmlformats.org/drawingml/2006/main" noChangeArrowheads="1"/>
        </cdr:cNvSpPr>
      </cdr:nvSpPr>
      <cdr:spPr bwMode="auto">
        <a:xfrm xmlns:a="http://schemas.openxmlformats.org/drawingml/2006/main">
          <a:off x="3643070" y="1856746"/>
          <a:ext cx="296079" cy="1868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0.371</cdr:x>
      <cdr:y>0.465</cdr:y>
    </cdr:from>
    <cdr:to>
      <cdr:x>0.411</cdr:x>
      <cdr:y>0.496</cdr:y>
    </cdr:to>
    <cdr:sp macro="" textlink="">
      <cdr:nvSpPr>
        <cdr:cNvPr id="36876" name="Text Box 12"/>
        <cdr:cNvSpPr txBox="1">
          <a:spLocks xmlns:a="http://schemas.openxmlformats.org/drawingml/2006/main" noChangeArrowheads="1"/>
        </cdr:cNvSpPr>
      </cdr:nvSpPr>
      <cdr:spPr bwMode="auto">
        <a:xfrm xmlns:a="http://schemas.openxmlformats.org/drawingml/2006/main">
          <a:off x="3183931" y="2715054"/>
          <a:ext cx="343281"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0.3645</cdr:x>
      <cdr:y>0.35</cdr:y>
    </cdr:from>
    <cdr:to>
      <cdr:x>0.40125</cdr:x>
      <cdr:y>0.38125</cdr:y>
    </cdr:to>
    <cdr:sp macro="" textlink="">
      <cdr:nvSpPr>
        <cdr:cNvPr id="36877" name="Text Box 13"/>
        <cdr:cNvSpPr txBox="1">
          <a:spLocks xmlns:a="http://schemas.openxmlformats.org/drawingml/2006/main" noChangeArrowheads="1"/>
        </cdr:cNvSpPr>
      </cdr:nvSpPr>
      <cdr:spPr bwMode="auto">
        <a:xfrm xmlns:a="http://schemas.openxmlformats.org/drawingml/2006/main">
          <a:off x="3128148" y="2043589"/>
          <a:ext cx="315390"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0.416</cdr:x>
      <cdr:y>0.53225</cdr:y>
    </cdr:from>
    <cdr:to>
      <cdr:x>0.4435</cdr:x>
      <cdr:y>0.56175</cdr:y>
    </cdr:to>
    <cdr:sp macro="" textlink="">
      <cdr:nvSpPr>
        <cdr:cNvPr id="36878" name="Text Box 14"/>
        <cdr:cNvSpPr txBox="1">
          <a:spLocks xmlns:a="http://schemas.openxmlformats.org/drawingml/2006/main" noChangeArrowheads="1"/>
        </cdr:cNvSpPr>
      </cdr:nvSpPr>
      <cdr:spPr bwMode="auto">
        <a:xfrm xmlns:a="http://schemas.openxmlformats.org/drawingml/2006/main">
          <a:off x="3570122" y="3107715"/>
          <a:ext cx="236006"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0.6965</cdr:x>
      <cdr:y>0.9575</cdr:y>
    </cdr:from>
    <cdr:to>
      <cdr:x>0.99975</cdr:x>
      <cdr:y>0.987</cdr:y>
    </cdr:to>
    <cdr:sp macro="" textlink="">
      <cdr:nvSpPr>
        <cdr:cNvPr id="36879" name="Text Box 15"/>
        <cdr:cNvSpPr txBox="1">
          <a:spLocks xmlns:a="http://schemas.openxmlformats.org/drawingml/2006/main" noChangeArrowheads="1"/>
        </cdr:cNvSpPr>
      </cdr:nvSpPr>
      <cdr:spPr bwMode="auto">
        <a:xfrm xmlns:a="http://schemas.openxmlformats.org/drawingml/2006/main">
          <a:off x="5977380" y="5590675"/>
          <a:ext cx="2602499"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0.26175</cdr:x>
      <cdr:y>0.0825</cdr:y>
    </cdr:from>
    <cdr:to>
      <cdr:x>0.765</cdr:x>
      <cdr:y>0.21125</cdr:y>
    </cdr:to>
    <cdr:sp macro="" textlink="">
      <cdr:nvSpPr>
        <cdr:cNvPr id="36880" name="Text Box 16"/>
        <cdr:cNvSpPr txBox="1">
          <a:spLocks xmlns:a="http://schemas.openxmlformats.org/drawingml/2006/main" noChangeArrowheads="1"/>
        </cdr:cNvSpPr>
      </cdr:nvSpPr>
      <cdr:spPr bwMode="auto">
        <a:xfrm xmlns:a="http://schemas.openxmlformats.org/drawingml/2006/main">
          <a:off x="2246345" y="481703"/>
          <a:ext cx="4318904" cy="75174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     3   123WPB           4   Fremantle       7   Philipines LPC          </a:t>
          </a:r>
        </a:p>
        <a:p xmlns:a="http://schemas.openxmlformats.org/drawingml/2006/main">
          <a:pPr algn="l" rtl="0">
            <a:defRPr sz="1000"/>
          </a:pPr>
          <a:r>
            <a:rPr lang="en-US" sz="1000" b="1" i="0" u="none" strike="noStrike" baseline="0">
              <a:solidFill>
                <a:srgbClr val="993300"/>
              </a:solidFill>
              <a:latin typeface="Arial"/>
              <a:cs typeface="Arial"/>
            </a:rPr>
            <a:t>  9   Cyclone    10   Armidale         </a:t>
          </a:r>
          <a:r>
            <a:rPr lang="en-US" sz="1000" b="1" i="0" u="none" strike="noStrike" baseline="0">
              <a:solidFill>
                <a:srgbClr val="808000"/>
              </a:solidFill>
              <a:latin typeface="Arial"/>
              <a:cs typeface="Arial"/>
            </a:rPr>
            <a:t>11   Helsinki        12   Rauma</a:t>
          </a:r>
        </a:p>
        <a:p xmlns:a="http://schemas.openxmlformats.org/drawingml/2006/main">
          <a:pPr algn="l" rtl="0">
            <a:defRPr sz="1000"/>
          </a:pPr>
          <a:r>
            <a:rPr lang="en-US" sz="1000" b="1" i="0" u="none" strike="noStrike" baseline="0">
              <a:solidFill>
                <a:srgbClr val="808000"/>
              </a:solidFill>
              <a:latin typeface="Arial"/>
              <a:cs typeface="Arial"/>
            </a:rPr>
            <a:t>13   Hamina     14   Ramadan        </a:t>
          </a: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0.82375</cdr:x>
      <cdr:y>0.6675</cdr:y>
    </cdr:from>
    <cdr:to>
      <cdr:x>0.86925</cdr:x>
      <cdr:y>0.697</cdr:y>
    </cdr:to>
    <cdr:sp macro="" textlink="">
      <cdr:nvSpPr>
        <cdr:cNvPr id="36881" name="Text Box 17"/>
        <cdr:cNvSpPr txBox="1">
          <a:spLocks xmlns:a="http://schemas.openxmlformats.org/drawingml/2006/main" noChangeArrowheads="1"/>
        </cdr:cNvSpPr>
      </cdr:nvSpPr>
      <cdr:spPr bwMode="auto">
        <a:xfrm xmlns:a="http://schemas.openxmlformats.org/drawingml/2006/main">
          <a:off x="7069443" y="3897416"/>
          <a:ext cx="390482"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0.7135</cdr:y>
    </cdr:from>
    <cdr:to>
      <cdr:x>0.86925</cdr:x>
      <cdr:y>0.74475</cdr:y>
    </cdr:to>
    <cdr:sp macro="" textlink="">
      <cdr:nvSpPr>
        <cdr:cNvPr id="36882" name="Text Box 18"/>
        <cdr:cNvSpPr txBox="1">
          <a:spLocks xmlns:a="http://schemas.openxmlformats.org/drawingml/2006/main" noChangeArrowheads="1"/>
        </cdr:cNvSpPr>
      </cdr:nvSpPr>
      <cdr:spPr bwMode="auto">
        <a:xfrm xmlns:a="http://schemas.openxmlformats.org/drawingml/2006/main">
          <a:off x="7069443" y="4166002"/>
          <a:ext cx="39048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0.75775</cdr:y>
    </cdr:from>
    <cdr:to>
      <cdr:x>0.868</cdr:x>
      <cdr:y>0.7865</cdr:y>
    </cdr:to>
    <cdr:sp macro="" textlink="">
      <cdr:nvSpPr>
        <cdr:cNvPr id="36883" name="Text Box 19"/>
        <cdr:cNvSpPr txBox="1">
          <a:spLocks xmlns:a="http://schemas.openxmlformats.org/drawingml/2006/main" noChangeArrowheads="1"/>
        </cdr:cNvSpPr>
      </cdr:nvSpPr>
      <cdr:spPr bwMode="auto">
        <a:xfrm xmlns:a="http://schemas.openxmlformats.org/drawingml/2006/main">
          <a:off x="7069443" y="4424370"/>
          <a:ext cx="379755" cy="1678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0.79875</cdr:y>
    </cdr:from>
    <cdr:to>
      <cdr:x>0.86925</cdr:x>
      <cdr:y>0.8415</cdr:y>
    </cdr:to>
    <cdr:sp macro="" textlink="">
      <cdr:nvSpPr>
        <cdr:cNvPr id="36884" name="Text Box 20"/>
        <cdr:cNvSpPr txBox="1">
          <a:spLocks xmlns:a="http://schemas.openxmlformats.org/drawingml/2006/main" noChangeArrowheads="1"/>
        </cdr:cNvSpPr>
      </cdr:nvSpPr>
      <cdr:spPr bwMode="auto">
        <a:xfrm xmlns:a="http://schemas.openxmlformats.org/drawingml/2006/main">
          <a:off x="7069443" y="4663761"/>
          <a:ext cx="390482"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0.8415</cdr:y>
    </cdr:from>
    <cdr:to>
      <cdr:x>0.86925</cdr:x>
      <cdr:y>0.87425</cdr:y>
    </cdr:to>
    <cdr:sp macro="" textlink="">
      <cdr:nvSpPr>
        <cdr:cNvPr id="36885" name="Text Box 21"/>
        <cdr:cNvSpPr txBox="1">
          <a:spLocks xmlns:a="http://schemas.openxmlformats.org/drawingml/2006/main" noChangeArrowheads="1"/>
        </cdr:cNvSpPr>
      </cdr:nvSpPr>
      <cdr:spPr bwMode="auto">
        <a:xfrm xmlns:a="http://schemas.openxmlformats.org/drawingml/2006/main">
          <a:off x="7069443" y="4913371"/>
          <a:ext cx="390482" cy="1912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0.81925</cdr:x>
      <cdr:y>0.05325</cdr:y>
    </cdr:from>
    <cdr:to>
      <cdr:x>0.89275</cdr:x>
      <cdr:y>0.103</cdr:y>
    </cdr:to>
    <cdr:sp macro="" textlink="">
      <cdr:nvSpPr>
        <cdr:cNvPr id="4097" name="Text Box 1"/>
        <cdr:cNvSpPr txBox="1">
          <a:spLocks xmlns:a="http://schemas.openxmlformats.org/drawingml/2006/main" noChangeArrowheads="1"/>
        </cdr:cNvSpPr>
      </cdr:nvSpPr>
      <cdr:spPr bwMode="auto">
        <a:xfrm xmlns:a="http://schemas.openxmlformats.org/drawingml/2006/main">
          <a:off x="7030824" y="310917"/>
          <a:ext cx="630779" cy="2904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0.3495</cdr:x>
      <cdr:y>0.464</cdr:y>
    </cdr:from>
    <cdr:to>
      <cdr:x>0.375</cdr:x>
      <cdr:y>0.49525</cdr:y>
    </cdr:to>
    <cdr:sp macro="" textlink="">
      <cdr:nvSpPr>
        <cdr:cNvPr id="4100" name="Text Box 4"/>
        <cdr:cNvSpPr txBox="1">
          <a:spLocks xmlns:a="http://schemas.openxmlformats.org/drawingml/2006/main" noChangeArrowheads="1"/>
        </cdr:cNvSpPr>
      </cdr:nvSpPr>
      <cdr:spPr bwMode="auto">
        <a:xfrm xmlns:a="http://schemas.openxmlformats.org/drawingml/2006/main">
          <a:off x="2999418" y="2709215"/>
          <a:ext cx="218841"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0.23825</cdr:x>
      <cdr:y>0.55925</cdr:y>
    </cdr:from>
    <cdr:to>
      <cdr:x>0.26175</cdr:x>
      <cdr:y>0.5905</cdr:y>
    </cdr:to>
    <cdr:sp macro="" textlink="">
      <cdr:nvSpPr>
        <cdr:cNvPr id="4101" name="Text Box 5"/>
        <cdr:cNvSpPr txBox="1">
          <a:spLocks xmlns:a="http://schemas.openxmlformats.org/drawingml/2006/main" noChangeArrowheads="1"/>
        </cdr:cNvSpPr>
      </cdr:nvSpPr>
      <cdr:spPr bwMode="auto">
        <a:xfrm xmlns:a="http://schemas.openxmlformats.org/drawingml/2006/main">
          <a:off x="2044667" y="3265363"/>
          <a:ext cx="201678"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0.25475</cdr:x>
      <cdr:y>0.5355</cdr:y>
    </cdr:from>
    <cdr:to>
      <cdr:x>0.2755</cdr:x>
      <cdr:y>0.5665</cdr:y>
    </cdr:to>
    <cdr:sp macro="" textlink="">
      <cdr:nvSpPr>
        <cdr:cNvPr id="4102" name="Text Box 6"/>
        <cdr:cNvSpPr txBox="1">
          <a:spLocks xmlns:a="http://schemas.openxmlformats.org/drawingml/2006/main" noChangeArrowheads="1"/>
        </cdr:cNvSpPr>
      </cdr:nvSpPr>
      <cdr:spPr bwMode="auto">
        <a:xfrm xmlns:a="http://schemas.openxmlformats.org/drawingml/2006/main">
          <a:off x="2186271" y="3126691"/>
          <a:ext cx="178077"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0.344</cdr:x>
      <cdr:y>0.66925</cdr:y>
    </cdr:from>
    <cdr:to>
      <cdr:x>0.36125</cdr:x>
      <cdr:y>0.702</cdr:y>
    </cdr:to>
    <cdr:sp macro="" textlink="">
      <cdr:nvSpPr>
        <cdr:cNvPr id="4103" name="Text Box 7"/>
        <cdr:cNvSpPr txBox="1">
          <a:spLocks xmlns:a="http://schemas.openxmlformats.org/drawingml/2006/main" noChangeArrowheads="1"/>
        </cdr:cNvSpPr>
      </cdr:nvSpPr>
      <cdr:spPr bwMode="auto">
        <a:xfrm xmlns:a="http://schemas.openxmlformats.org/drawingml/2006/main">
          <a:off x="2952217" y="3907634"/>
          <a:ext cx="148040"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0.391</cdr:x>
      <cdr:y>0.7085</cdr:y>
    </cdr:from>
    <cdr:to>
      <cdr:x>0.41525</cdr:x>
      <cdr:y>0.7405</cdr:y>
    </cdr:to>
    <cdr:sp macro="" textlink="">
      <cdr:nvSpPr>
        <cdr:cNvPr id="4104" name="Text Box 8"/>
        <cdr:cNvSpPr txBox="1">
          <a:spLocks xmlns:a="http://schemas.openxmlformats.org/drawingml/2006/main" noChangeArrowheads="1"/>
        </cdr:cNvSpPr>
      </cdr:nvSpPr>
      <cdr:spPr bwMode="auto">
        <a:xfrm xmlns:a="http://schemas.openxmlformats.org/drawingml/2006/main">
          <a:off x="3355572" y="4136808"/>
          <a:ext cx="208114"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0.317</cdr:x>
      <cdr:y>0.73325</cdr:y>
    </cdr:from>
    <cdr:to>
      <cdr:x>0.393</cdr:x>
      <cdr:y>0.76275</cdr:y>
    </cdr:to>
    <cdr:sp macro="" textlink="">
      <cdr:nvSpPr>
        <cdr:cNvPr id="4105" name="Text Box 9"/>
        <cdr:cNvSpPr txBox="1">
          <a:spLocks xmlns:a="http://schemas.openxmlformats.org/drawingml/2006/main" noChangeArrowheads="1"/>
        </cdr:cNvSpPr>
      </cdr:nvSpPr>
      <cdr:spPr bwMode="auto">
        <a:xfrm xmlns:a="http://schemas.openxmlformats.org/drawingml/2006/main">
          <a:off x="2720502" y="4281318"/>
          <a:ext cx="652234"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0.42625</cdr:x>
      <cdr:y>0.5125</cdr:y>
    </cdr:from>
    <cdr:to>
      <cdr:x>0.4815</cdr:x>
      <cdr:y>0.542</cdr:y>
    </cdr:to>
    <cdr:sp macro="" textlink="">
      <cdr:nvSpPr>
        <cdr:cNvPr id="4106" name="Text Box 10"/>
        <cdr:cNvSpPr txBox="1">
          <a:spLocks xmlns:a="http://schemas.openxmlformats.org/drawingml/2006/main" noChangeArrowheads="1"/>
        </cdr:cNvSpPr>
      </cdr:nvSpPr>
      <cdr:spPr bwMode="auto">
        <a:xfrm xmlns:a="http://schemas.openxmlformats.org/drawingml/2006/main">
          <a:off x="3658088" y="2992398"/>
          <a:ext cx="474157"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0.418</cdr:x>
      <cdr:y>0.5715</cdr:y>
    </cdr:from>
    <cdr:to>
      <cdr:x>0.4505</cdr:x>
      <cdr:y>0.602</cdr:y>
    </cdr:to>
    <cdr:sp macro="" textlink="">
      <cdr:nvSpPr>
        <cdr:cNvPr id="4107" name="Text Box 11"/>
        <cdr:cNvSpPr txBox="1">
          <a:spLocks xmlns:a="http://schemas.openxmlformats.org/drawingml/2006/main" noChangeArrowheads="1"/>
        </cdr:cNvSpPr>
      </cdr:nvSpPr>
      <cdr:spPr bwMode="auto">
        <a:xfrm xmlns:a="http://schemas.openxmlformats.org/drawingml/2006/main">
          <a:off x="3587286" y="3336888"/>
          <a:ext cx="278916" cy="178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0.37775</cdr:x>
      <cdr:y>0.624</cdr:y>
    </cdr:from>
    <cdr:to>
      <cdr:x>0.409</cdr:x>
      <cdr:y>0.6535</cdr:y>
    </cdr:to>
    <cdr:sp macro="" textlink="">
      <cdr:nvSpPr>
        <cdr:cNvPr id="4108" name="Text Box 12"/>
        <cdr:cNvSpPr txBox="1">
          <a:spLocks xmlns:a="http://schemas.openxmlformats.org/drawingml/2006/main" noChangeArrowheads="1"/>
        </cdr:cNvSpPr>
      </cdr:nvSpPr>
      <cdr:spPr bwMode="auto">
        <a:xfrm xmlns:a="http://schemas.openxmlformats.org/drawingml/2006/main">
          <a:off x="3241860" y="3643427"/>
          <a:ext cx="268188"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0.3385</cdr:x>
      <cdr:y>0.593</cdr:y>
    </cdr:from>
    <cdr:to>
      <cdr:x>0.42625</cdr:x>
      <cdr:y>0.624</cdr:y>
    </cdr:to>
    <cdr:sp macro="" textlink="">
      <cdr:nvSpPr>
        <cdr:cNvPr id="4109" name="Text Box 13"/>
        <cdr:cNvSpPr txBox="1">
          <a:spLocks xmlns:a="http://schemas.openxmlformats.org/drawingml/2006/main" noChangeArrowheads="1"/>
        </cdr:cNvSpPr>
      </cdr:nvSpPr>
      <cdr:spPr bwMode="auto">
        <a:xfrm xmlns:a="http://schemas.openxmlformats.org/drawingml/2006/main">
          <a:off x="2905015" y="3462423"/>
          <a:ext cx="75307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0.39225</cdr:x>
      <cdr:y>0.442</cdr:y>
    </cdr:from>
    <cdr:to>
      <cdr:x>0.43875</cdr:x>
      <cdr:y>0.4715</cdr:y>
    </cdr:to>
    <cdr:sp macro="" textlink="">
      <cdr:nvSpPr>
        <cdr:cNvPr id="4110" name="Text Box 14"/>
        <cdr:cNvSpPr txBox="1">
          <a:spLocks xmlns:a="http://schemas.openxmlformats.org/drawingml/2006/main" noChangeArrowheads="1"/>
        </cdr:cNvSpPr>
      </cdr:nvSpPr>
      <cdr:spPr bwMode="auto">
        <a:xfrm xmlns:a="http://schemas.openxmlformats.org/drawingml/2006/main">
          <a:off x="3366299" y="2580761"/>
          <a:ext cx="399064"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0.6855</cdr:x>
      <cdr:y>0.95975</cdr:y>
    </cdr:from>
    <cdr:to>
      <cdr:x>0.9885</cdr:x>
      <cdr:y>0.99025</cdr:y>
    </cdr:to>
    <cdr:sp macro="" textlink="">
      <cdr:nvSpPr>
        <cdr:cNvPr id="4111" name="Text Box 15"/>
        <cdr:cNvSpPr txBox="1">
          <a:spLocks xmlns:a="http://schemas.openxmlformats.org/drawingml/2006/main" noChangeArrowheads="1"/>
        </cdr:cNvSpPr>
      </cdr:nvSpPr>
      <cdr:spPr bwMode="auto">
        <a:xfrm xmlns:a="http://schemas.openxmlformats.org/drawingml/2006/main">
          <a:off x="5882978" y="5603812"/>
          <a:ext cx="2600354"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0.07425</cdr:x>
      <cdr:y>0.081</cdr:y>
    </cdr:from>
    <cdr:to>
      <cdr:x>0.223</cdr:x>
      <cdr:y>0.40382</cdr:y>
    </cdr:to>
    <cdr:sp macro="" textlink="">
      <cdr:nvSpPr>
        <cdr:cNvPr id="4113" name="Text Box 17"/>
        <cdr:cNvSpPr txBox="1">
          <a:spLocks xmlns:a="http://schemas.openxmlformats.org/drawingml/2006/main" noChangeArrowheads="1"/>
        </cdr:cNvSpPr>
      </cdr:nvSpPr>
      <cdr:spPr bwMode="auto">
        <a:xfrm xmlns:a="http://schemas.openxmlformats.org/drawingml/2006/main">
          <a:off x="637613" y="473163"/>
          <a:ext cx="1277373" cy="18857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0.814</cdr:x>
      <cdr:y>0.68975</cdr:y>
    </cdr:from>
    <cdr:to>
      <cdr:x>0.8595</cdr:x>
      <cdr:y>0.71925</cdr:y>
    </cdr:to>
    <cdr:sp macro="" textlink="">
      <cdr:nvSpPr>
        <cdr:cNvPr id="4114" name="Text Box 18"/>
        <cdr:cNvSpPr txBox="1">
          <a:spLocks xmlns:a="http://schemas.openxmlformats.org/drawingml/2006/main" noChangeArrowheads="1"/>
        </cdr:cNvSpPr>
      </cdr:nvSpPr>
      <cdr:spPr bwMode="auto">
        <a:xfrm xmlns:a="http://schemas.openxmlformats.org/drawingml/2006/main">
          <a:off x="6985768" y="4027330"/>
          <a:ext cx="390482"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cdr:x>
      <cdr:y>0.73575</cdr:y>
    </cdr:from>
    <cdr:to>
      <cdr:x>0.8595</cdr:x>
      <cdr:y>0.76675</cdr:y>
    </cdr:to>
    <cdr:sp macro="" textlink="">
      <cdr:nvSpPr>
        <cdr:cNvPr id="4115" name="Text Box 19"/>
        <cdr:cNvSpPr txBox="1">
          <a:spLocks xmlns:a="http://schemas.openxmlformats.org/drawingml/2006/main" noChangeArrowheads="1"/>
        </cdr:cNvSpPr>
      </cdr:nvSpPr>
      <cdr:spPr bwMode="auto">
        <a:xfrm xmlns:a="http://schemas.openxmlformats.org/drawingml/2006/main">
          <a:off x="6985768" y="4295915"/>
          <a:ext cx="390482" cy="18100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cdr:x>
      <cdr:y>0.78</cdr:y>
    </cdr:from>
    <cdr:to>
      <cdr:x>0.858</cdr:x>
      <cdr:y>0.8095</cdr:y>
    </cdr:to>
    <cdr:sp macro="" textlink="">
      <cdr:nvSpPr>
        <cdr:cNvPr id="4116" name="Text Box 20"/>
        <cdr:cNvSpPr txBox="1">
          <a:spLocks xmlns:a="http://schemas.openxmlformats.org/drawingml/2006/main" noChangeArrowheads="1"/>
        </cdr:cNvSpPr>
      </cdr:nvSpPr>
      <cdr:spPr bwMode="auto">
        <a:xfrm xmlns:a="http://schemas.openxmlformats.org/drawingml/2006/main">
          <a:off x="6985768" y="4554284"/>
          <a:ext cx="377609"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0.81475</cdr:x>
      <cdr:y>0.821</cdr:y>
    </cdr:from>
    <cdr:to>
      <cdr:x>0.86025</cdr:x>
      <cdr:y>0.86375</cdr:y>
    </cdr:to>
    <cdr:sp macro="" textlink="">
      <cdr:nvSpPr>
        <cdr:cNvPr id="4117" name="Text Box 21"/>
        <cdr:cNvSpPr txBox="1">
          <a:spLocks xmlns:a="http://schemas.openxmlformats.org/drawingml/2006/main" noChangeArrowheads="1"/>
        </cdr:cNvSpPr>
      </cdr:nvSpPr>
      <cdr:spPr bwMode="auto">
        <a:xfrm xmlns:a="http://schemas.openxmlformats.org/drawingml/2006/main">
          <a:off x="6992205" y="4793675"/>
          <a:ext cx="390482"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cdr:x>
      <cdr:y>0.86375</cdr:y>
    </cdr:from>
    <cdr:to>
      <cdr:x>0.8595</cdr:x>
      <cdr:y>0.89625</cdr:y>
    </cdr:to>
    <cdr:sp macro="" textlink="">
      <cdr:nvSpPr>
        <cdr:cNvPr id="4118" name="Text Box 22"/>
        <cdr:cNvSpPr txBox="1">
          <a:spLocks xmlns:a="http://schemas.openxmlformats.org/drawingml/2006/main" noChangeArrowheads="1"/>
        </cdr:cNvSpPr>
      </cdr:nvSpPr>
      <cdr:spPr bwMode="auto">
        <a:xfrm xmlns:a="http://schemas.openxmlformats.org/drawingml/2006/main">
          <a:off x="6985768" y="5043285"/>
          <a:ext cx="390482" cy="18976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0.81725</cdr:x>
      <cdr:y>0.06075</cdr:y>
    </cdr:from>
    <cdr:to>
      <cdr:x>0.91025</cdr:x>
      <cdr:y>0.11375</cdr:y>
    </cdr:to>
    <cdr:sp macro="" textlink="">
      <cdr:nvSpPr>
        <cdr:cNvPr id="2049" name="Text Box 1"/>
        <cdr:cNvSpPr txBox="1">
          <a:spLocks xmlns:a="http://schemas.openxmlformats.org/drawingml/2006/main" noChangeArrowheads="1"/>
        </cdr:cNvSpPr>
      </cdr:nvSpPr>
      <cdr:spPr bwMode="auto">
        <a:xfrm xmlns:a="http://schemas.openxmlformats.org/drawingml/2006/main">
          <a:off x="7013660" y="354709"/>
          <a:ext cx="798128" cy="3094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0.34375</cdr:x>
      <cdr:y>0.279</cdr:y>
    </cdr:from>
    <cdr:to>
      <cdr:x>0.3715</cdr:x>
      <cdr:y>0.31025</cdr:y>
    </cdr:to>
    <cdr:sp macro="" textlink="">
      <cdr:nvSpPr>
        <cdr:cNvPr id="2052" name="Text Box 4"/>
        <cdr:cNvSpPr txBox="1">
          <a:spLocks xmlns:a="http://schemas.openxmlformats.org/drawingml/2006/main" noChangeArrowheads="1"/>
        </cdr:cNvSpPr>
      </cdr:nvSpPr>
      <cdr:spPr bwMode="auto">
        <a:xfrm xmlns:a="http://schemas.openxmlformats.org/drawingml/2006/main">
          <a:off x="2950071" y="1629032"/>
          <a:ext cx="238151"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0.23525</cdr:x>
      <cdr:y>0.588</cdr:y>
    </cdr:from>
    <cdr:to>
      <cdr:x>0.263</cdr:x>
      <cdr:y>0.61925</cdr:y>
    </cdr:to>
    <cdr:sp macro="" textlink="">
      <cdr:nvSpPr>
        <cdr:cNvPr id="2053" name="Text Box 5"/>
        <cdr:cNvSpPr txBox="1">
          <a:spLocks xmlns:a="http://schemas.openxmlformats.org/drawingml/2006/main" noChangeArrowheads="1"/>
        </cdr:cNvSpPr>
      </cdr:nvSpPr>
      <cdr:spPr bwMode="auto">
        <a:xfrm xmlns:a="http://schemas.openxmlformats.org/drawingml/2006/main">
          <a:off x="2018921" y="3433229"/>
          <a:ext cx="238152"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0.2775</cdr:x>
      <cdr:y>0.5635</cdr:y>
    </cdr:from>
    <cdr:to>
      <cdr:x>0.30575</cdr:x>
      <cdr:y>0.59475</cdr:y>
    </cdr:to>
    <cdr:sp macro="" textlink="">
      <cdr:nvSpPr>
        <cdr:cNvPr id="2054" name="Text Box 6"/>
        <cdr:cNvSpPr txBox="1">
          <a:spLocks xmlns:a="http://schemas.openxmlformats.org/drawingml/2006/main" noChangeArrowheads="1"/>
        </cdr:cNvSpPr>
      </cdr:nvSpPr>
      <cdr:spPr bwMode="auto">
        <a:xfrm xmlns:a="http://schemas.openxmlformats.org/drawingml/2006/main">
          <a:off x="2381512" y="3290178"/>
          <a:ext cx="242442"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0.3355</cdr:x>
      <cdr:y>0.5395</cdr:y>
    </cdr:from>
    <cdr:to>
      <cdr:x>0.36175</cdr:x>
      <cdr:y>0.5725</cdr:y>
    </cdr:to>
    <cdr:sp macro="" textlink="">
      <cdr:nvSpPr>
        <cdr:cNvPr id="2055" name="Text Box 7"/>
        <cdr:cNvSpPr txBox="1">
          <a:spLocks xmlns:a="http://schemas.openxmlformats.org/drawingml/2006/main" noChangeArrowheads="1"/>
        </cdr:cNvSpPr>
      </cdr:nvSpPr>
      <cdr:spPr bwMode="auto">
        <a:xfrm xmlns:a="http://schemas.openxmlformats.org/drawingml/2006/main">
          <a:off x="2879269" y="3150046"/>
          <a:ext cx="225279" cy="1926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0.39</cdr:x>
      <cdr:y>0.49775</cdr:y>
    </cdr:from>
    <cdr:to>
      <cdr:x>0.40875</cdr:x>
      <cdr:y>0.529</cdr:y>
    </cdr:to>
    <cdr:sp macro="" textlink="">
      <cdr:nvSpPr>
        <cdr:cNvPr id="2056" name="Text Box 8"/>
        <cdr:cNvSpPr txBox="1">
          <a:spLocks xmlns:a="http://schemas.openxmlformats.org/drawingml/2006/main" noChangeArrowheads="1"/>
        </cdr:cNvSpPr>
      </cdr:nvSpPr>
      <cdr:spPr bwMode="auto">
        <a:xfrm xmlns:a="http://schemas.openxmlformats.org/drawingml/2006/main">
          <a:off x="3346990" y="2906275"/>
          <a:ext cx="160913"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0.32175</cdr:x>
      <cdr:y>0.43425</cdr:y>
    </cdr:from>
    <cdr:to>
      <cdr:x>0.35275</cdr:x>
      <cdr:y>0.464</cdr:y>
    </cdr:to>
    <cdr:sp macro="" textlink="">
      <cdr:nvSpPr>
        <cdr:cNvPr id="2057" name="Text Box 9"/>
        <cdr:cNvSpPr txBox="1">
          <a:spLocks xmlns:a="http://schemas.openxmlformats.org/drawingml/2006/main" noChangeArrowheads="1"/>
        </cdr:cNvSpPr>
      </cdr:nvSpPr>
      <cdr:spPr bwMode="auto">
        <a:xfrm xmlns:a="http://schemas.openxmlformats.org/drawingml/2006/main">
          <a:off x="2761267" y="2535510"/>
          <a:ext cx="266042"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0.43375</cdr:x>
      <cdr:y>0.41625</cdr:y>
    </cdr:from>
    <cdr:to>
      <cdr:x>0.46975</cdr:x>
      <cdr:y>0.44575</cdr:y>
    </cdr:to>
    <cdr:sp macro="" textlink="">
      <cdr:nvSpPr>
        <cdr:cNvPr id="2058" name="Text Box 10"/>
        <cdr:cNvSpPr txBox="1">
          <a:spLocks xmlns:a="http://schemas.openxmlformats.org/drawingml/2006/main" noChangeArrowheads="1"/>
        </cdr:cNvSpPr>
      </cdr:nvSpPr>
      <cdr:spPr bwMode="auto">
        <a:xfrm xmlns:a="http://schemas.openxmlformats.org/drawingml/2006/main">
          <a:off x="3722453" y="2430411"/>
          <a:ext cx="308953"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0.426</cdr:x>
      <cdr:y>0.468</cdr:y>
    </cdr:from>
    <cdr:to>
      <cdr:x>0.45575</cdr:x>
      <cdr:y>0.49775</cdr:y>
    </cdr:to>
    <cdr:sp macro="" textlink="">
      <cdr:nvSpPr>
        <cdr:cNvPr id="2059" name="Text Box 11"/>
        <cdr:cNvSpPr txBox="1">
          <a:spLocks xmlns:a="http://schemas.openxmlformats.org/drawingml/2006/main" noChangeArrowheads="1"/>
        </cdr:cNvSpPr>
      </cdr:nvSpPr>
      <cdr:spPr bwMode="auto">
        <a:xfrm xmlns:a="http://schemas.openxmlformats.org/drawingml/2006/main">
          <a:off x="3655943" y="2732570"/>
          <a:ext cx="255315"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0.368</cdr:x>
      <cdr:y>0.4245</cdr:y>
    </cdr:from>
    <cdr:to>
      <cdr:x>0.3985</cdr:x>
      <cdr:y>0.454</cdr:y>
    </cdr:to>
    <cdr:sp macro="" textlink="">
      <cdr:nvSpPr>
        <cdr:cNvPr id="2060" name="Text Box 12"/>
        <cdr:cNvSpPr txBox="1">
          <a:spLocks xmlns:a="http://schemas.openxmlformats.org/drawingml/2006/main" noChangeArrowheads="1"/>
        </cdr:cNvSpPr>
      </cdr:nvSpPr>
      <cdr:spPr bwMode="auto">
        <a:xfrm xmlns:a="http://schemas.openxmlformats.org/drawingml/2006/main">
          <a:off x="3158185" y="2478581"/>
          <a:ext cx="261752"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0.37275</cdr:x>
      <cdr:y>0.533</cdr:y>
    </cdr:from>
    <cdr:to>
      <cdr:x>0.3985</cdr:x>
      <cdr:y>0.56425</cdr:y>
    </cdr:to>
    <cdr:sp macro="" textlink="">
      <cdr:nvSpPr>
        <cdr:cNvPr id="2061" name="Text Box 13"/>
        <cdr:cNvSpPr txBox="1">
          <a:spLocks xmlns:a="http://schemas.openxmlformats.org/drawingml/2006/main" noChangeArrowheads="1"/>
        </cdr:cNvSpPr>
      </cdr:nvSpPr>
      <cdr:spPr bwMode="auto">
        <a:xfrm xmlns:a="http://schemas.openxmlformats.org/drawingml/2006/main">
          <a:off x="3198950" y="3112094"/>
          <a:ext cx="220987"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0.37775</cdr:x>
      <cdr:y>0.357</cdr:y>
    </cdr:from>
    <cdr:to>
      <cdr:x>0.41575</cdr:x>
      <cdr:y>0.38675</cdr:y>
    </cdr:to>
    <cdr:sp macro="" textlink="">
      <cdr:nvSpPr>
        <cdr:cNvPr id="2062" name="Text Box 14"/>
        <cdr:cNvSpPr txBox="1">
          <a:spLocks xmlns:a="http://schemas.openxmlformats.org/drawingml/2006/main" noChangeArrowheads="1"/>
        </cdr:cNvSpPr>
      </cdr:nvSpPr>
      <cdr:spPr bwMode="auto">
        <a:xfrm xmlns:a="http://schemas.openxmlformats.org/drawingml/2006/main">
          <a:off x="3241860" y="2084461"/>
          <a:ext cx="326117"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0.693</cdr:x>
      <cdr:y>0.95725</cdr:y>
    </cdr:from>
    <cdr:to>
      <cdr:x>0.99525</cdr:x>
      <cdr:y>0.98625</cdr:y>
    </cdr:to>
    <cdr:sp macro="" textlink="">
      <cdr:nvSpPr>
        <cdr:cNvPr id="2063" name="Text Box 15"/>
        <cdr:cNvSpPr txBox="1">
          <a:spLocks xmlns:a="http://schemas.openxmlformats.org/drawingml/2006/main" noChangeArrowheads="1"/>
        </cdr:cNvSpPr>
      </cdr:nvSpPr>
      <cdr:spPr bwMode="auto">
        <a:xfrm xmlns:a="http://schemas.openxmlformats.org/drawingml/2006/main">
          <a:off x="5947343" y="5589215"/>
          <a:ext cx="2593917" cy="169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0.072</cdr:x>
      <cdr:y>0.07925</cdr:y>
    </cdr:from>
    <cdr:to>
      <cdr:x>0.22075</cdr:x>
      <cdr:y>0.40255</cdr:y>
    </cdr:to>
    <cdr:sp macro="" textlink="">
      <cdr:nvSpPr>
        <cdr:cNvPr id="2066" name="Text Box 18"/>
        <cdr:cNvSpPr txBox="1">
          <a:spLocks xmlns:a="http://schemas.openxmlformats.org/drawingml/2006/main" noChangeArrowheads="1"/>
        </cdr:cNvSpPr>
      </cdr:nvSpPr>
      <cdr:spPr bwMode="auto">
        <a:xfrm xmlns:a="http://schemas.openxmlformats.org/drawingml/2006/main">
          <a:off x="618292" y="462939"/>
          <a:ext cx="1277373" cy="18885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0.81725</cdr:x>
      <cdr:y>0.713</cdr:y>
    </cdr:from>
    <cdr:to>
      <cdr:x>0.8625</cdr:x>
      <cdr:y>0.74275</cdr:y>
    </cdr:to>
    <cdr:sp macro="" textlink="">
      <cdr:nvSpPr>
        <cdr:cNvPr id="2067" name="Text Box 19"/>
        <cdr:cNvSpPr txBox="1">
          <a:spLocks xmlns:a="http://schemas.openxmlformats.org/drawingml/2006/main" noChangeArrowheads="1"/>
        </cdr:cNvSpPr>
      </cdr:nvSpPr>
      <cdr:spPr bwMode="auto">
        <a:xfrm xmlns:a="http://schemas.openxmlformats.org/drawingml/2006/main">
          <a:off x="7013660" y="4163082"/>
          <a:ext cx="388337" cy="17370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0.81725</cdr:x>
      <cdr:y>0.75</cdr:y>
    </cdr:from>
    <cdr:to>
      <cdr:x>0.8625</cdr:x>
      <cdr:y>0.7805</cdr:y>
    </cdr:to>
    <cdr:sp macro="" textlink="">
      <cdr:nvSpPr>
        <cdr:cNvPr id="2068" name="Text Box 20"/>
        <cdr:cNvSpPr txBox="1">
          <a:spLocks xmlns:a="http://schemas.openxmlformats.org/drawingml/2006/main" noChangeArrowheads="1"/>
        </cdr:cNvSpPr>
      </cdr:nvSpPr>
      <cdr:spPr bwMode="auto">
        <a:xfrm xmlns:a="http://schemas.openxmlformats.org/drawingml/2006/main">
          <a:off x="7013660" y="4379119"/>
          <a:ext cx="388337" cy="17808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0.81725</cdr:x>
      <cdr:y>0.78475</cdr:y>
    </cdr:from>
    <cdr:to>
      <cdr:x>0.86125</cdr:x>
      <cdr:y>0.81425</cdr:y>
    </cdr:to>
    <cdr:sp macro="" textlink="">
      <cdr:nvSpPr>
        <cdr:cNvPr id="2069" name="Text Box 21"/>
        <cdr:cNvSpPr txBox="1">
          <a:spLocks xmlns:a="http://schemas.openxmlformats.org/drawingml/2006/main" noChangeArrowheads="1"/>
        </cdr:cNvSpPr>
      </cdr:nvSpPr>
      <cdr:spPr bwMode="auto">
        <a:xfrm xmlns:a="http://schemas.openxmlformats.org/drawingml/2006/main">
          <a:off x="7013660" y="4582018"/>
          <a:ext cx="377609"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0.81725</cdr:x>
      <cdr:y>0.825</cdr:y>
    </cdr:from>
    <cdr:to>
      <cdr:x>0.8625</cdr:x>
      <cdr:y>0.86675</cdr:y>
    </cdr:to>
    <cdr:sp macro="" textlink="">
      <cdr:nvSpPr>
        <cdr:cNvPr id="2070" name="Text Box 22"/>
        <cdr:cNvSpPr txBox="1">
          <a:spLocks xmlns:a="http://schemas.openxmlformats.org/drawingml/2006/main" noChangeArrowheads="1"/>
        </cdr:cNvSpPr>
      </cdr:nvSpPr>
      <cdr:spPr bwMode="auto">
        <a:xfrm xmlns:a="http://schemas.openxmlformats.org/drawingml/2006/main">
          <a:off x="7013660" y="4817031"/>
          <a:ext cx="388337" cy="24377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0.81725</cdr:x>
      <cdr:y>0.86675</cdr:y>
    </cdr:from>
    <cdr:to>
      <cdr:x>0.8625</cdr:x>
      <cdr:y>0.9</cdr:y>
    </cdr:to>
    <cdr:sp macro="" textlink="">
      <cdr:nvSpPr>
        <cdr:cNvPr id="2071" name="Text Box 23"/>
        <cdr:cNvSpPr txBox="1">
          <a:spLocks xmlns:a="http://schemas.openxmlformats.org/drawingml/2006/main" noChangeArrowheads="1"/>
        </cdr:cNvSpPr>
      </cdr:nvSpPr>
      <cdr:spPr bwMode="auto">
        <a:xfrm xmlns:a="http://schemas.openxmlformats.org/drawingml/2006/main">
          <a:off x="7013660" y="5060802"/>
          <a:ext cx="388337" cy="19414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0.81875</cdr:x>
      <cdr:y>0.0715</cdr:y>
    </cdr:from>
    <cdr:to>
      <cdr:x>0.9115</cdr:x>
      <cdr:y>0.12425</cdr:y>
    </cdr:to>
    <cdr:sp macro="" textlink="">
      <cdr:nvSpPr>
        <cdr:cNvPr id="35841" name="Text Box 1"/>
        <cdr:cNvSpPr txBox="1">
          <a:spLocks xmlns:a="http://schemas.openxmlformats.org/drawingml/2006/main" noChangeArrowheads="1"/>
        </cdr:cNvSpPr>
      </cdr:nvSpPr>
      <cdr:spPr bwMode="auto">
        <a:xfrm xmlns:a="http://schemas.openxmlformats.org/drawingml/2006/main">
          <a:off x="7026533" y="417476"/>
          <a:ext cx="795983" cy="307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0.34975</cdr:x>
      <cdr:y>0.32325</cdr:y>
    </cdr:from>
    <cdr:to>
      <cdr:x>0.37375</cdr:x>
      <cdr:y>0.3535</cdr:y>
    </cdr:to>
    <cdr:sp macro="" textlink="">
      <cdr:nvSpPr>
        <cdr:cNvPr id="35844" name="Text Box 4"/>
        <cdr:cNvSpPr txBox="1">
          <a:spLocks xmlns:a="http://schemas.openxmlformats.org/drawingml/2006/main" noChangeArrowheads="1"/>
        </cdr:cNvSpPr>
      </cdr:nvSpPr>
      <cdr:spPr bwMode="auto">
        <a:xfrm xmlns:a="http://schemas.openxmlformats.org/drawingml/2006/main">
          <a:off x="3001563" y="1887400"/>
          <a:ext cx="205969"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0.27</cdr:x>
      <cdr:y>0.631</cdr:y>
    </cdr:from>
    <cdr:to>
      <cdr:x>0.2905</cdr:x>
      <cdr:y>0.6615</cdr:y>
    </cdr:to>
    <cdr:sp macro="" textlink="">
      <cdr:nvSpPr>
        <cdr:cNvPr id="35845" name="Text Box 5"/>
        <cdr:cNvSpPr txBox="1">
          <a:spLocks xmlns:a="http://schemas.openxmlformats.org/drawingml/2006/main" noChangeArrowheads="1"/>
        </cdr:cNvSpPr>
      </cdr:nvSpPr>
      <cdr:spPr bwMode="auto">
        <a:xfrm xmlns:a="http://schemas.openxmlformats.org/drawingml/2006/main">
          <a:off x="2317147" y="3684299"/>
          <a:ext cx="175931"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0.27825</cdr:x>
      <cdr:y>0.56875</cdr:y>
    </cdr:from>
    <cdr:to>
      <cdr:x>0.29875</cdr:x>
      <cdr:y>0.6</cdr:y>
    </cdr:to>
    <cdr:sp macro="" textlink="">
      <cdr:nvSpPr>
        <cdr:cNvPr id="35846" name="Text Box 6"/>
        <cdr:cNvSpPr txBox="1">
          <a:spLocks xmlns:a="http://schemas.openxmlformats.org/drawingml/2006/main" noChangeArrowheads="1"/>
        </cdr:cNvSpPr>
      </cdr:nvSpPr>
      <cdr:spPr bwMode="auto">
        <a:xfrm xmlns:a="http://schemas.openxmlformats.org/drawingml/2006/main">
          <a:off x="2387948" y="3320832"/>
          <a:ext cx="175932"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0.345</cdr:x>
      <cdr:y>0.501</cdr:y>
    </cdr:from>
    <cdr:to>
      <cdr:x>0.36625</cdr:x>
      <cdr:y>0.53275</cdr:y>
    </cdr:to>
    <cdr:sp macro="" textlink="">
      <cdr:nvSpPr>
        <cdr:cNvPr id="35847" name="Text Box 7"/>
        <cdr:cNvSpPr txBox="1">
          <a:spLocks xmlns:a="http://schemas.openxmlformats.org/drawingml/2006/main" noChangeArrowheads="1"/>
        </cdr:cNvSpPr>
      </cdr:nvSpPr>
      <cdr:spPr bwMode="auto">
        <a:xfrm xmlns:a="http://schemas.openxmlformats.org/drawingml/2006/main">
          <a:off x="2960799" y="2925251"/>
          <a:ext cx="182368" cy="1853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0.38175</cdr:x>
      <cdr:y>0.46975</cdr:y>
    </cdr:from>
    <cdr:to>
      <cdr:x>0.40425</cdr:x>
      <cdr:y>0.501</cdr:y>
    </cdr:to>
    <cdr:sp macro="" textlink="">
      <cdr:nvSpPr>
        <cdr:cNvPr id="35848" name="Text Box 8"/>
        <cdr:cNvSpPr txBox="1">
          <a:spLocks xmlns:a="http://schemas.openxmlformats.org/drawingml/2006/main" noChangeArrowheads="1"/>
        </cdr:cNvSpPr>
      </cdr:nvSpPr>
      <cdr:spPr bwMode="auto">
        <a:xfrm xmlns:a="http://schemas.openxmlformats.org/drawingml/2006/main">
          <a:off x="3276188" y="2742788"/>
          <a:ext cx="19309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0.3245</cdr:x>
      <cdr:y>0.3895</cdr:y>
    </cdr:from>
    <cdr:to>
      <cdr:x>0.36125</cdr:x>
      <cdr:y>0.4205</cdr:y>
    </cdr:to>
    <cdr:sp macro="" textlink="">
      <cdr:nvSpPr>
        <cdr:cNvPr id="35849" name="Text Box 9"/>
        <cdr:cNvSpPr txBox="1">
          <a:spLocks xmlns:a="http://schemas.openxmlformats.org/drawingml/2006/main" noChangeArrowheads="1"/>
        </cdr:cNvSpPr>
      </cdr:nvSpPr>
      <cdr:spPr bwMode="auto">
        <a:xfrm xmlns:a="http://schemas.openxmlformats.org/drawingml/2006/main">
          <a:off x="2784867" y="2274222"/>
          <a:ext cx="315390"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0.44725</cdr:x>
      <cdr:y>0.315</cdr:y>
    </cdr:from>
    <cdr:to>
      <cdr:x>0.46625</cdr:x>
      <cdr:y>0.3445</cdr:y>
    </cdr:to>
    <cdr:sp macro="" textlink="">
      <cdr:nvSpPr>
        <cdr:cNvPr id="35850" name="Text Box 10"/>
        <cdr:cNvSpPr txBox="1">
          <a:spLocks xmlns:a="http://schemas.openxmlformats.org/drawingml/2006/main" noChangeArrowheads="1"/>
        </cdr:cNvSpPr>
      </cdr:nvSpPr>
      <cdr:spPr bwMode="auto">
        <a:xfrm xmlns:a="http://schemas.openxmlformats.org/drawingml/2006/main">
          <a:off x="3838311" y="1839230"/>
          <a:ext cx="163058"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0.409</cdr:x>
      <cdr:y>0.315</cdr:y>
    </cdr:from>
    <cdr:to>
      <cdr:x>0.437</cdr:x>
      <cdr:y>0.3445</cdr:y>
    </cdr:to>
    <cdr:sp macro="" textlink="">
      <cdr:nvSpPr>
        <cdr:cNvPr id="35851" name="Text Box 11"/>
        <cdr:cNvSpPr txBox="1">
          <a:spLocks xmlns:a="http://schemas.openxmlformats.org/drawingml/2006/main" noChangeArrowheads="1"/>
        </cdr:cNvSpPr>
      </cdr:nvSpPr>
      <cdr:spPr bwMode="auto">
        <a:xfrm xmlns:a="http://schemas.openxmlformats.org/drawingml/2006/main">
          <a:off x="3510048" y="1839230"/>
          <a:ext cx="240297"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0.3545</cdr:x>
      <cdr:y>0.3485</cdr:y>
    </cdr:from>
    <cdr:to>
      <cdr:x>0.38175</cdr:x>
      <cdr:y>0.37725</cdr:y>
    </cdr:to>
    <cdr:sp macro="" textlink="">
      <cdr:nvSpPr>
        <cdr:cNvPr id="35852" name="Text Box 12"/>
        <cdr:cNvSpPr txBox="1">
          <a:spLocks xmlns:a="http://schemas.openxmlformats.org/drawingml/2006/main" noChangeArrowheads="1"/>
        </cdr:cNvSpPr>
      </cdr:nvSpPr>
      <cdr:spPr bwMode="auto">
        <a:xfrm xmlns:a="http://schemas.openxmlformats.org/drawingml/2006/main">
          <a:off x="3042328" y="2034831"/>
          <a:ext cx="233860"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0.36125</cdr:x>
      <cdr:y>0.45675</cdr:y>
    </cdr:from>
    <cdr:to>
      <cdr:x>0.38375</cdr:x>
      <cdr:y>0.48775</cdr:y>
    </cdr:to>
    <cdr:sp macro="" textlink="">
      <cdr:nvSpPr>
        <cdr:cNvPr id="35853" name="Text Box 13"/>
        <cdr:cNvSpPr txBox="1">
          <a:spLocks xmlns:a="http://schemas.openxmlformats.org/drawingml/2006/main" noChangeArrowheads="1"/>
        </cdr:cNvSpPr>
      </cdr:nvSpPr>
      <cdr:spPr bwMode="auto">
        <a:xfrm xmlns:a="http://schemas.openxmlformats.org/drawingml/2006/main">
          <a:off x="3100257" y="2666883"/>
          <a:ext cx="193095"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0.41925</cdr:x>
      <cdr:y>0.4345</cdr:y>
    </cdr:from>
    <cdr:to>
      <cdr:x>0.44725</cdr:x>
      <cdr:y>0.46475</cdr:y>
    </cdr:to>
    <cdr:sp macro="" textlink="">
      <cdr:nvSpPr>
        <cdr:cNvPr id="35854" name="Text Box 14"/>
        <cdr:cNvSpPr txBox="1">
          <a:spLocks xmlns:a="http://schemas.openxmlformats.org/drawingml/2006/main" noChangeArrowheads="1"/>
        </cdr:cNvSpPr>
      </cdr:nvSpPr>
      <cdr:spPr bwMode="auto">
        <a:xfrm xmlns:a="http://schemas.openxmlformats.org/drawingml/2006/main">
          <a:off x="3598014" y="2536969"/>
          <a:ext cx="240297"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0.698</cdr:x>
      <cdr:y>0.9615</cdr:y>
    </cdr:from>
    <cdr:to>
      <cdr:x>1</cdr:x>
      <cdr:y>0.98975</cdr:y>
    </cdr:to>
    <cdr:sp macro="" textlink="">
      <cdr:nvSpPr>
        <cdr:cNvPr id="35855" name="Text Box 15"/>
        <cdr:cNvSpPr txBox="1">
          <a:spLocks xmlns:a="http://schemas.openxmlformats.org/drawingml/2006/main" noChangeArrowheads="1"/>
        </cdr:cNvSpPr>
      </cdr:nvSpPr>
      <cdr:spPr bwMode="auto">
        <a:xfrm xmlns:a="http://schemas.openxmlformats.org/drawingml/2006/main">
          <a:off x="5990253" y="5614030"/>
          <a:ext cx="2591772" cy="1649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0.08</cdr:x>
      <cdr:y>0.08225</cdr:y>
    </cdr:from>
    <cdr:to>
      <cdr:x>0.2285</cdr:x>
      <cdr:y>0.40127</cdr:y>
    </cdr:to>
    <cdr:sp macro="" textlink="">
      <cdr:nvSpPr>
        <cdr:cNvPr id="35856" name="Text Box 16"/>
        <cdr:cNvSpPr txBox="1">
          <a:spLocks xmlns:a="http://schemas.openxmlformats.org/drawingml/2006/main" noChangeArrowheads="1"/>
        </cdr:cNvSpPr>
      </cdr:nvSpPr>
      <cdr:spPr bwMode="auto">
        <a:xfrm xmlns:a="http://schemas.openxmlformats.org/drawingml/2006/main">
          <a:off x="686991" y="480464"/>
          <a:ext cx="1275226" cy="186357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0.81825</cdr:x>
      <cdr:y>0.69325</cdr:y>
    </cdr:from>
    <cdr:to>
      <cdr:x>0.8635</cdr:x>
      <cdr:y>0.72275</cdr:y>
    </cdr:to>
    <cdr:sp macro="" textlink="">
      <cdr:nvSpPr>
        <cdr:cNvPr id="35857" name="Text Box 17"/>
        <cdr:cNvSpPr txBox="1">
          <a:spLocks xmlns:a="http://schemas.openxmlformats.org/drawingml/2006/main" noChangeArrowheads="1"/>
        </cdr:cNvSpPr>
      </cdr:nvSpPr>
      <cdr:spPr bwMode="auto">
        <a:xfrm xmlns:a="http://schemas.openxmlformats.org/drawingml/2006/main">
          <a:off x="7022242" y="4047765"/>
          <a:ext cx="388337" cy="17224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0.81825</cdr:x>
      <cdr:y>0.735</cdr:y>
    </cdr:from>
    <cdr:to>
      <cdr:x>0.8635</cdr:x>
      <cdr:y>0.76625</cdr:y>
    </cdr:to>
    <cdr:sp macro="" textlink="">
      <cdr:nvSpPr>
        <cdr:cNvPr id="35858" name="Text Box 18"/>
        <cdr:cNvSpPr txBox="1">
          <a:spLocks xmlns:a="http://schemas.openxmlformats.org/drawingml/2006/main" noChangeArrowheads="1"/>
        </cdr:cNvSpPr>
      </cdr:nvSpPr>
      <cdr:spPr bwMode="auto">
        <a:xfrm xmlns:a="http://schemas.openxmlformats.org/drawingml/2006/main">
          <a:off x="7022242" y="4291536"/>
          <a:ext cx="388337" cy="1824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0.81825</cdr:x>
      <cdr:y>0.7735</cdr:y>
    </cdr:from>
    <cdr:to>
      <cdr:x>0.86225</cdr:x>
      <cdr:y>0.803</cdr:y>
    </cdr:to>
    <cdr:sp macro="" textlink="">
      <cdr:nvSpPr>
        <cdr:cNvPr id="35859" name="Text Box 19"/>
        <cdr:cNvSpPr txBox="1">
          <a:spLocks xmlns:a="http://schemas.openxmlformats.org/drawingml/2006/main" noChangeArrowheads="1"/>
        </cdr:cNvSpPr>
      </cdr:nvSpPr>
      <cdr:spPr bwMode="auto">
        <a:xfrm xmlns:a="http://schemas.openxmlformats.org/drawingml/2006/main">
          <a:off x="7022242" y="4516331"/>
          <a:ext cx="377609"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0.81825</cdr:x>
      <cdr:y>0.8145</cdr:y>
    </cdr:from>
    <cdr:to>
      <cdr:x>0.8635</cdr:x>
      <cdr:y>0.85725</cdr:y>
    </cdr:to>
    <cdr:sp macro="" textlink="">
      <cdr:nvSpPr>
        <cdr:cNvPr id="35860" name="Text Box 20"/>
        <cdr:cNvSpPr txBox="1">
          <a:spLocks xmlns:a="http://schemas.openxmlformats.org/drawingml/2006/main" noChangeArrowheads="1"/>
        </cdr:cNvSpPr>
      </cdr:nvSpPr>
      <cdr:spPr bwMode="auto">
        <a:xfrm xmlns:a="http://schemas.openxmlformats.org/drawingml/2006/main">
          <a:off x="7022242" y="4755723"/>
          <a:ext cx="388337"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0.81825</cdr:x>
      <cdr:y>0.85725</cdr:y>
    </cdr:from>
    <cdr:to>
      <cdr:x>0.8635</cdr:x>
      <cdr:y>0.89</cdr:y>
    </cdr:to>
    <cdr:sp macro="" textlink="">
      <cdr:nvSpPr>
        <cdr:cNvPr id="35861" name="Text Box 21"/>
        <cdr:cNvSpPr txBox="1">
          <a:spLocks xmlns:a="http://schemas.openxmlformats.org/drawingml/2006/main" noChangeArrowheads="1"/>
        </cdr:cNvSpPr>
      </cdr:nvSpPr>
      <cdr:spPr bwMode="auto">
        <a:xfrm xmlns:a="http://schemas.openxmlformats.org/drawingml/2006/main">
          <a:off x="7022242" y="5005333"/>
          <a:ext cx="388337" cy="19122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0.80575</cdr:x>
      <cdr:y>0.06725</cdr:y>
    </cdr:from>
    <cdr:to>
      <cdr:x>0.90525</cdr:x>
      <cdr:y>0.116</cdr:y>
    </cdr:to>
    <cdr:sp macro="" textlink="">
      <cdr:nvSpPr>
        <cdr:cNvPr id="3073" name="Text Box 1"/>
        <cdr:cNvSpPr txBox="1">
          <a:spLocks xmlns:a="http://schemas.openxmlformats.org/drawingml/2006/main" noChangeArrowheads="1"/>
        </cdr:cNvSpPr>
      </cdr:nvSpPr>
      <cdr:spPr bwMode="auto">
        <a:xfrm xmlns:a="http://schemas.openxmlformats.org/drawingml/2006/main">
          <a:off x="6914967" y="392661"/>
          <a:ext cx="853911" cy="2846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0.5335</cdr:x>
      <cdr:y>0.53375</cdr:y>
    </cdr:from>
    <cdr:to>
      <cdr:x>0.5595</cdr:x>
      <cdr:y>0.5625</cdr:y>
    </cdr:to>
    <cdr:sp macro="" textlink="">
      <cdr:nvSpPr>
        <cdr:cNvPr id="3074" name="Text Box 2"/>
        <cdr:cNvSpPr txBox="1">
          <a:spLocks xmlns:a="http://schemas.openxmlformats.org/drawingml/2006/main" noChangeArrowheads="1"/>
        </cdr:cNvSpPr>
      </cdr:nvSpPr>
      <cdr:spPr bwMode="auto">
        <a:xfrm xmlns:a="http://schemas.openxmlformats.org/drawingml/2006/main">
          <a:off x="4578510" y="3116473"/>
          <a:ext cx="223133"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0.28325</cdr:x>
      <cdr:y>0.62575</cdr:y>
    </cdr:from>
    <cdr:to>
      <cdr:x>0.3005</cdr:x>
      <cdr:y>0.6555</cdr:y>
    </cdr:to>
    <cdr:sp macro="" textlink="">
      <cdr:nvSpPr>
        <cdr:cNvPr id="3075" name="Text Box 3"/>
        <cdr:cNvSpPr txBox="1">
          <a:spLocks xmlns:a="http://schemas.openxmlformats.org/drawingml/2006/main" noChangeArrowheads="1"/>
        </cdr:cNvSpPr>
      </cdr:nvSpPr>
      <cdr:spPr bwMode="auto">
        <a:xfrm xmlns:a="http://schemas.openxmlformats.org/drawingml/2006/main">
          <a:off x="2430859" y="3653645"/>
          <a:ext cx="148040"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0.319</cdr:x>
      <cdr:y>0.6175</cdr:y>
    </cdr:from>
    <cdr:to>
      <cdr:x>0.33525</cdr:x>
      <cdr:y>0.648</cdr:y>
    </cdr:to>
    <cdr:sp macro="" textlink="">
      <cdr:nvSpPr>
        <cdr:cNvPr id="3076" name="Text Box 4"/>
        <cdr:cNvSpPr txBox="1">
          <a:spLocks xmlns:a="http://schemas.openxmlformats.org/drawingml/2006/main" noChangeArrowheads="1"/>
        </cdr:cNvSpPr>
      </cdr:nvSpPr>
      <cdr:spPr bwMode="auto">
        <a:xfrm xmlns:a="http://schemas.openxmlformats.org/drawingml/2006/main">
          <a:off x="2737666" y="3605474"/>
          <a:ext cx="139458" cy="178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0.379</cdr:x>
      <cdr:y>0.546</cdr:y>
    </cdr:from>
    <cdr:to>
      <cdr:x>0.39825</cdr:x>
      <cdr:y>0.5765</cdr:y>
    </cdr:to>
    <cdr:sp macro="" textlink="">
      <cdr:nvSpPr>
        <cdr:cNvPr id="3077" name="Text Box 5"/>
        <cdr:cNvSpPr txBox="1">
          <a:spLocks xmlns:a="http://schemas.openxmlformats.org/drawingml/2006/main" noChangeArrowheads="1"/>
        </cdr:cNvSpPr>
      </cdr:nvSpPr>
      <cdr:spPr bwMode="auto">
        <a:xfrm xmlns:a="http://schemas.openxmlformats.org/drawingml/2006/main">
          <a:off x="3252587" y="3187998"/>
          <a:ext cx="165204" cy="178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0.4105</cdr:x>
      <cdr:y>0.49275</cdr:y>
    </cdr:from>
    <cdr:to>
      <cdr:x>0.4345</cdr:x>
      <cdr:y>0.523</cdr:y>
    </cdr:to>
    <cdr:sp macro="" textlink="">
      <cdr:nvSpPr>
        <cdr:cNvPr id="3078" name="Text Box 6"/>
        <cdr:cNvSpPr txBox="1">
          <a:spLocks xmlns:a="http://schemas.openxmlformats.org/drawingml/2006/main" noChangeArrowheads="1"/>
        </cdr:cNvSpPr>
      </cdr:nvSpPr>
      <cdr:spPr bwMode="auto">
        <a:xfrm xmlns:a="http://schemas.openxmlformats.org/drawingml/2006/main">
          <a:off x="3522921" y="2877081"/>
          <a:ext cx="205969" cy="1766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0.481</cdr:x>
      <cdr:y>0.5625</cdr:y>
    </cdr:from>
    <cdr:to>
      <cdr:x>0.50775</cdr:x>
      <cdr:y>0.59125</cdr:y>
    </cdr:to>
    <cdr:sp macro="" textlink="">
      <cdr:nvSpPr>
        <cdr:cNvPr id="3079" name="Text Box 7"/>
        <cdr:cNvSpPr txBox="1">
          <a:spLocks xmlns:a="http://schemas.openxmlformats.org/drawingml/2006/main" noChangeArrowheads="1"/>
        </cdr:cNvSpPr>
      </cdr:nvSpPr>
      <cdr:spPr bwMode="auto">
        <a:xfrm xmlns:a="http://schemas.openxmlformats.org/drawingml/2006/main">
          <a:off x="4127954" y="3284339"/>
          <a:ext cx="229569"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0.552</cdr:x>
      <cdr:y>0.41875</cdr:y>
    </cdr:from>
    <cdr:to>
      <cdr:x>0.5815</cdr:x>
      <cdr:y>0.45225</cdr:y>
    </cdr:to>
    <cdr:sp macro="" textlink="">
      <cdr:nvSpPr>
        <cdr:cNvPr id="3080" name="Text Box 8"/>
        <cdr:cNvSpPr txBox="1">
          <a:spLocks xmlns:a="http://schemas.openxmlformats.org/drawingml/2006/main" noChangeArrowheads="1"/>
        </cdr:cNvSpPr>
      </cdr:nvSpPr>
      <cdr:spPr bwMode="auto">
        <a:xfrm xmlns:a="http://schemas.openxmlformats.org/drawingml/2006/main">
          <a:off x="4737278" y="2445008"/>
          <a:ext cx="253170" cy="195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0.552</cdr:x>
      <cdr:y>0.45725</cdr:y>
    </cdr:from>
    <cdr:to>
      <cdr:x>0.5815</cdr:x>
      <cdr:y>0.48525</cdr:y>
    </cdr:to>
    <cdr:sp macro="" textlink="">
      <cdr:nvSpPr>
        <cdr:cNvPr id="3081" name="Text Box 9"/>
        <cdr:cNvSpPr txBox="1">
          <a:spLocks xmlns:a="http://schemas.openxmlformats.org/drawingml/2006/main" noChangeArrowheads="1"/>
        </cdr:cNvSpPr>
      </cdr:nvSpPr>
      <cdr:spPr bwMode="auto">
        <a:xfrm xmlns:a="http://schemas.openxmlformats.org/drawingml/2006/main">
          <a:off x="4737278" y="2669803"/>
          <a:ext cx="253170"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0.50775</cdr:x>
      <cdr:y>0.48525</cdr:y>
    </cdr:from>
    <cdr:to>
      <cdr:x>0.5335</cdr:x>
      <cdr:y>0.51225</cdr:y>
    </cdr:to>
    <cdr:sp macro="" textlink="">
      <cdr:nvSpPr>
        <cdr:cNvPr id="3082" name="Text Box 10"/>
        <cdr:cNvSpPr txBox="1">
          <a:spLocks xmlns:a="http://schemas.openxmlformats.org/drawingml/2006/main" noChangeArrowheads="1"/>
        </cdr:cNvSpPr>
      </cdr:nvSpPr>
      <cdr:spPr bwMode="auto">
        <a:xfrm xmlns:a="http://schemas.openxmlformats.org/drawingml/2006/main">
          <a:off x="4357523" y="2833290"/>
          <a:ext cx="220987" cy="1576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0.418</cdr:x>
      <cdr:y>0.51725</cdr:y>
    </cdr:from>
    <cdr:to>
      <cdr:x>0.444</cdr:x>
      <cdr:y>0.546</cdr:y>
    </cdr:to>
    <cdr:sp macro="" textlink="">
      <cdr:nvSpPr>
        <cdr:cNvPr id="3083" name="Text Box 11"/>
        <cdr:cNvSpPr txBox="1">
          <a:spLocks xmlns:a="http://schemas.openxmlformats.org/drawingml/2006/main" noChangeArrowheads="1"/>
        </cdr:cNvSpPr>
      </cdr:nvSpPr>
      <cdr:spPr bwMode="auto">
        <a:xfrm xmlns:a="http://schemas.openxmlformats.org/drawingml/2006/main">
          <a:off x="3587286" y="3020132"/>
          <a:ext cx="223133"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0.44475</cdr:x>
      <cdr:y>0.445</cdr:y>
    </cdr:from>
    <cdr:to>
      <cdr:x>0.4665</cdr:x>
      <cdr:y>0.473</cdr:y>
    </cdr:to>
    <cdr:sp macro="" textlink="">
      <cdr:nvSpPr>
        <cdr:cNvPr id="3084" name="Text Box 12"/>
        <cdr:cNvSpPr txBox="1">
          <a:spLocks xmlns:a="http://schemas.openxmlformats.org/drawingml/2006/main" noChangeArrowheads="1"/>
        </cdr:cNvSpPr>
      </cdr:nvSpPr>
      <cdr:spPr bwMode="auto">
        <a:xfrm xmlns:a="http://schemas.openxmlformats.org/drawingml/2006/main">
          <a:off x="3816856" y="2598277"/>
          <a:ext cx="186659"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0.68825</cdr:x>
      <cdr:y>0.95475</cdr:y>
    </cdr:from>
    <cdr:to>
      <cdr:x>0.9905</cdr:x>
      <cdr:y>0.986</cdr:y>
    </cdr:to>
    <cdr:sp macro="" textlink="">
      <cdr:nvSpPr>
        <cdr:cNvPr id="3085" name="Text Box 13"/>
        <cdr:cNvSpPr txBox="1">
          <a:spLocks xmlns:a="http://schemas.openxmlformats.org/drawingml/2006/main" noChangeArrowheads="1"/>
        </cdr:cNvSpPr>
      </cdr:nvSpPr>
      <cdr:spPr bwMode="auto">
        <a:xfrm xmlns:a="http://schemas.openxmlformats.org/drawingml/2006/main">
          <a:off x="5906579" y="5574618"/>
          <a:ext cx="2593917"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0.08225</cdr:x>
      <cdr:y>0.08325</cdr:y>
    </cdr:from>
    <cdr:to>
      <cdr:x>0.23</cdr:x>
      <cdr:y>0.41135</cdr:y>
    </cdr:to>
    <cdr:sp macro="" textlink="">
      <cdr:nvSpPr>
        <cdr:cNvPr id="3086" name="Text Box 14"/>
        <cdr:cNvSpPr txBox="1">
          <a:spLocks xmlns:a="http://schemas.openxmlformats.org/drawingml/2006/main" noChangeArrowheads="1"/>
        </cdr:cNvSpPr>
      </cdr:nvSpPr>
      <cdr:spPr bwMode="auto">
        <a:xfrm xmlns:a="http://schemas.openxmlformats.org/drawingml/2006/main">
          <a:off x="713657" y="524096"/>
          <a:ext cx="1281979" cy="206551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8   Damen 4708</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0.81625</cdr:x>
      <cdr:y>0.70325</cdr:y>
    </cdr:from>
    <cdr:to>
      <cdr:x>0.862</cdr:x>
      <cdr:y>0.7345</cdr:y>
    </cdr:to>
    <cdr:sp macro="" textlink="">
      <cdr:nvSpPr>
        <cdr:cNvPr id="3087" name="Text Box 15"/>
        <cdr:cNvSpPr txBox="1">
          <a:spLocks xmlns:a="http://schemas.openxmlformats.org/drawingml/2006/main" noChangeArrowheads="1"/>
        </cdr:cNvSpPr>
      </cdr:nvSpPr>
      <cdr:spPr bwMode="auto">
        <a:xfrm xmlns:a="http://schemas.openxmlformats.org/drawingml/2006/main">
          <a:off x="7005078" y="4106154"/>
          <a:ext cx="392628"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0.81625</cdr:x>
      <cdr:y>0.745</cdr:y>
    </cdr:from>
    <cdr:to>
      <cdr:x>0.862</cdr:x>
      <cdr:y>0.77725</cdr:y>
    </cdr:to>
    <cdr:sp macro="" textlink="">
      <cdr:nvSpPr>
        <cdr:cNvPr id="3088" name="Text Box 16"/>
        <cdr:cNvSpPr txBox="1">
          <a:spLocks xmlns:a="http://schemas.openxmlformats.org/drawingml/2006/main" noChangeArrowheads="1"/>
        </cdr:cNvSpPr>
      </cdr:nvSpPr>
      <cdr:spPr bwMode="auto">
        <a:xfrm xmlns:a="http://schemas.openxmlformats.org/drawingml/2006/main">
          <a:off x="7005078" y="4349925"/>
          <a:ext cx="392628" cy="18830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0.8155</cdr:x>
      <cdr:y>0.78375</cdr:y>
    </cdr:from>
    <cdr:to>
      <cdr:x>0.86225</cdr:x>
      <cdr:y>0.815</cdr:y>
    </cdr:to>
    <cdr:sp macro="" textlink="">
      <cdr:nvSpPr>
        <cdr:cNvPr id="3089" name="Text Box 17"/>
        <cdr:cNvSpPr txBox="1">
          <a:spLocks xmlns:a="http://schemas.openxmlformats.org/drawingml/2006/main" noChangeArrowheads="1"/>
        </cdr:cNvSpPr>
      </cdr:nvSpPr>
      <cdr:spPr bwMode="auto">
        <a:xfrm xmlns:a="http://schemas.openxmlformats.org/drawingml/2006/main">
          <a:off x="6998641" y="4576179"/>
          <a:ext cx="401210"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0.81625</cdr:x>
      <cdr:y>0.82725</cdr:y>
    </cdr:from>
    <cdr:to>
      <cdr:x>0.86225</cdr:x>
      <cdr:y>0.8585</cdr:y>
    </cdr:to>
    <cdr:sp macro="" textlink="">
      <cdr:nvSpPr>
        <cdr:cNvPr id="3090" name="Text Box 18"/>
        <cdr:cNvSpPr txBox="1">
          <a:spLocks xmlns:a="http://schemas.openxmlformats.org/drawingml/2006/main" noChangeArrowheads="1"/>
        </cdr:cNvSpPr>
      </cdr:nvSpPr>
      <cdr:spPr bwMode="auto">
        <a:xfrm xmlns:a="http://schemas.openxmlformats.org/drawingml/2006/main">
          <a:off x="7005078" y="4830168"/>
          <a:ext cx="394773"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0.8155</cdr:x>
      <cdr:y>0.87175</cdr:y>
    </cdr:from>
    <cdr:to>
      <cdr:x>0.86225</cdr:x>
      <cdr:y>0.903</cdr:y>
    </cdr:to>
    <cdr:sp macro="" textlink="">
      <cdr:nvSpPr>
        <cdr:cNvPr id="3091" name="Text Box 19"/>
        <cdr:cNvSpPr txBox="1">
          <a:spLocks xmlns:a="http://schemas.openxmlformats.org/drawingml/2006/main" noChangeArrowheads="1"/>
        </cdr:cNvSpPr>
      </cdr:nvSpPr>
      <cdr:spPr bwMode="auto">
        <a:xfrm xmlns:a="http://schemas.openxmlformats.org/drawingml/2006/main">
          <a:off x="6998641" y="5089996"/>
          <a:ext cx="401210"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0.8105</cdr:x>
      <cdr:y>0.06125</cdr:y>
    </cdr:from>
    <cdr:to>
      <cdr:x>0.912</cdr:x>
      <cdr:y>0.11775</cdr:y>
    </cdr:to>
    <cdr:sp macro="" textlink="">
      <cdr:nvSpPr>
        <cdr:cNvPr id="86017" name="Text Box 1"/>
        <cdr:cNvSpPr txBox="1">
          <a:spLocks xmlns:a="http://schemas.openxmlformats.org/drawingml/2006/main" noChangeArrowheads="1"/>
        </cdr:cNvSpPr>
      </cdr:nvSpPr>
      <cdr:spPr bwMode="auto">
        <a:xfrm xmlns:a="http://schemas.openxmlformats.org/drawingml/2006/main">
          <a:off x="6955731" y="357628"/>
          <a:ext cx="871076" cy="3298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0.60525</cdr:x>
      <cdr:y>0.0815</cdr:y>
    </cdr:from>
    <cdr:to>
      <cdr:x>0.7545</cdr:x>
      <cdr:y>0.50191</cdr:y>
    </cdr:to>
    <cdr:sp macro="" textlink="">
      <cdr:nvSpPr>
        <cdr:cNvPr id="86018" name="Text Box 2"/>
        <cdr:cNvSpPr txBox="1">
          <a:spLocks xmlns:a="http://schemas.openxmlformats.org/drawingml/2006/main" noChangeArrowheads="1"/>
        </cdr:cNvSpPr>
      </cdr:nvSpPr>
      <cdr:spPr bwMode="auto">
        <a:xfrm xmlns:a="http://schemas.openxmlformats.org/drawingml/2006/main">
          <a:off x="5197514" y="476083"/>
          <a:ext cx="1281666" cy="245583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a:t>
          </a: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5   Stanflex</a:t>
          </a:r>
        </a:p>
        <a:p xmlns:a="http://schemas.openxmlformats.org/drawingml/2006/main">
          <a:pPr algn="l" rtl="0">
            <a:defRPr sz="1000"/>
          </a:pPr>
          <a:r>
            <a:rPr lang="en-US" sz="1000" b="1" i="0" u="none" strike="noStrike" baseline="0">
              <a:solidFill>
                <a:srgbClr val="993300"/>
              </a:solidFill>
              <a:latin typeface="Arial"/>
              <a:cs typeface="Arial"/>
            </a:rPr>
            <a:t>  6   Damen 4207</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8   Damen 4708</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0.6885</cdr:x>
      <cdr:y>0.961</cdr:y>
    </cdr:from>
    <cdr:to>
      <cdr:x>0.99275</cdr:x>
      <cdr:y>0.98975</cdr:y>
    </cdr:to>
    <cdr:sp macro="" textlink="">
      <cdr:nvSpPr>
        <cdr:cNvPr id="86019" name="Text Box 3"/>
        <cdr:cNvSpPr txBox="1">
          <a:spLocks xmlns:a="http://schemas.openxmlformats.org/drawingml/2006/main" noChangeArrowheads="1"/>
        </cdr:cNvSpPr>
      </cdr:nvSpPr>
      <cdr:spPr bwMode="auto">
        <a:xfrm xmlns:a="http://schemas.openxmlformats.org/drawingml/2006/main">
          <a:off x="5908724" y="5611111"/>
          <a:ext cx="2611081"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0.14725</cdr:x>
      <cdr:y>0.847</cdr:y>
    </cdr:from>
    <cdr:to>
      <cdr:x>0.1725</cdr:x>
      <cdr:y>0.88075</cdr:y>
    </cdr:to>
    <cdr:sp macro="" textlink="">
      <cdr:nvSpPr>
        <cdr:cNvPr id="86020" name="Text Box 4"/>
        <cdr:cNvSpPr txBox="1">
          <a:spLocks xmlns:a="http://schemas.openxmlformats.org/drawingml/2006/main" noChangeArrowheads="1"/>
        </cdr:cNvSpPr>
      </cdr:nvSpPr>
      <cdr:spPr bwMode="auto">
        <a:xfrm xmlns:a="http://schemas.openxmlformats.org/drawingml/2006/main">
          <a:off x="1263703" y="4945485"/>
          <a:ext cx="216696"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0.207</cdr:x>
      <cdr:y>0.67075</cdr:y>
    </cdr:from>
    <cdr:to>
      <cdr:x>0.233</cdr:x>
      <cdr:y>0.70525</cdr:y>
    </cdr:to>
    <cdr:sp macro="" textlink="">
      <cdr:nvSpPr>
        <cdr:cNvPr id="86021" name="Text Box 5"/>
        <cdr:cNvSpPr txBox="1">
          <a:spLocks xmlns:a="http://schemas.openxmlformats.org/drawingml/2006/main" noChangeArrowheads="1"/>
        </cdr:cNvSpPr>
      </cdr:nvSpPr>
      <cdr:spPr bwMode="auto">
        <a:xfrm xmlns:a="http://schemas.openxmlformats.org/drawingml/2006/main">
          <a:off x="1776479" y="3916392"/>
          <a:ext cx="223133"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0.165</cdr:x>
      <cdr:y>0.54525</cdr:y>
    </cdr:from>
    <cdr:to>
      <cdr:x>0.196</cdr:x>
      <cdr:y>0.5795</cdr:y>
    </cdr:to>
    <cdr:sp macro="" textlink="">
      <cdr:nvSpPr>
        <cdr:cNvPr id="86022" name="Text Box 6"/>
        <cdr:cNvSpPr txBox="1">
          <a:spLocks xmlns:a="http://schemas.openxmlformats.org/drawingml/2006/main" noChangeArrowheads="1"/>
        </cdr:cNvSpPr>
      </cdr:nvSpPr>
      <cdr:spPr bwMode="auto">
        <a:xfrm xmlns:a="http://schemas.openxmlformats.org/drawingml/2006/main">
          <a:off x="1416034" y="3183619"/>
          <a:ext cx="266043"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0.084</cdr:x>
      <cdr:y>0.7675</cdr:y>
    </cdr:from>
    <cdr:to>
      <cdr:x>0.1135</cdr:x>
      <cdr:y>0.8035</cdr:y>
    </cdr:to>
    <cdr:sp macro="" textlink="">
      <cdr:nvSpPr>
        <cdr:cNvPr id="86023" name="Text Box 7"/>
        <cdr:cNvSpPr txBox="1">
          <a:spLocks xmlns:a="http://schemas.openxmlformats.org/drawingml/2006/main" noChangeArrowheads="1"/>
        </cdr:cNvSpPr>
      </cdr:nvSpPr>
      <cdr:spPr bwMode="auto">
        <a:xfrm xmlns:a="http://schemas.openxmlformats.org/drawingml/2006/main">
          <a:off x="720890" y="4481298"/>
          <a:ext cx="253170" cy="2101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0.2475</cdr:x>
      <cdr:y>0.83325</cdr:y>
    </cdr:from>
    <cdr:to>
      <cdr:x>0.2805</cdr:x>
      <cdr:y>0.87</cdr:y>
    </cdr:to>
    <cdr:sp macro="" textlink="">
      <cdr:nvSpPr>
        <cdr:cNvPr id="86024" name="Text Box 8"/>
        <cdr:cNvSpPr txBox="1">
          <a:spLocks xmlns:a="http://schemas.openxmlformats.org/drawingml/2006/main" noChangeArrowheads="1"/>
        </cdr:cNvSpPr>
      </cdr:nvSpPr>
      <cdr:spPr bwMode="auto">
        <a:xfrm xmlns:a="http://schemas.openxmlformats.org/drawingml/2006/main">
          <a:off x="2124051" y="4865201"/>
          <a:ext cx="283207" cy="2145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0.1725</cdr:x>
      <cdr:y>0.67075</cdr:y>
    </cdr:from>
    <cdr:to>
      <cdr:x>0.20625</cdr:x>
      <cdr:y>0.7085</cdr:y>
    </cdr:to>
    <cdr:sp macro="" textlink="">
      <cdr:nvSpPr>
        <cdr:cNvPr id="86025" name="Text Box 9"/>
        <cdr:cNvSpPr txBox="1">
          <a:spLocks xmlns:a="http://schemas.openxmlformats.org/drawingml/2006/main" noChangeArrowheads="1"/>
        </cdr:cNvSpPr>
      </cdr:nvSpPr>
      <cdr:spPr bwMode="auto">
        <a:xfrm xmlns:a="http://schemas.openxmlformats.org/drawingml/2006/main">
          <a:off x="1480399" y="3916392"/>
          <a:ext cx="289644" cy="2204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0.10875</cdr:x>
      <cdr:y>0.71825</cdr:y>
    </cdr:from>
    <cdr:to>
      <cdr:x>0.14175</cdr:x>
      <cdr:y>0.74875</cdr:y>
    </cdr:to>
    <cdr:sp macro="" textlink="">
      <cdr:nvSpPr>
        <cdr:cNvPr id="86026" name="Text Box 10"/>
        <cdr:cNvSpPr txBox="1">
          <a:spLocks xmlns:a="http://schemas.openxmlformats.org/drawingml/2006/main" noChangeArrowheads="1"/>
        </cdr:cNvSpPr>
      </cdr:nvSpPr>
      <cdr:spPr bwMode="auto">
        <a:xfrm xmlns:a="http://schemas.openxmlformats.org/drawingml/2006/main">
          <a:off x="933295" y="4193736"/>
          <a:ext cx="283207"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0.2805</cdr:x>
      <cdr:y>0.6715</cdr:y>
    </cdr:from>
    <cdr:to>
      <cdr:x>0.308</cdr:x>
      <cdr:y>0.70425</cdr:y>
    </cdr:to>
    <cdr:sp macro="" textlink="">
      <cdr:nvSpPr>
        <cdr:cNvPr id="86027" name="Text Box 11"/>
        <cdr:cNvSpPr txBox="1">
          <a:spLocks xmlns:a="http://schemas.openxmlformats.org/drawingml/2006/main" noChangeArrowheads="1"/>
        </cdr:cNvSpPr>
      </cdr:nvSpPr>
      <cdr:spPr bwMode="auto">
        <a:xfrm xmlns:a="http://schemas.openxmlformats.org/drawingml/2006/main">
          <a:off x="2407258" y="3920771"/>
          <a:ext cx="236006"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0.1835</cdr:x>
      <cdr:y>0.848</cdr:y>
    </cdr:from>
    <cdr:to>
      <cdr:x>0.20825</cdr:x>
      <cdr:y>0.8815</cdr:y>
    </cdr:to>
    <cdr:sp macro="" textlink="">
      <cdr:nvSpPr>
        <cdr:cNvPr id="86028" name="Text Box 12"/>
        <cdr:cNvSpPr txBox="1">
          <a:spLocks xmlns:a="http://schemas.openxmlformats.org/drawingml/2006/main" noChangeArrowheads="1"/>
        </cdr:cNvSpPr>
      </cdr:nvSpPr>
      <cdr:spPr bwMode="auto">
        <a:xfrm xmlns:a="http://schemas.openxmlformats.org/drawingml/2006/main">
          <a:off x="1574802" y="4951324"/>
          <a:ext cx="212405" cy="19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0.09275</cdr:x>
      <cdr:y>0.82</cdr:y>
    </cdr:from>
    <cdr:to>
      <cdr:x>0.11825</cdr:x>
      <cdr:y>0.8545</cdr:y>
    </cdr:to>
    <cdr:sp macro="" textlink="">
      <cdr:nvSpPr>
        <cdr:cNvPr id="86029" name="Text Box 13"/>
        <cdr:cNvSpPr txBox="1">
          <a:spLocks xmlns:a="http://schemas.openxmlformats.org/drawingml/2006/main" noChangeArrowheads="1"/>
        </cdr:cNvSpPr>
      </cdr:nvSpPr>
      <cdr:spPr bwMode="auto">
        <a:xfrm xmlns:a="http://schemas.openxmlformats.org/drawingml/2006/main">
          <a:off x="795983" y="4787837"/>
          <a:ext cx="218841"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0.22275</cdr:x>
      <cdr:y>0.848</cdr:y>
    </cdr:from>
    <cdr:to>
      <cdr:x>0.2475</cdr:x>
      <cdr:y>0.88075</cdr:y>
    </cdr:to>
    <cdr:sp macro="" textlink="">
      <cdr:nvSpPr>
        <cdr:cNvPr id="86030" name="Text Box 14"/>
        <cdr:cNvSpPr txBox="1">
          <a:spLocks xmlns:a="http://schemas.openxmlformats.org/drawingml/2006/main" noChangeArrowheads="1"/>
        </cdr:cNvSpPr>
      </cdr:nvSpPr>
      <cdr:spPr bwMode="auto">
        <a:xfrm xmlns:a="http://schemas.openxmlformats.org/drawingml/2006/main">
          <a:off x="1911646" y="4951324"/>
          <a:ext cx="212405"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0.0845</cdr:x>
      <cdr:y>0.7675</cdr:y>
    </cdr:from>
    <cdr:to>
      <cdr:x>0.1115</cdr:x>
      <cdr:y>0.8035</cdr:y>
    </cdr:to>
    <cdr:sp macro="" textlink="">
      <cdr:nvSpPr>
        <cdr:cNvPr id="86031" name="Oval 15"/>
        <cdr:cNvSpPr>
          <a:spLocks xmlns:a="http://schemas.openxmlformats.org/drawingml/2006/main" noChangeArrowheads="1"/>
        </cdr:cNvSpPr>
      </cdr:nvSpPr>
      <cdr:spPr bwMode="auto">
        <a:xfrm xmlns:a="http://schemas.openxmlformats.org/drawingml/2006/main">
          <a:off x="725181" y="4481298"/>
          <a:ext cx="231715" cy="21019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0.1115</cdr:x>
      <cdr:y>0.738</cdr:y>
    </cdr:from>
    <cdr:to>
      <cdr:x>0.1835</cdr:x>
      <cdr:y>0.77975</cdr:y>
    </cdr:to>
    <cdr:sp macro="" textlink="">
      <cdr:nvSpPr>
        <cdr:cNvPr id="86032" name="Line 16"/>
        <cdr:cNvSpPr>
          <a:spLocks xmlns:a="http://schemas.openxmlformats.org/drawingml/2006/main" noChangeShapeType="1"/>
        </cdr:cNvSpPr>
      </cdr:nvSpPr>
      <cdr:spPr bwMode="auto">
        <a:xfrm xmlns:a="http://schemas.openxmlformats.org/drawingml/2006/main" flipH="1">
          <a:off x="956896" y="4309053"/>
          <a:ext cx="617906" cy="243771"/>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0.09275</cdr:x>
      <cdr:y>0.81825</cdr:y>
    </cdr:from>
    <cdr:to>
      <cdr:x>0.11825</cdr:x>
      <cdr:y>0.8545</cdr:y>
    </cdr:to>
    <cdr:sp macro="" textlink="">
      <cdr:nvSpPr>
        <cdr:cNvPr id="86033" name="Oval 17"/>
        <cdr:cNvSpPr>
          <a:spLocks xmlns:a="http://schemas.openxmlformats.org/drawingml/2006/main" noChangeArrowheads="1"/>
        </cdr:cNvSpPr>
      </cdr:nvSpPr>
      <cdr:spPr bwMode="auto">
        <a:xfrm xmlns:a="http://schemas.openxmlformats.org/drawingml/2006/main">
          <a:off x="795983" y="4777619"/>
          <a:ext cx="218841" cy="211657"/>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0.11825</cdr:x>
      <cdr:y>0.75775</cdr:y>
    </cdr:from>
    <cdr:to>
      <cdr:x>0.19175</cdr:x>
      <cdr:y>0.82575</cdr:y>
    </cdr:to>
    <cdr:sp macro="" textlink="">
      <cdr:nvSpPr>
        <cdr:cNvPr id="86034" name="Line 18"/>
        <cdr:cNvSpPr>
          <a:spLocks xmlns:a="http://schemas.openxmlformats.org/drawingml/2006/main" noChangeShapeType="1"/>
        </cdr:cNvSpPr>
      </cdr:nvSpPr>
      <cdr:spPr bwMode="auto">
        <a:xfrm xmlns:a="http://schemas.openxmlformats.org/drawingml/2006/main" flipH="1">
          <a:off x="1014824" y="4424370"/>
          <a:ext cx="630779" cy="39704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0.25075</cdr:x>
      <cdr:y>0.83325</cdr:y>
    </cdr:from>
    <cdr:to>
      <cdr:x>0.27625</cdr:x>
      <cdr:y>0.86925</cdr:y>
    </cdr:to>
    <cdr:sp macro="" textlink="">
      <cdr:nvSpPr>
        <cdr:cNvPr id="86035" name="Oval 19"/>
        <cdr:cNvSpPr>
          <a:spLocks xmlns:a="http://schemas.openxmlformats.org/drawingml/2006/main" noChangeArrowheads="1"/>
        </cdr:cNvSpPr>
      </cdr:nvSpPr>
      <cdr:spPr bwMode="auto">
        <a:xfrm xmlns:a="http://schemas.openxmlformats.org/drawingml/2006/main">
          <a:off x="2151943" y="4865201"/>
          <a:ext cx="218841" cy="21019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0.2625</cdr:x>
      <cdr:y>0.7675</cdr:y>
    </cdr:from>
    <cdr:to>
      <cdr:x>0.26325</cdr:x>
      <cdr:y>0.83325</cdr:y>
    </cdr:to>
    <cdr:sp macro="" textlink="">
      <cdr:nvSpPr>
        <cdr:cNvPr id="86036" name="Line 20"/>
        <cdr:cNvSpPr>
          <a:spLocks xmlns:a="http://schemas.openxmlformats.org/drawingml/2006/main" noChangeShapeType="1"/>
        </cdr:cNvSpPr>
      </cdr:nvSpPr>
      <cdr:spPr bwMode="auto">
        <a:xfrm xmlns:a="http://schemas.openxmlformats.org/drawingml/2006/main">
          <a:off x="2252782" y="4481298"/>
          <a:ext cx="6436" cy="383903"/>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0.22125</cdr:x>
      <cdr:y>0.84475</cdr:y>
    </cdr:from>
    <cdr:to>
      <cdr:x>0.2475</cdr:x>
      <cdr:y>0.88075</cdr:y>
    </cdr:to>
    <cdr:sp macro="" textlink="">
      <cdr:nvSpPr>
        <cdr:cNvPr id="86037" name="Oval 21"/>
        <cdr:cNvSpPr>
          <a:spLocks xmlns:a="http://schemas.openxmlformats.org/drawingml/2006/main" noChangeArrowheads="1"/>
        </cdr:cNvSpPr>
      </cdr:nvSpPr>
      <cdr:spPr bwMode="auto">
        <a:xfrm xmlns:a="http://schemas.openxmlformats.org/drawingml/2006/main">
          <a:off x="1898773" y="4932347"/>
          <a:ext cx="225278" cy="21019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0.2275</cdr:x>
      <cdr:y>0.7675</cdr:y>
    </cdr:from>
    <cdr:to>
      <cdr:x>0.2345</cdr:x>
      <cdr:y>0.84475</cdr:y>
    </cdr:to>
    <cdr:sp macro="" textlink="">
      <cdr:nvSpPr>
        <cdr:cNvPr id="86038" name="Line 22"/>
        <cdr:cNvSpPr>
          <a:spLocks xmlns:a="http://schemas.openxmlformats.org/drawingml/2006/main" noChangeShapeType="1"/>
        </cdr:cNvSpPr>
      </cdr:nvSpPr>
      <cdr:spPr bwMode="auto">
        <a:xfrm xmlns:a="http://schemas.openxmlformats.org/drawingml/2006/main">
          <a:off x="1952411" y="4481298"/>
          <a:ext cx="60074" cy="451049"/>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0.18275</cdr:x>
      <cdr:y>0.8455</cdr:y>
    </cdr:from>
    <cdr:to>
      <cdr:x>0.20825</cdr:x>
      <cdr:y>0.8815</cdr:y>
    </cdr:to>
    <cdr:sp macro="" textlink="">
      <cdr:nvSpPr>
        <cdr:cNvPr id="86039" name="Oval 23"/>
        <cdr:cNvSpPr>
          <a:spLocks xmlns:a="http://schemas.openxmlformats.org/drawingml/2006/main" noChangeArrowheads="1"/>
        </cdr:cNvSpPr>
      </cdr:nvSpPr>
      <cdr:spPr bwMode="auto">
        <a:xfrm xmlns:a="http://schemas.openxmlformats.org/drawingml/2006/main">
          <a:off x="1568365" y="4936727"/>
          <a:ext cx="218842" cy="210197"/>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0.19525</cdr:x>
      <cdr:y>0.75775</cdr:y>
    </cdr:from>
    <cdr:to>
      <cdr:x>0.21525</cdr:x>
      <cdr:y>0.8455</cdr:y>
    </cdr:to>
    <cdr:sp macro="" textlink="">
      <cdr:nvSpPr>
        <cdr:cNvPr id="86040" name="Line 24"/>
        <cdr:cNvSpPr>
          <a:spLocks xmlns:a="http://schemas.openxmlformats.org/drawingml/2006/main" noChangeShapeType="1"/>
        </cdr:cNvSpPr>
      </cdr:nvSpPr>
      <cdr:spPr bwMode="auto">
        <a:xfrm xmlns:a="http://schemas.openxmlformats.org/drawingml/2006/main" flipH="1">
          <a:off x="1675640" y="4424370"/>
          <a:ext cx="171641" cy="512357"/>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0.14725</cdr:x>
      <cdr:y>0.84475</cdr:y>
    </cdr:from>
    <cdr:to>
      <cdr:x>0.1725</cdr:x>
      <cdr:y>0.88075</cdr:y>
    </cdr:to>
    <cdr:sp macro="" textlink="">
      <cdr:nvSpPr>
        <cdr:cNvPr id="86041" name="Oval 25"/>
        <cdr:cNvSpPr>
          <a:spLocks xmlns:a="http://schemas.openxmlformats.org/drawingml/2006/main" noChangeArrowheads="1"/>
        </cdr:cNvSpPr>
      </cdr:nvSpPr>
      <cdr:spPr bwMode="auto">
        <a:xfrm xmlns:a="http://schemas.openxmlformats.org/drawingml/2006/main">
          <a:off x="1263703" y="4932347"/>
          <a:ext cx="216696" cy="21019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0.169</cdr:x>
      <cdr:y>0.75775</cdr:y>
    </cdr:from>
    <cdr:to>
      <cdr:x>0.2</cdr:x>
      <cdr:y>0.8455</cdr:y>
    </cdr:to>
    <cdr:sp macro="" textlink="">
      <cdr:nvSpPr>
        <cdr:cNvPr id="86042" name="Line 26"/>
        <cdr:cNvSpPr>
          <a:spLocks xmlns:a="http://schemas.openxmlformats.org/drawingml/2006/main" noChangeShapeType="1"/>
        </cdr:cNvSpPr>
      </cdr:nvSpPr>
      <cdr:spPr bwMode="auto">
        <a:xfrm xmlns:a="http://schemas.openxmlformats.org/drawingml/2006/main" flipH="1">
          <a:off x="1450362" y="4424370"/>
          <a:ext cx="266043" cy="512357"/>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0.82275</cdr:x>
      <cdr:y>0.697</cdr:y>
    </cdr:from>
    <cdr:to>
      <cdr:x>0.86825</cdr:x>
      <cdr:y>0.72725</cdr:y>
    </cdr:to>
    <cdr:sp macro="" textlink="">
      <cdr:nvSpPr>
        <cdr:cNvPr id="86043" name="Text Box 27"/>
        <cdr:cNvSpPr txBox="1">
          <a:spLocks xmlns:a="http://schemas.openxmlformats.org/drawingml/2006/main" noChangeArrowheads="1"/>
        </cdr:cNvSpPr>
      </cdr:nvSpPr>
      <cdr:spPr bwMode="auto">
        <a:xfrm xmlns:a="http://schemas.openxmlformats.org/drawingml/2006/main">
          <a:off x="7060861" y="4069661"/>
          <a:ext cx="390482" cy="17662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0.8235</cdr:x>
      <cdr:y>0.74375</cdr:y>
    </cdr:from>
    <cdr:to>
      <cdr:x>0.86875</cdr:x>
      <cdr:y>0.774</cdr:y>
    </cdr:to>
    <cdr:sp macro="" textlink="">
      <cdr:nvSpPr>
        <cdr:cNvPr id="86044" name="Text Box 28"/>
        <cdr:cNvSpPr txBox="1">
          <a:spLocks xmlns:a="http://schemas.openxmlformats.org/drawingml/2006/main" noChangeArrowheads="1"/>
        </cdr:cNvSpPr>
      </cdr:nvSpPr>
      <cdr:spPr bwMode="auto">
        <a:xfrm xmlns:a="http://schemas.openxmlformats.org/drawingml/2006/main">
          <a:off x="7067298" y="4342626"/>
          <a:ext cx="388336" cy="1766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0.8235</cdr:x>
      <cdr:y>0.77825</cdr:y>
    </cdr:from>
    <cdr:to>
      <cdr:x>0.86775</cdr:x>
      <cdr:y>0.80775</cdr:y>
    </cdr:to>
    <cdr:sp macro="" textlink="">
      <cdr:nvSpPr>
        <cdr:cNvPr id="86045" name="Text Box 29"/>
        <cdr:cNvSpPr txBox="1">
          <a:spLocks xmlns:a="http://schemas.openxmlformats.org/drawingml/2006/main" noChangeArrowheads="1"/>
        </cdr:cNvSpPr>
      </cdr:nvSpPr>
      <cdr:spPr bwMode="auto">
        <a:xfrm xmlns:a="http://schemas.openxmlformats.org/drawingml/2006/main">
          <a:off x="7067298" y="4544066"/>
          <a:ext cx="379754"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0.8235</cdr:x>
      <cdr:y>0.81825</cdr:y>
    </cdr:from>
    <cdr:to>
      <cdr:x>0.86875</cdr:x>
      <cdr:y>0.861</cdr:y>
    </cdr:to>
    <cdr:sp macro="" textlink="">
      <cdr:nvSpPr>
        <cdr:cNvPr id="86046" name="Text Box 30"/>
        <cdr:cNvSpPr txBox="1">
          <a:spLocks xmlns:a="http://schemas.openxmlformats.org/drawingml/2006/main" noChangeArrowheads="1"/>
        </cdr:cNvSpPr>
      </cdr:nvSpPr>
      <cdr:spPr bwMode="auto">
        <a:xfrm xmlns:a="http://schemas.openxmlformats.org/drawingml/2006/main">
          <a:off x="7067298" y="4777619"/>
          <a:ext cx="388336" cy="24960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0.8235</cdr:x>
      <cdr:y>0.861</cdr:y>
    </cdr:from>
    <cdr:to>
      <cdr:x>0.86875</cdr:x>
      <cdr:y>0.89375</cdr:y>
    </cdr:to>
    <cdr:sp macro="" textlink="">
      <cdr:nvSpPr>
        <cdr:cNvPr id="86047" name="Text Box 31"/>
        <cdr:cNvSpPr txBox="1">
          <a:spLocks xmlns:a="http://schemas.openxmlformats.org/drawingml/2006/main" noChangeArrowheads="1"/>
        </cdr:cNvSpPr>
      </cdr:nvSpPr>
      <cdr:spPr bwMode="auto">
        <a:xfrm xmlns:a="http://schemas.openxmlformats.org/drawingml/2006/main">
          <a:off x="7067298" y="5027228"/>
          <a:ext cx="388336" cy="1912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0.80175</cdr:x>
      <cdr:y>0.066</cdr:y>
    </cdr:from>
    <cdr:to>
      <cdr:x>0.90225</cdr:x>
      <cdr:y>0.1255</cdr:y>
    </cdr:to>
    <cdr:sp macro="" textlink="">
      <cdr:nvSpPr>
        <cdr:cNvPr id="75777" name="Text Box 1"/>
        <cdr:cNvSpPr txBox="1">
          <a:spLocks xmlns:a="http://schemas.openxmlformats.org/drawingml/2006/main" noChangeArrowheads="1"/>
        </cdr:cNvSpPr>
      </cdr:nvSpPr>
      <cdr:spPr bwMode="auto">
        <a:xfrm xmlns:a="http://schemas.openxmlformats.org/drawingml/2006/main">
          <a:off x="6880639" y="385362"/>
          <a:ext cx="862493" cy="347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0.6855</cdr:x>
      <cdr:y>0.96025</cdr:y>
    </cdr:from>
    <cdr:to>
      <cdr:x>0.98725</cdr:x>
      <cdr:y>0.98975</cdr:y>
    </cdr:to>
    <cdr:sp macro="" textlink="">
      <cdr:nvSpPr>
        <cdr:cNvPr id="75779" name="Text Box 3"/>
        <cdr:cNvSpPr txBox="1">
          <a:spLocks xmlns:a="http://schemas.openxmlformats.org/drawingml/2006/main" noChangeArrowheads="1"/>
        </cdr:cNvSpPr>
      </cdr:nvSpPr>
      <cdr:spPr bwMode="auto">
        <a:xfrm xmlns:a="http://schemas.openxmlformats.org/drawingml/2006/main">
          <a:off x="5882978" y="5606732"/>
          <a:ext cx="2589626"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0.60225</cdr:x>
      <cdr:y>0.08725</cdr:y>
    </cdr:from>
    <cdr:to>
      <cdr:x>0.75025</cdr:x>
      <cdr:y>0.40637</cdr:y>
    </cdr:to>
    <cdr:sp macro="" textlink="">
      <cdr:nvSpPr>
        <cdr:cNvPr id="75780" name="Text Box 4"/>
        <cdr:cNvSpPr txBox="1">
          <a:spLocks xmlns:a="http://schemas.openxmlformats.org/drawingml/2006/main" noChangeArrowheads="1"/>
        </cdr:cNvSpPr>
      </cdr:nvSpPr>
      <cdr:spPr bwMode="auto">
        <a:xfrm xmlns:a="http://schemas.openxmlformats.org/drawingml/2006/main">
          <a:off x="5171751" y="509671"/>
          <a:ext cx="1270933" cy="186413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0.2145</cdr:x>
      <cdr:y>0.828</cdr:y>
    </cdr:from>
    <cdr:to>
      <cdr:x>0.2405</cdr:x>
      <cdr:y>0.86225</cdr:y>
    </cdr:to>
    <cdr:sp macro="" textlink="">
      <cdr:nvSpPr>
        <cdr:cNvPr id="75781" name="Text Box 5"/>
        <cdr:cNvSpPr txBox="1">
          <a:spLocks xmlns:a="http://schemas.openxmlformats.org/drawingml/2006/main" noChangeArrowheads="1"/>
        </cdr:cNvSpPr>
      </cdr:nvSpPr>
      <cdr:spPr bwMode="auto">
        <a:xfrm xmlns:a="http://schemas.openxmlformats.org/drawingml/2006/main">
          <a:off x="1840844" y="4834547"/>
          <a:ext cx="223133"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0.201</cdr:x>
      <cdr:y>0.64525</cdr:y>
    </cdr:from>
    <cdr:to>
      <cdr:x>0.22625</cdr:x>
      <cdr:y>0.6795</cdr:y>
    </cdr:to>
    <cdr:sp macro="" textlink="">
      <cdr:nvSpPr>
        <cdr:cNvPr id="75782" name="Text Box 6"/>
        <cdr:cNvSpPr txBox="1">
          <a:spLocks xmlns:a="http://schemas.openxmlformats.org/drawingml/2006/main" noChangeArrowheads="1"/>
        </cdr:cNvSpPr>
      </cdr:nvSpPr>
      <cdr:spPr bwMode="auto">
        <a:xfrm xmlns:a="http://schemas.openxmlformats.org/drawingml/2006/main">
          <a:off x="1724987" y="3767502"/>
          <a:ext cx="216696"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0.15575</cdr:x>
      <cdr:y>0.5155</cdr:y>
    </cdr:from>
    <cdr:to>
      <cdr:x>0.18725</cdr:x>
      <cdr:y>0.54975</cdr:y>
    </cdr:to>
    <cdr:sp macro="" textlink="">
      <cdr:nvSpPr>
        <cdr:cNvPr id="75783" name="Text Box 7"/>
        <cdr:cNvSpPr txBox="1">
          <a:spLocks xmlns:a="http://schemas.openxmlformats.org/drawingml/2006/main" noChangeArrowheads="1"/>
        </cdr:cNvSpPr>
      </cdr:nvSpPr>
      <cdr:spPr bwMode="auto">
        <a:xfrm xmlns:a="http://schemas.openxmlformats.org/drawingml/2006/main">
          <a:off x="1336650" y="3009914"/>
          <a:ext cx="270334"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0.2745</cdr:x>
      <cdr:y>0.63775</cdr:y>
    </cdr:from>
    <cdr:to>
      <cdr:x>0.304</cdr:x>
      <cdr:y>0.673</cdr:y>
    </cdr:to>
    <cdr:sp macro="" textlink="">
      <cdr:nvSpPr>
        <cdr:cNvPr id="75784" name="Text Box 8"/>
        <cdr:cNvSpPr txBox="1">
          <a:spLocks xmlns:a="http://schemas.openxmlformats.org/drawingml/2006/main" noChangeArrowheads="1"/>
        </cdr:cNvSpPr>
      </cdr:nvSpPr>
      <cdr:spPr bwMode="auto">
        <a:xfrm xmlns:a="http://schemas.openxmlformats.org/drawingml/2006/main">
          <a:off x="2355766" y="3723711"/>
          <a:ext cx="253170" cy="2058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0.28625</cdr:x>
      <cdr:y>0.72025</cdr:y>
    </cdr:from>
    <cdr:to>
      <cdr:x>0.3155</cdr:x>
      <cdr:y>0.753</cdr:y>
    </cdr:to>
    <cdr:sp macro="" textlink="">
      <cdr:nvSpPr>
        <cdr:cNvPr id="75785" name="Text Box 9"/>
        <cdr:cNvSpPr txBox="1">
          <a:spLocks xmlns:a="http://schemas.openxmlformats.org/drawingml/2006/main" noChangeArrowheads="1"/>
        </cdr:cNvSpPr>
      </cdr:nvSpPr>
      <cdr:spPr bwMode="auto">
        <a:xfrm xmlns:a="http://schemas.openxmlformats.org/drawingml/2006/main">
          <a:off x="2456605" y="4205414"/>
          <a:ext cx="251024"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0.2145</cdr:x>
      <cdr:y>0.659</cdr:y>
    </cdr:from>
    <cdr:to>
      <cdr:x>0.248</cdr:x>
      <cdr:y>0.69575</cdr:y>
    </cdr:to>
    <cdr:sp macro="" textlink="">
      <cdr:nvSpPr>
        <cdr:cNvPr id="75786" name="Text Box 10"/>
        <cdr:cNvSpPr txBox="1">
          <a:spLocks xmlns:a="http://schemas.openxmlformats.org/drawingml/2006/main" noChangeArrowheads="1"/>
        </cdr:cNvSpPr>
      </cdr:nvSpPr>
      <cdr:spPr bwMode="auto">
        <a:xfrm xmlns:a="http://schemas.openxmlformats.org/drawingml/2006/main">
          <a:off x="1840844" y="3847786"/>
          <a:ext cx="287498" cy="2145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0.147</cdr:x>
      <cdr:y>0.703</cdr:y>
    </cdr:from>
    <cdr:to>
      <cdr:x>0.1805</cdr:x>
      <cdr:y>0.734</cdr:y>
    </cdr:to>
    <cdr:sp macro="" textlink="">
      <cdr:nvSpPr>
        <cdr:cNvPr id="75788" name="Text Box 12"/>
        <cdr:cNvSpPr txBox="1">
          <a:spLocks xmlns:a="http://schemas.openxmlformats.org/drawingml/2006/main" noChangeArrowheads="1"/>
        </cdr:cNvSpPr>
      </cdr:nvSpPr>
      <cdr:spPr bwMode="auto">
        <a:xfrm xmlns:a="http://schemas.openxmlformats.org/drawingml/2006/main">
          <a:off x="1261558" y="4104694"/>
          <a:ext cx="287498"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0.306</cdr:x>
      <cdr:y>0.6875</cdr:y>
    </cdr:from>
    <cdr:to>
      <cdr:x>0.334</cdr:x>
      <cdr:y>0.72025</cdr:y>
    </cdr:to>
    <cdr:sp macro="" textlink="">
      <cdr:nvSpPr>
        <cdr:cNvPr id="75789" name="Text Box 13"/>
        <cdr:cNvSpPr txBox="1">
          <a:spLocks xmlns:a="http://schemas.openxmlformats.org/drawingml/2006/main" noChangeArrowheads="1"/>
        </cdr:cNvSpPr>
      </cdr:nvSpPr>
      <cdr:spPr bwMode="auto">
        <a:xfrm xmlns:a="http://schemas.openxmlformats.org/drawingml/2006/main">
          <a:off x="2626100" y="4014192"/>
          <a:ext cx="240296"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0.16875</cdr:x>
      <cdr:y>0.828</cdr:y>
    </cdr:from>
    <cdr:to>
      <cdr:x>0.194</cdr:x>
      <cdr:y>0.86225</cdr:y>
    </cdr:to>
    <cdr:sp macro="" textlink="">
      <cdr:nvSpPr>
        <cdr:cNvPr id="75790" name="Text Box 14"/>
        <cdr:cNvSpPr txBox="1">
          <a:spLocks xmlns:a="http://schemas.openxmlformats.org/drawingml/2006/main" noChangeArrowheads="1"/>
        </cdr:cNvSpPr>
      </cdr:nvSpPr>
      <cdr:spPr bwMode="auto">
        <a:xfrm xmlns:a="http://schemas.openxmlformats.org/drawingml/2006/main">
          <a:off x="1448217" y="4834547"/>
          <a:ext cx="216696"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0.09925</cdr:x>
      <cdr:y>0.7805</cdr:y>
    </cdr:from>
    <cdr:to>
      <cdr:x>0.125</cdr:x>
      <cdr:y>0.81475</cdr:y>
    </cdr:to>
    <cdr:sp macro="" textlink="">
      <cdr:nvSpPr>
        <cdr:cNvPr id="75791" name="Text Box 15"/>
        <cdr:cNvSpPr txBox="1">
          <a:spLocks xmlns:a="http://schemas.openxmlformats.org/drawingml/2006/main" noChangeArrowheads="1"/>
        </cdr:cNvSpPr>
      </cdr:nvSpPr>
      <cdr:spPr bwMode="auto">
        <a:xfrm xmlns:a="http://schemas.openxmlformats.org/drawingml/2006/main">
          <a:off x="851766" y="4557203"/>
          <a:ext cx="220987"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0.21525</cdr:x>
      <cdr:y>0.828</cdr:y>
    </cdr:from>
    <cdr:to>
      <cdr:x>0.24175</cdr:x>
      <cdr:y>0.86375</cdr:y>
    </cdr:to>
    <cdr:sp macro="" textlink="">
      <cdr:nvSpPr>
        <cdr:cNvPr id="75792" name="Oval 16"/>
        <cdr:cNvSpPr>
          <a:spLocks xmlns:a="http://schemas.openxmlformats.org/drawingml/2006/main" noChangeArrowheads="1"/>
        </cdr:cNvSpPr>
      </cdr:nvSpPr>
      <cdr:spPr bwMode="auto">
        <a:xfrm xmlns:a="http://schemas.openxmlformats.org/drawingml/2006/main">
          <a:off x="1847281" y="4834547"/>
          <a:ext cx="227424" cy="20873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0.276</cdr:x>
      <cdr:y>0.63775</cdr:y>
    </cdr:from>
    <cdr:to>
      <cdr:x>0.3025</cdr:x>
      <cdr:y>0.67375</cdr:y>
    </cdr:to>
    <cdr:sp macro="" textlink="">
      <cdr:nvSpPr>
        <cdr:cNvPr id="75793" name="Oval 17"/>
        <cdr:cNvSpPr>
          <a:spLocks xmlns:a="http://schemas.openxmlformats.org/drawingml/2006/main" noChangeArrowheads="1"/>
        </cdr:cNvSpPr>
      </cdr:nvSpPr>
      <cdr:spPr bwMode="auto">
        <a:xfrm xmlns:a="http://schemas.openxmlformats.org/drawingml/2006/main">
          <a:off x="2368639" y="3723711"/>
          <a:ext cx="227424" cy="210197"/>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0.1675</cdr:x>
      <cdr:y>0.828</cdr:y>
    </cdr:from>
    <cdr:to>
      <cdr:x>0.194</cdr:x>
      <cdr:y>0.86375</cdr:y>
    </cdr:to>
    <cdr:sp macro="" textlink="">
      <cdr:nvSpPr>
        <cdr:cNvPr id="75794" name="Oval 18"/>
        <cdr:cNvSpPr>
          <a:spLocks xmlns:a="http://schemas.openxmlformats.org/drawingml/2006/main" noChangeArrowheads="1"/>
        </cdr:cNvSpPr>
      </cdr:nvSpPr>
      <cdr:spPr bwMode="auto">
        <a:xfrm xmlns:a="http://schemas.openxmlformats.org/drawingml/2006/main">
          <a:off x="1437489" y="4834547"/>
          <a:ext cx="227424" cy="20873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0.18725</cdr:x>
      <cdr:y>0.74225</cdr:y>
    </cdr:from>
    <cdr:to>
      <cdr:x>0.201</cdr:x>
      <cdr:y>0.828</cdr:y>
    </cdr:to>
    <cdr:sp macro="" textlink="">
      <cdr:nvSpPr>
        <cdr:cNvPr id="75795" name="Line 19"/>
        <cdr:cNvSpPr>
          <a:spLocks xmlns:a="http://schemas.openxmlformats.org/drawingml/2006/main" noChangeShapeType="1"/>
        </cdr:cNvSpPr>
      </cdr:nvSpPr>
      <cdr:spPr bwMode="auto">
        <a:xfrm xmlns:a="http://schemas.openxmlformats.org/drawingml/2006/main" flipH="1">
          <a:off x="1606984" y="4333868"/>
          <a:ext cx="118003" cy="500679"/>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0.21525</cdr:x>
      <cdr:y>0.7585</cdr:y>
    </cdr:from>
    <cdr:to>
      <cdr:x>0.22625</cdr:x>
      <cdr:y>0.828</cdr:y>
    </cdr:to>
    <cdr:sp macro="" textlink="">
      <cdr:nvSpPr>
        <cdr:cNvPr id="75796" name="Line 20"/>
        <cdr:cNvSpPr>
          <a:spLocks xmlns:a="http://schemas.openxmlformats.org/drawingml/2006/main" noChangeShapeType="1"/>
        </cdr:cNvSpPr>
      </cdr:nvSpPr>
      <cdr:spPr bwMode="auto">
        <a:xfrm xmlns:a="http://schemas.openxmlformats.org/drawingml/2006/main">
          <a:off x="1847281" y="4428749"/>
          <a:ext cx="94402" cy="405798"/>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0.2085</cdr:x>
      <cdr:y>0.6655</cdr:y>
    </cdr:from>
    <cdr:to>
      <cdr:x>0.28</cdr:x>
      <cdr:y>0.71375</cdr:y>
    </cdr:to>
    <cdr:sp macro="" textlink="">
      <cdr:nvSpPr>
        <cdr:cNvPr id="75797" name="Line 21"/>
        <cdr:cNvSpPr>
          <a:spLocks xmlns:a="http://schemas.openxmlformats.org/drawingml/2006/main" noChangeShapeType="1"/>
        </cdr:cNvSpPr>
      </cdr:nvSpPr>
      <cdr:spPr bwMode="auto">
        <a:xfrm xmlns:a="http://schemas.openxmlformats.org/drawingml/2006/main" flipV="1">
          <a:off x="1789352" y="3885738"/>
          <a:ext cx="613615" cy="281723"/>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0.125</cdr:x>
      <cdr:y>0.74225</cdr:y>
    </cdr:from>
    <cdr:to>
      <cdr:x>0.194</cdr:x>
      <cdr:y>0.792</cdr:y>
    </cdr:to>
    <cdr:sp macro="" textlink="">
      <cdr:nvSpPr>
        <cdr:cNvPr id="75798" name="Line 22"/>
        <cdr:cNvSpPr>
          <a:spLocks xmlns:a="http://schemas.openxmlformats.org/drawingml/2006/main" noChangeShapeType="1"/>
        </cdr:cNvSpPr>
      </cdr:nvSpPr>
      <cdr:spPr bwMode="auto">
        <a:xfrm xmlns:a="http://schemas.openxmlformats.org/drawingml/2006/main" flipH="1">
          <a:off x="1072753" y="4333868"/>
          <a:ext cx="592160" cy="290481"/>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0.0985</cdr:x>
      <cdr:y>0.779</cdr:y>
    </cdr:from>
    <cdr:to>
      <cdr:x>0.125</cdr:x>
      <cdr:y>0.81475</cdr:y>
    </cdr:to>
    <cdr:sp macro="" textlink="">
      <cdr:nvSpPr>
        <cdr:cNvPr id="75799" name="Oval 23"/>
        <cdr:cNvSpPr>
          <a:spLocks xmlns:a="http://schemas.openxmlformats.org/drawingml/2006/main" noChangeArrowheads="1"/>
        </cdr:cNvSpPr>
      </cdr:nvSpPr>
      <cdr:spPr bwMode="auto">
        <a:xfrm xmlns:a="http://schemas.openxmlformats.org/drawingml/2006/main">
          <a:off x="845329" y="4548445"/>
          <a:ext cx="227424" cy="20873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0.2535</cdr:x>
      <cdr:y>0.82225</cdr:y>
    </cdr:from>
    <cdr:to>
      <cdr:x>0.28</cdr:x>
      <cdr:y>0.8565</cdr:y>
    </cdr:to>
    <cdr:sp macro="" textlink="">
      <cdr:nvSpPr>
        <cdr:cNvPr id="75800" name="Text Box 24"/>
        <cdr:cNvSpPr txBox="1">
          <a:spLocks xmlns:a="http://schemas.openxmlformats.org/drawingml/2006/main" noChangeArrowheads="1"/>
        </cdr:cNvSpPr>
      </cdr:nvSpPr>
      <cdr:spPr bwMode="auto">
        <a:xfrm xmlns:a="http://schemas.openxmlformats.org/drawingml/2006/main">
          <a:off x="2175543" y="4800974"/>
          <a:ext cx="227424"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0.25475</cdr:x>
      <cdr:y>0.82225</cdr:y>
    </cdr:from>
    <cdr:to>
      <cdr:x>0.2815</cdr:x>
      <cdr:y>0.858</cdr:y>
    </cdr:to>
    <cdr:sp macro="" textlink="">
      <cdr:nvSpPr>
        <cdr:cNvPr id="75801" name="Oval 25"/>
        <cdr:cNvSpPr>
          <a:spLocks xmlns:a="http://schemas.openxmlformats.org/drawingml/2006/main" noChangeArrowheads="1"/>
        </cdr:cNvSpPr>
      </cdr:nvSpPr>
      <cdr:spPr bwMode="auto">
        <a:xfrm xmlns:a="http://schemas.openxmlformats.org/drawingml/2006/main">
          <a:off x="2186271" y="4800974"/>
          <a:ext cx="229569" cy="20873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0.23775</cdr:x>
      <cdr:y>0.74225</cdr:y>
    </cdr:from>
    <cdr:to>
      <cdr:x>0.26575</cdr:x>
      <cdr:y>0.82225</cdr:y>
    </cdr:to>
    <cdr:sp macro="" textlink="">
      <cdr:nvSpPr>
        <cdr:cNvPr id="75802" name="Line 26"/>
        <cdr:cNvSpPr>
          <a:spLocks xmlns:a="http://schemas.openxmlformats.org/drawingml/2006/main" noChangeShapeType="1"/>
        </cdr:cNvSpPr>
      </cdr:nvSpPr>
      <cdr:spPr bwMode="auto">
        <a:xfrm xmlns:a="http://schemas.openxmlformats.org/drawingml/2006/main">
          <a:off x="2040376" y="4333868"/>
          <a:ext cx="240297" cy="467106"/>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0.8015</cdr:x>
      <cdr:y>0.6965</cdr:y>
    </cdr:from>
    <cdr:to>
      <cdr:x>0.8465</cdr:x>
      <cdr:y>0.726</cdr:y>
    </cdr:to>
    <cdr:sp macro="" textlink="">
      <cdr:nvSpPr>
        <cdr:cNvPr id="75803" name="Text Box 27"/>
        <cdr:cNvSpPr txBox="1">
          <a:spLocks xmlns:a="http://schemas.openxmlformats.org/drawingml/2006/main" noChangeArrowheads="1"/>
        </cdr:cNvSpPr>
      </cdr:nvSpPr>
      <cdr:spPr bwMode="auto">
        <a:xfrm xmlns:a="http://schemas.openxmlformats.org/drawingml/2006/main">
          <a:off x="6878493" y="4066742"/>
          <a:ext cx="386191"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0.8015</cdr:x>
      <cdr:y>0.73975</cdr:y>
    </cdr:from>
    <cdr:to>
      <cdr:x>0.8465</cdr:x>
      <cdr:y>0.77075</cdr:y>
    </cdr:to>
    <cdr:sp macro="" textlink="">
      <cdr:nvSpPr>
        <cdr:cNvPr id="75804" name="Text Box 28"/>
        <cdr:cNvSpPr txBox="1">
          <a:spLocks xmlns:a="http://schemas.openxmlformats.org/drawingml/2006/main" noChangeArrowheads="1"/>
        </cdr:cNvSpPr>
      </cdr:nvSpPr>
      <cdr:spPr bwMode="auto">
        <a:xfrm xmlns:a="http://schemas.openxmlformats.org/drawingml/2006/main">
          <a:off x="6878493" y="4319271"/>
          <a:ext cx="386191" cy="18100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0.8015</cdr:x>
      <cdr:y>0.7765</cdr:y>
    </cdr:from>
    <cdr:to>
      <cdr:x>0.84525</cdr:x>
      <cdr:y>0.806</cdr:y>
    </cdr:to>
    <cdr:sp macro="" textlink="">
      <cdr:nvSpPr>
        <cdr:cNvPr id="75805" name="Text Box 29"/>
        <cdr:cNvSpPr txBox="1">
          <a:spLocks xmlns:a="http://schemas.openxmlformats.org/drawingml/2006/main" noChangeArrowheads="1"/>
        </cdr:cNvSpPr>
      </cdr:nvSpPr>
      <cdr:spPr bwMode="auto">
        <a:xfrm xmlns:a="http://schemas.openxmlformats.org/drawingml/2006/main">
          <a:off x="6878493" y="4533848"/>
          <a:ext cx="375464"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0.8015</cdr:x>
      <cdr:y>0.81725</cdr:y>
    </cdr:from>
    <cdr:to>
      <cdr:x>0.8465</cdr:x>
      <cdr:y>0.85975</cdr:y>
    </cdr:to>
    <cdr:sp macro="" textlink="">
      <cdr:nvSpPr>
        <cdr:cNvPr id="75806" name="Text Box 30"/>
        <cdr:cNvSpPr txBox="1">
          <a:spLocks xmlns:a="http://schemas.openxmlformats.org/drawingml/2006/main" noChangeArrowheads="1"/>
        </cdr:cNvSpPr>
      </cdr:nvSpPr>
      <cdr:spPr bwMode="auto">
        <a:xfrm xmlns:a="http://schemas.openxmlformats.org/drawingml/2006/main">
          <a:off x="6878493" y="4771780"/>
          <a:ext cx="386191"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0.8015</cdr:x>
      <cdr:y>0.85975</cdr:y>
    </cdr:from>
    <cdr:to>
      <cdr:x>0.8465</cdr:x>
      <cdr:y>0.89225</cdr:y>
    </cdr:to>
    <cdr:sp macro="" textlink="">
      <cdr:nvSpPr>
        <cdr:cNvPr id="75807" name="Text Box 31"/>
        <cdr:cNvSpPr txBox="1">
          <a:spLocks xmlns:a="http://schemas.openxmlformats.org/drawingml/2006/main" noChangeArrowheads="1"/>
        </cdr:cNvSpPr>
      </cdr:nvSpPr>
      <cdr:spPr bwMode="auto">
        <a:xfrm xmlns:a="http://schemas.openxmlformats.org/drawingml/2006/main">
          <a:off x="6878493" y="5019930"/>
          <a:ext cx="386191" cy="18976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0.8065</cdr:x>
      <cdr:y>0.08825</cdr:y>
    </cdr:from>
    <cdr:to>
      <cdr:x>0.908</cdr:x>
      <cdr:y>0.1385</cdr:y>
    </cdr:to>
    <cdr:sp macro="" textlink="">
      <cdr:nvSpPr>
        <cdr:cNvPr id="87041" name="Text Box 1"/>
        <cdr:cNvSpPr txBox="1">
          <a:spLocks xmlns:a="http://schemas.openxmlformats.org/drawingml/2006/main" noChangeArrowheads="1"/>
        </cdr:cNvSpPr>
      </cdr:nvSpPr>
      <cdr:spPr bwMode="auto">
        <a:xfrm xmlns:a="http://schemas.openxmlformats.org/drawingml/2006/main">
          <a:off x="6921403" y="515276"/>
          <a:ext cx="871076" cy="2934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0.69025</cdr:x>
      <cdr:y>0.96425</cdr:y>
    </cdr:from>
    <cdr:to>
      <cdr:x>0.9925</cdr:x>
      <cdr:y>0.99375</cdr:y>
    </cdr:to>
    <cdr:sp macro="" textlink="">
      <cdr:nvSpPr>
        <cdr:cNvPr id="87043" name="Text Box 3"/>
        <cdr:cNvSpPr txBox="1">
          <a:spLocks xmlns:a="http://schemas.openxmlformats.org/drawingml/2006/main" noChangeArrowheads="1"/>
        </cdr:cNvSpPr>
      </cdr:nvSpPr>
      <cdr:spPr bwMode="auto">
        <a:xfrm xmlns:a="http://schemas.openxmlformats.org/drawingml/2006/main">
          <a:off x="5923743" y="5630087"/>
          <a:ext cx="2593917"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0.6055</cdr:x>
      <cdr:y>0.07525</cdr:y>
    </cdr:from>
    <cdr:to>
      <cdr:x>0.753</cdr:x>
      <cdr:y>0.39363</cdr:y>
    </cdr:to>
    <cdr:sp macro="" textlink="">
      <cdr:nvSpPr>
        <cdr:cNvPr id="87044" name="Text Box 4"/>
        <cdr:cNvSpPr txBox="1">
          <a:spLocks xmlns:a="http://schemas.openxmlformats.org/drawingml/2006/main" noChangeArrowheads="1"/>
        </cdr:cNvSpPr>
      </cdr:nvSpPr>
      <cdr:spPr bwMode="auto">
        <a:xfrm xmlns:a="http://schemas.openxmlformats.org/drawingml/2006/main">
          <a:off x="5199660" y="439574"/>
          <a:ext cx="1266639" cy="1859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0.334</cdr:x>
      <cdr:y>0.5135</cdr:y>
    </cdr:from>
    <cdr:to>
      <cdr:x>0.36</cdr:x>
      <cdr:y>0.548</cdr:y>
    </cdr:to>
    <cdr:sp macro="" textlink="">
      <cdr:nvSpPr>
        <cdr:cNvPr id="87045" name="Text Box 5"/>
        <cdr:cNvSpPr txBox="1">
          <a:spLocks xmlns:a="http://schemas.openxmlformats.org/drawingml/2006/main" noChangeArrowheads="1"/>
        </cdr:cNvSpPr>
      </cdr:nvSpPr>
      <cdr:spPr bwMode="auto">
        <a:xfrm xmlns:a="http://schemas.openxmlformats.org/drawingml/2006/main">
          <a:off x="2866396" y="2998237"/>
          <a:ext cx="223133"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0.32975</cdr:x>
      <cdr:y>0.61475</cdr:y>
    </cdr:from>
    <cdr:to>
      <cdr:x>0.35525</cdr:x>
      <cdr:y>0.6485</cdr:y>
    </cdr:to>
    <cdr:sp macro="" textlink="">
      <cdr:nvSpPr>
        <cdr:cNvPr id="87046" name="Text Box 6"/>
        <cdr:cNvSpPr txBox="1">
          <a:spLocks xmlns:a="http://schemas.openxmlformats.org/drawingml/2006/main" noChangeArrowheads="1"/>
        </cdr:cNvSpPr>
      </cdr:nvSpPr>
      <cdr:spPr bwMode="auto">
        <a:xfrm xmlns:a="http://schemas.openxmlformats.org/drawingml/2006/main">
          <a:off x="2829923" y="3589418"/>
          <a:ext cx="218841"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0.26975</cdr:x>
      <cdr:y>0.613</cdr:y>
    </cdr:from>
    <cdr:to>
      <cdr:x>0.30125</cdr:x>
      <cdr:y>0.64675</cdr:y>
    </cdr:to>
    <cdr:sp macro="" textlink="">
      <cdr:nvSpPr>
        <cdr:cNvPr id="87047" name="Text Box 7"/>
        <cdr:cNvSpPr txBox="1">
          <a:spLocks xmlns:a="http://schemas.openxmlformats.org/drawingml/2006/main" noChangeArrowheads="1"/>
        </cdr:cNvSpPr>
      </cdr:nvSpPr>
      <cdr:spPr bwMode="auto">
        <a:xfrm xmlns:a="http://schemas.openxmlformats.org/drawingml/2006/main">
          <a:off x="2315001" y="3579200"/>
          <a:ext cx="270334"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0.30125</cdr:x>
      <cdr:y>0.721</cdr:y>
    </cdr:from>
    <cdr:to>
      <cdr:x>0.32925</cdr:x>
      <cdr:y>0.749</cdr:y>
    </cdr:to>
    <cdr:sp macro="" textlink="">
      <cdr:nvSpPr>
        <cdr:cNvPr id="87048" name="Text Box 8"/>
        <cdr:cNvSpPr txBox="1">
          <a:spLocks xmlns:a="http://schemas.openxmlformats.org/drawingml/2006/main" noChangeArrowheads="1"/>
        </cdr:cNvSpPr>
      </cdr:nvSpPr>
      <cdr:spPr bwMode="auto">
        <a:xfrm xmlns:a="http://schemas.openxmlformats.org/drawingml/2006/main">
          <a:off x="2585335" y="4209793"/>
          <a:ext cx="240297"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0.3175</cdr:x>
      <cdr:y>0.68225</cdr:y>
    </cdr:from>
    <cdr:to>
      <cdr:x>0.3375</cdr:x>
      <cdr:y>0.7095</cdr:y>
    </cdr:to>
    <cdr:sp macro="" textlink="">
      <cdr:nvSpPr>
        <cdr:cNvPr id="87049" name="Text Box 9"/>
        <cdr:cNvSpPr txBox="1">
          <a:spLocks xmlns:a="http://schemas.openxmlformats.org/drawingml/2006/main" noChangeArrowheads="1"/>
        </cdr:cNvSpPr>
      </cdr:nvSpPr>
      <cdr:spPr bwMode="auto">
        <a:xfrm xmlns:a="http://schemas.openxmlformats.org/drawingml/2006/main">
          <a:off x="2724793" y="3983538"/>
          <a:ext cx="171640" cy="159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0.405</cdr:x>
      <cdr:y>0.7325</cdr:y>
    </cdr:from>
    <cdr:to>
      <cdr:x>0.43525</cdr:x>
      <cdr:y>0.7655</cdr:y>
    </cdr:to>
    <cdr:sp macro="" textlink="">
      <cdr:nvSpPr>
        <cdr:cNvPr id="87050" name="Text Box 10"/>
        <cdr:cNvSpPr txBox="1">
          <a:spLocks xmlns:a="http://schemas.openxmlformats.org/drawingml/2006/main" noChangeArrowheads="1"/>
        </cdr:cNvSpPr>
      </cdr:nvSpPr>
      <cdr:spPr bwMode="auto">
        <a:xfrm xmlns:a="http://schemas.openxmlformats.org/drawingml/2006/main">
          <a:off x="3475720" y="4276939"/>
          <a:ext cx="259606" cy="1926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0.3265</cdr:x>
      <cdr:y>0.74075</cdr:y>
    </cdr:from>
    <cdr:to>
      <cdr:x>0.36</cdr:x>
      <cdr:y>0.77625</cdr:y>
    </cdr:to>
    <cdr:sp macro="" textlink="">
      <cdr:nvSpPr>
        <cdr:cNvPr id="87051" name="Text Box 11"/>
        <cdr:cNvSpPr txBox="1">
          <a:spLocks xmlns:a="http://schemas.openxmlformats.org/drawingml/2006/main" noChangeArrowheads="1"/>
        </cdr:cNvSpPr>
      </cdr:nvSpPr>
      <cdr:spPr bwMode="auto">
        <a:xfrm xmlns:a="http://schemas.openxmlformats.org/drawingml/2006/main">
          <a:off x="2802031" y="4325110"/>
          <a:ext cx="287498" cy="2072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0.2525</cdr:x>
      <cdr:y>0.75475</cdr:y>
    </cdr:from>
    <cdr:to>
      <cdr:x>0.282</cdr:x>
      <cdr:y>0.78525</cdr:y>
    </cdr:to>
    <cdr:sp macro="" textlink="">
      <cdr:nvSpPr>
        <cdr:cNvPr id="87053" name="Text Box 13"/>
        <cdr:cNvSpPr txBox="1">
          <a:spLocks xmlns:a="http://schemas.openxmlformats.org/drawingml/2006/main" noChangeArrowheads="1"/>
        </cdr:cNvSpPr>
      </cdr:nvSpPr>
      <cdr:spPr bwMode="auto">
        <a:xfrm xmlns:a="http://schemas.openxmlformats.org/drawingml/2006/main">
          <a:off x="2166961" y="4406853"/>
          <a:ext cx="253170"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0.429</cdr:x>
      <cdr:y>0.623</cdr:y>
    </cdr:from>
    <cdr:to>
      <cdr:x>0.45775</cdr:x>
      <cdr:y>0.655</cdr:y>
    </cdr:to>
    <cdr:sp macro="" textlink="">
      <cdr:nvSpPr>
        <cdr:cNvPr id="87054" name="Text Box 14"/>
        <cdr:cNvSpPr txBox="1">
          <a:spLocks xmlns:a="http://schemas.openxmlformats.org/drawingml/2006/main" noChangeArrowheads="1"/>
        </cdr:cNvSpPr>
      </cdr:nvSpPr>
      <cdr:spPr bwMode="auto">
        <a:xfrm xmlns:a="http://schemas.openxmlformats.org/drawingml/2006/main">
          <a:off x="3681689" y="3637588"/>
          <a:ext cx="246733"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0.3175</cdr:x>
      <cdr:y>0.6</cdr:y>
    </cdr:from>
    <cdr:to>
      <cdr:x>0.34275</cdr:x>
      <cdr:y>0.63375</cdr:y>
    </cdr:to>
    <cdr:sp macro="" textlink="">
      <cdr:nvSpPr>
        <cdr:cNvPr id="87056" name="Text Box 16"/>
        <cdr:cNvSpPr txBox="1">
          <a:spLocks xmlns:a="http://schemas.openxmlformats.org/drawingml/2006/main" noChangeArrowheads="1"/>
        </cdr:cNvSpPr>
      </cdr:nvSpPr>
      <cdr:spPr bwMode="auto">
        <a:xfrm xmlns:a="http://schemas.openxmlformats.org/drawingml/2006/main">
          <a:off x="2724793" y="3503295"/>
          <a:ext cx="216696"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0.35525</cdr:x>
      <cdr:y>0.721</cdr:y>
    </cdr:from>
    <cdr:to>
      <cdr:x>0.38125</cdr:x>
      <cdr:y>0.7555</cdr:y>
    </cdr:to>
    <cdr:sp macro="" textlink="">
      <cdr:nvSpPr>
        <cdr:cNvPr id="87057" name="Text Box 17"/>
        <cdr:cNvSpPr txBox="1">
          <a:spLocks xmlns:a="http://schemas.openxmlformats.org/drawingml/2006/main" noChangeArrowheads="1"/>
        </cdr:cNvSpPr>
      </cdr:nvSpPr>
      <cdr:spPr bwMode="auto">
        <a:xfrm xmlns:a="http://schemas.openxmlformats.org/drawingml/2006/main">
          <a:off x="3048764" y="4209793"/>
          <a:ext cx="223133" cy="201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0.2915</cdr:x>
      <cdr:y>0.60725</cdr:y>
    </cdr:from>
    <cdr:to>
      <cdr:x>0.3175</cdr:x>
      <cdr:y>0.642</cdr:y>
    </cdr:to>
    <cdr:sp macro="" textlink="">
      <cdr:nvSpPr>
        <cdr:cNvPr id="87058" name="Text Box 18"/>
        <cdr:cNvSpPr txBox="1">
          <a:spLocks xmlns:a="http://schemas.openxmlformats.org/drawingml/2006/main" noChangeArrowheads="1"/>
        </cdr:cNvSpPr>
      </cdr:nvSpPr>
      <cdr:spPr bwMode="auto">
        <a:xfrm xmlns:a="http://schemas.openxmlformats.org/drawingml/2006/main">
          <a:off x="2501660" y="3545626"/>
          <a:ext cx="223133" cy="2029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0.80925</cdr:x>
      <cdr:y>0.69375</cdr:y>
    </cdr:from>
    <cdr:to>
      <cdr:x>0.8545</cdr:x>
      <cdr:y>0.7235</cdr:y>
    </cdr:to>
    <cdr:sp macro="" textlink="">
      <cdr:nvSpPr>
        <cdr:cNvPr id="87059" name="Text Box 19"/>
        <cdr:cNvSpPr txBox="1">
          <a:spLocks xmlns:a="http://schemas.openxmlformats.org/drawingml/2006/main" noChangeArrowheads="1"/>
        </cdr:cNvSpPr>
      </cdr:nvSpPr>
      <cdr:spPr bwMode="auto">
        <a:xfrm xmlns:a="http://schemas.openxmlformats.org/drawingml/2006/main">
          <a:off x="6945004" y="4050685"/>
          <a:ext cx="388336" cy="17370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0.80925</cdr:x>
      <cdr:y>0.7375</cdr:y>
    </cdr:from>
    <cdr:to>
      <cdr:x>0.8545</cdr:x>
      <cdr:y>0.76875</cdr:y>
    </cdr:to>
    <cdr:sp macro="" textlink="">
      <cdr:nvSpPr>
        <cdr:cNvPr id="87060" name="Text Box 20"/>
        <cdr:cNvSpPr txBox="1">
          <a:spLocks xmlns:a="http://schemas.openxmlformats.org/drawingml/2006/main" noChangeArrowheads="1"/>
        </cdr:cNvSpPr>
      </cdr:nvSpPr>
      <cdr:spPr bwMode="auto">
        <a:xfrm xmlns:a="http://schemas.openxmlformats.org/drawingml/2006/main">
          <a:off x="6945004" y="4306133"/>
          <a:ext cx="388336" cy="1824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cdr:x>
      <cdr:y>0.7755</cdr:y>
    </cdr:from>
    <cdr:to>
      <cdr:x>0.854</cdr:x>
      <cdr:y>0.80425</cdr:y>
    </cdr:to>
    <cdr:sp macro="" textlink="">
      <cdr:nvSpPr>
        <cdr:cNvPr id="87061" name="Text Box 21"/>
        <cdr:cNvSpPr txBox="1">
          <a:spLocks xmlns:a="http://schemas.openxmlformats.org/drawingml/2006/main" noChangeArrowheads="1"/>
        </cdr:cNvSpPr>
      </cdr:nvSpPr>
      <cdr:spPr bwMode="auto">
        <a:xfrm xmlns:a="http://schemas.openxmlformats.org/drawingml/2006/main">
          <a:off x="6951440" y="4528009"/>
          <a:ext cx="377609" cy="1678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cdr:x>
      <cdr:y>0.8175</cdr:y>
    </cdr:from>
    <cdr:to>
      <cdr:x>0.85525</cdr:x>
      <cdr:y>0.86025</cdr:y>
    </cdr:to>
    <cdr:sp macro="" textlink="">
      <cdr:nvSpPr>
        <cdr:cNvPr id="87062" name="Text Box 22"/>
        <cdr:cNvSpPr txBox="1">
          <a:spLocks xmlns:a="http://schemas.openxmlformats.org/drawingml/2006/main" noChangeArrowheads="1"/>
        </cdr:cNvSpPr>
      </cdr:nvSpPr>
      <cdr:spPr bwMode="auto">
        <a:xfrm xmlns:a="http://schemas.openxmlformats.org/drawingml/2006/main">
          <a:off x="6951440" y="4773239"/>
          <a:ext cx="388337"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0.80925</cdr:x>
      <cdr:y>0.8595</cdr:y>
    </cdr:from>
    <cdr:to>
      <cdr:x>0.8545</cdr:x>
      <cdr:y>0.8915</cdr:y>
    </cdr:to>
    <cdr:sp macro="" textlink="">
      <cdr:nvSpPr>
        <cdr:cNvPr id="87063" name="Text Box 23"/>
        <cdr:cNvSpPr txBox="1">
          <a:spLocks xmlns:a="http://schemas.openxmlformats.org/drawingml/2006/main" noChangeArrowheads="1"/>
        </cdr:cNvSpPr>
      </cdr:nvSpPr>
      <cdr:spPr bwMode="auto">
        <a:xfrm xmlns:a="http://schemas.openxmlformats.org/drawingml/2006/main">
          <a:off x="6945004" y="5018470"/>
          <a:ext cx="388336" cy="186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0.80675</cdr:x>
      <cdr:y>0.0425</cdr:y>
    </cdr:from>
    <cdr:to>
      <cdr:x>0.90825</cdr:x>
      <cdr:y>0.0925</cdr:y>
    </cdr:to>
    <cdr:sp macro="" textlink="">
      <cdr:nvSpPr>
        <cdr:cNvPr id="61441" name="Text Box 1"/>
        <cdr:cNvSpPr txBox="1">
          <a:spLocks xmlns:a="http://schemas.openxmlformats.org/drawingml/2006/main" noChangeArrowheads="1"/>
        </cdr:cNvSpPr>
      </cdr:nvSpPr>
      <cdr:spPr bwMode="auto">
        <a:xfrm xmlns:a="http://schemas.openxmlformats.org/drawingml/2006/main">
          <a:off x="6923549" y="248150"/>
          <a:ext cx="871075" cy="2919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0.68825</cdr:x>
      <cdr:y>0.96025</cdr:y>
    </cdr:from>
    <cdr:to>
      <cdr:x>0.992</cdr:x>
      <cdr:y>0.98975</cdr:y>
    </cdr:to>
    <cdr:sp macro="" textlink="">
      <cdr:nvSpPr>
        <cdr:cNvPr id="61443" name="Text Box 3"/>
        <cdr:cNvSpPr txBox="1">
          <a:spLocks xmlns:a="http://schemas.openxmlformats.org/drawingml/2006/main" noChangeArrowheads="1"/>
        </cdr:cNvSpPr>
      </cdr:nvSpPr>
      <cdr:spPr bwMode="auto">
        <a:xfrm xmlns:a="http://schemas.openxmlformats.org/drawingml/2006/main">
          <a:off x="5906579" y="5606732"/>
          <a:ext cx="2606790"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0.0735</cdr:x>
      <cdr:y>0.07775</cdr:y>
    </cdr:from>
    <cdr:to>
      <cdr:x>0.2215</cdr:x>
      <cdr:y>0.431</cdr:y>
    </cdr:to>
    <cdr:sp macro="" textlink="">
      <cdr:nvSpPr>
        <cdr:cNvPr id="61444" name="Text Box 4"/>
        <cdr:cNvSpPr txBox="1">
          <a:spLocks xmlns:a="http://schemas.openxmlformats.org/drawingml/2006/main" noChangeArrowheads="1"/>
        </cdr:cNvSpPr>
      </cdr:nvSpPr>
      <cdr:spPr bwMode="auto">
        <a:xfrm xmlns:a="http://schemas.openxmlformats.org/drawingml/2006/main">
          <a:off x="630779" y="453969"/>
          <a:ext cx="1270140" cy="206256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0.20425</cdr:x>
      <cdr:y>0.576</cdr:y>
    </cdr:from>
    <cdr:to>
      <cdr:x>0.23</cdr:x>
      <cdr:y>0.6115</cdr:y>
    </cdr:to>
    <cdr:sp macro="" textlink="">
      <cdr:nvSpPr>
        <cdr:cNvPr id="61445" name="Text Box 5"/>
        <cdr:cNvSpPr txBox="1">
          <a:spLocks xmlns:a="http://schemas.openxmlformats.org/drawingml/2006/main" noChangeArrowheads="1"/>
        </cdr:cNvSpPr>
      </cdr:nvSpPr>
      <cdr:spPr bwMode="auto">
        <a:xfrm xmlns:a="http://schemas.openxmlformats.org/drawingml/2006/main">
          <a:off x="1752879" y="3363163"/>
          <a:ext cx="220987" cy="2072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0.29575</cdr:x>
      <cdr:y>0.59175</cdr:y>
    </cdr:from>
    <cdr:to>
      <cdr:x>0.31925</cdr:x>
      <cdr:y>0.6255</cdr:y>
    </cdr:to>
    <cdr:sp macro="" textlink="">
      <cdr:nvSpPr>
        <cdr:cNvPr id="61446" name="Text Box 6"/>
        <cdr:cNvSpPr txBox="1">
          <a:spLocks xmlns:a="http://schemas.openxmlformats.org/drawingml/2006/main" noChangeArrowheads="1"/>
        </cdr:cNvSpPr>
      </cdr:nvSpPr>
      <cdr:spPr bwMode="auto">
        <a:xfrm xmlns:a="http://schemas.openxmlformats.org/drawingml/2006/main">
          <a:off x="2538134" y="3455125"/>
          <a:ext cx="201677"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0.25425</cdr:x>
      <cdr:y>0.52825</cdr:y>
    </cdr:from>
    <cdr:to>
      <cdr:x>0.28525</cdr:x>
      <cdr:y>0.56125</cdr:y>
    </cdr:to>
    <cdr:sp macro="" textlink="">
      <cdr:nvSpPr>
        <cdr:cNvPr id="61447" name="Text Box 7"/>
        <cdr:cNvSpPr txBox="1">
          <a:spLocks xmlns:a="http://schemas.openxmlformats.org/drawingml/2006/main" noChangeArrowheads="1"/>
        </cdr:cNvSpPr>
      </cdr:nvSpPr>
      <cdr:spPr bwMode="auto">
        <a:xfrm xmlns:a="http://schemas.openxmlformats.org/drawingml/2006/main">
          <a:off x="2181980" y="3084359"/>
          <a:ext cx="266043" cy="1926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0.403</cdr:x>
      <cdr:y>0.7745</cdr:y>
    </cdr:from>
    <cdr:to>
      <cdr:x>0.43075</cdr:x>
      <cdr:y>0.80175</cdr:y>
    </cdr:to>
    <cdr:sp macro="" textlink="">
      <cdr:nvSpPr>
        <cdr:cNvPr id="61448" name="Text Box 8"/>
        <cdr:cNvSpPr txBox="1">
          <a:spLocks xmlns:a="http://schemas.openxmlformats.org/drawingml/2006/main" noChangeArrowheads="1"/>
        </cdr:cNvSpPr>
      </cdr:nvSpPr>
      <cdr:spPr bwMode="auto">
        <a:xfrm xmlns:a="http://schemas.openxmlformats.org/drawingml/2006/main">
          <a:off x="3458556" y="4522170"/>
          <a:ext cx="238151" cy="159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0.34825</cdr:x>
      <cdr:y>0.675</cdr:y>
    </cdr:from>
    <cdr:to>
      <cdr:x>0.36775</cdr:x>
      <cdr:y>0.702</cdr:y>
    </cdr:to>
    <cdr:sp macro="" textlink="">
      <cdr:nvSpPr>
        <cdr:cNvPr id="61449" name="Text Box 9"/>
        <cdr:cNvSpPr txBox="1">
          <a:spLocks xmlns:a="http://schemas.openxmlformats.org/drawingml/2006/main" noChangeArrowheads="1"/>
        </cdr:cNvSpPr>
      </cdr:nvSpPr>
      <cdr:spPr bwMode="auto">
        <a:xfrm xmlns:a="http://schemas.openxmlformats.org/drawingml/2006/main">
          <a:off x="2988690" y="3941207"/>
          <a:ext cx="167350" cy="1576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0.40725</cdr:x>
      <cdr:y>0.63275</cdr:y>
    </cdr:from>
    <cdr:to>
      <cdr:x>0.43825</cdr:x>
      <cdr:y>0.66675</cdr:y>
    </cdr:to>
    <cdr:sp macro="" textlink="">
      <cdr:nvSpPr>
        <cdr:cNvPr id="61450" name="Text Box 10"/>
        <cdr:cNvSpPr txBox="1">
          <a:spLocks xmlns:a="http://schemas.openxmlformats.org/drawingml/2006/main" noChangeArrowheads="1"/>
        </cdr:cNvSpPr>
      </cdr:nvSpPr>
      <cdr:spPr bwMode="auto">
        <a:xfrm xmlns:a="http://schemas.openxmlformats.org/drawingml/2006/main">
          <a:off x="3495030" y="3694517"/>
          <a:ext cx="266042" cy="1985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0.3235</cdr:x>
      <cdr:y>0.604</cdr:y>
    </cdr:from>
    <cdr:to>
      <cdr:x>0.35675</cdr:x>
      <cdr:y>0.6395</cdr:y>
    </cdr:to>
    <cdr:sp macro="" textlink="">
      <cdr:nvSpPr>
        <cdr:cNvPr id="61451" name="Text Box 11"/>
        <cdr:cNvSpPr txBox="1">
          <a:spLocks xmlns:a="http://schemas.openxmlformats.org/drawingml/2006/main" noChangeArrowheads="1"/>
        </cdr:cNvSpPr>
      </cdr:nvSpPr>
      <cdr:spPr bwMode="auto">
        <a:xfrm xmlns:a="http://schemas.openxmlformats.org/drawingml/2006/main">
          <a:off x="2776285" y="3526650"/>
          <a:ext cx="285352" cy="2072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0.36775</cdr:x>
      <cdr:y>0.8075</cdr:y>
    </cdr:from>
    <cdr:to>
      <cdr:x>0.3955</cdr:x>
      <cdr:y>0.83475</cdr:y>
    </cdr:to>
    <cdr:sp macro="" textlink="">
      <cdr:nvSpPr>
        <cdr:cNvPr id="61452" name="Text Box 12"/>
        <cdr:cNvSpPr txBox="1">
          <a:spLocks xmlns:a="http://schemas.openxmlformats.org/drawingml/2006/main" noChangeArrowheads="1"/>
        </cdr:cNvSpPr>
      </cdr:nvSpPr>
      <cdr:spPr bwMode="auto">
        <a:xfrm xmlns:a="http://schemas.openxmlformats.org/drawingml/2006/main">
          <a:off x="3156040" y="4714851"/>
          <a:ext cx="238151" cy="159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0.24725</cdr:x>
      <cdr:y>0.72425</cdr:y>
    </cdr:from>
    <cdr:to>
      <cdr:x>0.27625</cdr:x>
      <cdr:y>0.75475</cdr:y>
    </cdr:to>
    <cdr:sp macro="" textlink="">
      <cdr:nvSpPr>
        <cdr:cNvPr id="61453" name="Text Box 13"/>
        <cdr:cNvSpPr txBox="1">
          <a:spLocks xmlns:a="http://schemas.openxmlformats.org/drawingml/2006/main" noChangeArrowheads="1"/>
        </cdr:cNvSpPr>
      </cdr:nvSpPr>
      <cdr:spPr bwMode="auto">
        <a:xfrm xmlns:a="http://schemas.openxmlformats.org/drawingml/2006/main">
          <a:off x="2121906" y="4228769"/>
          <a:ext cx="248878"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0.417</cdr:x>
      <cdr:y>0.431</cdr:y>
    </cdr:from>
    <cdr:to>
      <cdr:x>0.446</cdr:x>
      <cdr:y>0.46325</cdr:y>
    </cdr:to>
    <cdr:sp macro="" textlink="">
      <cdr:nvSpPr>
        <cdr:cNvPr id="61454" name="Text Box 14"/>
        <cdr:cNvSpPr txBox="1">
          <a:spLocks xmlns:a="http://schemas.openxmlformats.org/drawingml/2006/main" noChangeArrowheads="1"/>
        </cdr:cNvSpPr>
      </cdr:nvSpPr>
      <cdr:spPr bwMode="auto">
        <a:xfrm xmlns:a="http://schemas.openxmlformats.org/drawingml/2006/main">
          <a:off x="3578704" y="2516534"/>
          <a:ext cx="248879" cy="1883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0.17875</cdr:x>
      <cdr:y>0.61075</cdr:y>
    </cdr:from>
    <cdr:to>
      <cdr:x>0.20425</cdr:x>
      <cdr:y>0.64675</cdr:y>
    </cdr:to>
    <cdr:sp macro="" textlink="">
      <cdr:nvSpPr>
        <cdr:cNvPr id="61455" name="Text Box 15"/>
        <cdr:cNvSpPr txBox="1">
          <a:spLocks xmlns:a="http://schemas.openxmlformats.org/drawingml/2006/main" noChangeArrowheads="1"/>
        </cdr:cNvSpPr>
      </cdr:nvSpPr>
      <cdr:spPr bwMode="auto">
        <a:xfrm xmlns:a="http://schemas.openxmlformats.org/drawingml/2006/main">
          <a:off x="1534037" y="3566062"/>
          <a:ext cx="218842" cy="2101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0.31925</cdr:x>
      <cdr:y>0.71125</cdr:y>
    </cdr:from>
    <cdr:to>
      <cdr:x>0.372</cdr:x>
      <cdr:y>0.8075</cdr:y>
    </cdr:to>
    <cdr:sp macro="" textlink="">
      <cdr:nvSpPr>
        <cdr:cNvPr id="61456" name="Line 16"/>
        <cdr:cNvSpPr>
          <a:spLocks xmlns:a="http://schemas.openxmlformats.org/drawingml/2006/main" noChangeShapeType="1"/>
        </cdr:cNvSpPr>
      </cdr:nvSpPr>
      <cdr:spPr bwMode="auto">
        <a:xfrm xmlns:a="http://schemas.openxmlformats.org/drawingml/2006/main">
          <a:off x="2739811" y="4152864"/>
          <a:ext cx="452702" cy="561987"/>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0.33025</cdr:x>
      <cdr:y>0.702</cdr:y>
    </cdr:from>
    <cdr:to>
      <cdr:x>0.40725</cdr:x>
      <cdr:y>0.7745</cdr:y>
    </cdr:to>
    <cdr:sp macro="" textlink="">
      <cdr:nvSpPr>
        <cdr:cNvPr id="61457" name="Line 17"/>
        <cdr:cNvSpPr>
          <a:spLocks xmlns:a="http://schemas.openxmlformats.org/drawingml/2006/main" noChangeShapeType="1"/>
        </cdr:cNvSpPr>
      </cdr:nvSpPr>
      <cdr:spPr bwMode="auto">
        <a:xfrm xmlns:a="http://schemas.openxmlformats.org/drawingml/2006/main">
          <a:off x="2834214" y="4098855"/>
          <a:ext cx="660816" cy="423315"/>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0.20425</cdr:x>
      <cdr:y>0.63275</cdr:y>
    </cdr:from>
    <cdr:to>
      <cdr:x>0.30275</cdr:x>
      <cdr:y>0.683</cdr:y>
    </cdr:to>
    <cdr:sp macro="" textlink="">
      <cdr:nvSpPr>
        <cdr:cNvPr id="61458" name="Line 18"/>
        <cdr:cNvSpPr>
          <a:spLocks xmlns:a="http://schemas.openxmlformats.org/drawingml/2006/main" noChangeShapeType="1"/>
        </cdr:cNvSpPr>
      </cdr:nvSpPr>
      <cdr:spPr bwMode="auto">
        <a:xfrm xmlns:a="http://schemas.openxmlformats.org/drawingml/2006/main">
          <a:off x="1752879" y="3694517"/>
          <a:ext cx="845329" cy="29340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0.2265</cdr:x>
      <cdr:y>0.604</cdr:y>
    </cdr:from>
    <cdr:to>
      <cdr:x>0.3235</cdr:x>
      <cdr:y>0.675</cdr:y>
    </cdr:to>
    <cdr:sp macro="" textlink="">
      <cdr:nvSpPr>
        <cdr:cNvPr id="61459" name="Line 19"/>
        <cdr:cNvSpPr>
          <a:spLocks xmlns:a="http://schemas.openxmlformats.org/drawingml/2006/main" noChangeShapeType="1"/>
        </cdr:cNvSpPr>
      </cdr:nvSpPr>
      <cdr:spPr bwMode="auto">
        <a:xfrm xmlns:a="http://schemas.openxmlformats.org/drawingml/2006/main">
          <a:off x="1943829" y="3526650"/>
          <a:ext cx="832456" cy="414557"/>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0.17875</cdr:x>
      <cdr:y>0.61075</cdr:y>
    </cdr:from>
    <cdr:to>
      <cdr:x>0.20425</cdr:x>
      <cdr:y>0.64675</cdr:y>
    </cdr:to>
    <cdr:sp macro="" textlink="">
      <cdr:nvSpPr>
        <cdr:cNvPr id="61460" name="Oval 20"/>
        <cdr:cNvSpPr>
          <a:spLocks xmlns:a="http://schemas.openxmlformats.org/drawingml/2006/main" noChangeArrowheads="1"/>
        </cdr:cNvSpPr>
      </cdr:nvSpPr>
      <cdr:spPr bwMode="auto">
        <a:xfrm xmlns:a="http://schemas.openxmlformats.org/drawingml/2006/main">
          <a:off x="1534037" y="3566062"/>
          <a:ext cx="218842" cy="210198"/>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0.2035</cdr:x>
      <cdr:y>0.57525</cdr:y>
    </cdr:from>
    <cdr:to>
      <cdr:x>0.22925</cdr:x>
      <cdr:y>0.6115</cdr:y>
    </cdr:to>
    <cdr:sp macro="" textlink="">
      <cdr:nvSpPr>
        <cdr:cNvPr id="61461" name="Oval 21"/>
        <cdr:cNvSpPr>
          <a:spLocks xmlns:a="http://schemas.openxmlformats.org/drawingml/2006/main" noChangeArrowheads="1"/>
        </cdr:cNvSpPr>
      </cdr:nvSpPr>
      <cdr:spPr bwMode="auto">
        <a:xfrm xmlns:a="http://schemas.openxmlformats.org/drawingml/2006/main">
          <a:off x="1746442" y="3358784"/>
          <a:ext cx="220987" cy="211657"/>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0.40525</cdr:x>
      <cdr:y>0.77125</cdr:y>
    </cdr:from>
    <cdr:to>
      <cdr:x>0.43075</cdr:x>
      <cdr:y>0.8075</cdr:y>
    </cdr:to>
    <cdr:sp macro="" textlink="">
      <cdr:nvSpPr>
        <cdr:cNvPr id="61462" name="Oval 22"/>
        <cdr:cNvSpPr>
          <a:spLocks xmlns:a="http://schemas.openxmlformats.org/drawingml/2006/main" noChangeArrowheads="1"/>
        </cdr:cNvSpPr>
      </cdr:nvSpPr>
      <cdr:spPr bwMode="auto">
        <a:xfrm xmlns:a="http://schemas.openxmlformats.org/drawingml/2006/main">
          <a:off x="3477866" y="4503194"/>
          <a:ext cx="218841" cy="211657"/>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0.36775</cdr:x>
      <cdr:y>0.80175</cdr:y>
    </cdr:from>
    <cdr:to>
      <cdr:x>0.39325</cdr:x>
      <cdr:y>0.838</cdr:y>
    </cdr:to>
    <cdr:sp macro="" textlink="">
      <cdr:nvSpPr>
        <cdr:cNvPr id="61463" name="Oval 23"/>
        <cdr:cNvSpPr>
          <a:spLocks xmlns:a="http://schemas.openxmlformats.org/drawingml/2006/main" noChangeArrowheads="1"/>
        </cdr:cNvSpPr>
      </cdr:nvSpPr>
      <cdr:spPr bwMode="auto">
        <a:xfrm xmlns:a="http://schemas.openxmlformats.org/drawingml/2006/main">
          <a:off x="3156040" y="4681278"/>
          <a:ext cx="218841" cy="211657"/>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0.80675</cdr:x>
      <cdr:y>0.684</cdr:y>
    </cdr:from>
    <cdr:to>
      <cdr:x>0.852</cdr:x>
      <cdr:y>0.71275</cdr:y>
    </cdr:to>
    <cdr:sp macro="" textlink="">
      <cdr:nvSpPr>
        <cdr:cNvPr id="61464" name="Text Box 24"/>
        <cdr:cNvSpPr txBox="1">
          <a:spLocks xmlns:a="http://schemas.openxmlformats.org/drawingml/2006/main" noChangeArrowheads="1"/>
        </cdr:cNvSpPr>
      </cdr:nvSpPr>
      <cdr:spPr bwMode="auto">
        <a:xfrm xmlns:a="http://schemas.openxmlformats.org/drawingml/2006/main">
          <a:off x="6923549" y="3993756"/>
          <a:ext cx="388336" cy="16786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0.72925</cdr:y>
    </cdr:from>
    <cdr:to>
      <cdr:x>0.852</cdr:x>
      <cdr:y>0.7605</cdr:y>
    </cdr:to>
    <cdr:sp macro="" textlink="">
      <cdr:nvSpPr>
        <cdr:cNvPr id="61465" name="Text Box 25"/>
        <cdr:cNvSpPr txBox="1">
          <a:spLocks xmlns:a="http://schemas.openxmlformats.org/drawingml/2006/main" noChangeArrowheads="1"/>
        </cdr:cNvSpPr>
      </cdr:nvSpPr>
      <cdr:spPr bwMode="auto">
        <a:xfrm xmlns:a="http://schemas.openxmlformats.org/drawingml/2006/main">
          <a:off x="6923549" y="4257963"/>
          <a:ext cx="388336"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0.76875</cdr:y>
    </cdr:from>
    <cdr:to>
      <cdr:x>0.85225</cdr:x>
      <cdr:y>0.7975</cdr:y>
    </cdr:to>
    <cdr:sp macro="" textlink="">
      <cdr:nvSpPr>
        <cdr:cNvPr id="61466" name="Text Box 26"/>
        <cdr:cNvSpPr txBox="1">
          <a:spLocks xmlns:a="http://schemas.openxmlformats.org/drawingml/2006/main" noChangeArrowheads="1"/>
        </cdr:cNvSpPr>
      </cdr:nvSpPr>
      <cdr:spPr bwMode="auto">
        <a:xfrm xmlns:a="http://schemas.openxmlformats.org/drawingml/2006/main">
          <a:off x="6923549" y="4488597"/>
          <a:ext cx="390482" cy="1678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0.8125</cdr:y>
    </cdr:from>
    <cdr:to>
      <cdr:x>0.852</cdr:x>
      <cdr:y>0.85525</cdr:y>
    </cdr:to>
    <cdr:sp macro="" textlink="">
      <cdr:nvSpPr>
        <cdr:cNvPr id="61467" name="Text Box 27"/>
        <cdr:cNvSpPr txBox="1">
          <a:spLocks xmlns:a="http://schemas.openxmlformats.org/drawingml/2006/main" noChangeArrowheads="1"/>
        </cdr:cNvSpPr>
      </cdr:nvSpPr>
      <cdr:spPr bwMode="auto">
        <a:xfrm xmlns:a="http://schemas.openxmlformats.org/drawingml/2006/main">
          <a:off x="6923549" y="4744045"/>
          <a:ext cx="388336"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0.85275</cdr:y>
    </cdr:from>
    <cdr:to>
      <cdr:x>0.852</cdr:x>
      <cdr:y>0.885</cdr:y>
    </cdr:to>
    <cdr:sp macro="" textlink="">
      <cdr:nvSpPr>
        <cdr:cNvPr id="61468" name="Text Box 28"/>
        <cdr:cNvSpPr txBox="1">
          <a:spLocks xmlns:a="http://schemas.openxmlformats.org/drawingml/2006/main" noChangeArrowheads="1"/>
        </cdr:cNvSpPr>
      </cdr:nvSpPr>
      <cdr:spPr bwMode="auto">
        <a:xfrm xmlns:a="http://schemas.openxmlformats.org/drawingml/2006/main">
          <a:off x="6923549" y="4979058"/>
          <a:ext cx="388336" cy="18830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0.81625</cdr:x>
      <cdr:y>0.0545</cdr:y>
    </cdr:from>
    <cdr:to>
      <cdr:x>0.918</cdr:x>
      <cdr:y>0.104</cdr:y>
    </cdr:to>
    <cdr:sp macro="" textlink="">
      <cdr:nvSpPr>
        <cdr:cNvPr id="56321" name="Text Box 1"/>
        <cdr:cNvSpPr txBox="1">
          <a:spLocks xmlns:a="http://schemas.openxmlformats.org/drawingml/2006/main" noChangeArrowheads="1"/>
        </cdr:cNvSpPr>
      </cdr:nvSpPr>
      <cdr:spPr bwMode="auto">
        <a:xfrm xmlns:a="http://schemas.openxmlformats.org/drawingml/2006/main">
          <a:off x="7005078" y="318216"/>
          <a:ext cx="873221" cy="2890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0.68875</cdr:x>
      <cdr:y>0.96025</cdr:y>
    </cdr:from>
    <cdr:to>
      <cdr:x>0.9915</cdr:x>
      <cdr:y>0.98975</cdr:y>
    </cdr:to>
    <cdr:sp macro="" textlink="">
      <cdr:nvSpPr>
        <cdr:cNvPr id="56323" name="Text Box 3"/>
        <cdr:cNvSpPr txBox="1">
          <a:spLocks xmlns:a="http://schemas.openxmlformats.org/drawingml/2006/main" noChangeArrowheads="1"/>
        </cdr:cNvSpPr>
      </cdr:nvSpPr>
      <cdr:spPr bwMode="auto">
        <a:xfrm xmlns:a="http://schemas.openxmlformats.org/drawingml/2006/main">
          <a:off x="5910870" y="5606732"/>
          <a:ext cx="2598208"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0.08025</cdr:x>
      <cdr:y>0.07775</cdr:y>
    </cdr:from>
    <cdr:to>
      <cdr:x>0.228</cdr:x>
      <cdr:y>0.43025</cdr:y>
    </cdr:to>
    <cdr:sp macro="" textlink="">
      <cdr:nvSpPr>
        <cdr:cNvPr id="56324" name="Text Box 4"/>
        <cdr:cNvSpPr txBox="1">
          <a:spLocks xmlns:a="http://schemas.openxmlformats.org/drawingml/2006/main" noChangeArrowheads="1"/>
        </cdr:cNvSpPr>
      </cdr:nvSpPr>
      <cdr:spPr bwMode="auto">
        <a:xfrm xmlns:a="http://schemas.openxmlformats.org/drawingml/2006/main">
          <a:off x="688708" y="453969"/>
          <a:ext cx="1267994" cy="205818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0.334</cdr:x>
      <cdr:y>0.6725</cdr:y>
    </cdr:from>
    <cdr:to>
      <cdr:x>0.35925</cdr:x>
      <cdr:y>0.70525</cdr:y>
    </cdr:to>
    <cdr:sp macro="" textlink="">
      <cdr:nvSpPr>
        <cdr:cNvPr id="56325" name="Text Box 5"/>
        <cdr:cNvSpPr txBox="1">
          <a:spLocks xmlns:a="http://schemas.openxmlformats.org/drawingml/2006/main" noChangeArrowheads="1"/>
        </cdr:cNvSpPr>
      </cdr:nvSpPr>
      <cdr:spPr bwMode="auto">
        <a:xfrm xmlns:a="http://schemas.openxmlformats.org/drawingml/2006/main">
          <a:off x="2866396" y="3926610"/>
          <a:ext cx="216696"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0.312</cdr:x>
      <cdr:y>0.53975</cdr:y>
    </cdr:from>
    <cdr:to>
      <cdr:x>0.33675</cdr:x>
      <cdr:y>0.5745</cdr:y>
    </cdr:to>
    <cdr:sp macro="" textlink="">
      <cdr:nvSpPr>
        <cdr:cNvPr id="56326" name="Text Box 6"/>
        <cdr:cNvSpPr txBox="1">
          <a:spLocks xmlns:a="http://schemas.openxmlformats.org/drawingml/2006/main" noChangeArrowheads="1"/>
        </cdr:cNvSpPr>
      </cdr:nvSpPr>
      <cdr:spPr bwMode="auto">
        <a:xfrm xmlns:a="http://schemas.openxmlformats.org/drawingml/2006/main">
          <a:off x="2677592" y="3151506"/>
          <a:ext cx="212405" cy="202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0.2655</cdr:x>
      <cdr:y>0.487</cdr:y>
    </cdr:from>
    <cdr:to>
      <cdr:x>0.29625</cdr:x>
      <cdr:y>0.52</cdr:y>
    </cdr:to>
    <cdr:sp macro="" textlink="">
      <cdr:nvSpPr>
        <cdr:cNvPr id="56327" name="Text Box 7"/>
        <cdr:cNvSpPr txBox="1">
          <a:spLocks xmlns:a="http://schemas.openxmlformats.org/drawingml/2006/main" noChangeArrowheads="1"/>
        </cdr:cNvSpPr>
      </cdr:nvSpPr>
      <cdr:spPr bwMode="auto">
        <a:xfrm xmlns:a="http://schemas.openxmlformats.org/drawingml/2006/main">
          <a:off x="2278528" y="2843508"/>
          <a:ext cx="263897" cy="1926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0.29225</cdr:x>
      <cdr:y>0.61475</cdr:y>
    </cdr:from>
    <cdr:to>
      <cdr:x>0.3195</cdr:x>
      <cdr:y>0.64275</cdr:y>
    </cdr:to>
    <cdr:sp macro="" textlink="">
      <cdr:nvSpPr>
        <cdr:cNvPr id="56328" name="Text Box 8"/>
        <cdr:cNvSpPr txBox="1">
          <a:spLocks xmlns:a="http://schemas.openxmlformats.org/drawingml/2006/main" noChangeArrowheads="1"/>
        </cdr:cNvSpPr>
      </cdr:nvSpPr>
      <cdr:spPr bwMode="auto">
        <a:xfrm xmlns:a="http://schemas.openxmlformats.org/drawingml/2006/main">
          <a:off x="2508097" y="3589418"/>
          <a:ext cx="233860"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0.35375</cdr:x>
      <cdr:y>0.62875</cdr:y>
    </cdr:from>
    <cdr:to>
      <cdr:x>0.3735</cdr:x>
      <cdr:y>0.6575</cdr:y>
    </cdr:to>
    <cdr:sp macro="" textlink="">
      <cdr:nvSpPr>
        <cdr:cNvPr id="56329" name="Text Box 9"/>
        <cdr:cNvSpPr txBox="1">
          <a:spLocks xmlns:a="http://schemas.openxmlformats.org/drawingml/2006/main" noChangeArrowheads="1"/>
        </cdr:cNvSpPr>
      </cdr:nvSpPr>
      <cdr:spPr bwMode="auto">
        <a:xfrm xmlns:a="http://schemas.openxmlformats.org/drawingml/2006/main">
          <a:off x="3035891" y="3671161"/>
          <a:ext cx="169495"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0.412</cdr:x>
      <cdr:y>0.50275</cdr:y>
    </cdr:from>
    <cdr:to>
      <cdr:x>0.44325</cdr:x>
      <cdr:y>0.534</cdr:y>
    </cdr:to>
    <cdr:sp macro="" textlink="">
      <cdr:nvSpPr>
        <cdr:cNvPr id="56330" name="Text Box 10"/>
        <cdr:cNvSpPr txBox="1">
          <a:spLocks xmlns:a="http://schemas.openxmlformats.org/drawingml/2006/main" noChangeArrowheads="1"/>
        </cdr:cNvSpPr>
      </cdr:nvSpPr>
      <cdr:spPr bwMode="auto">
        <a:xfrm xmlns:a="http://schemas.openxmlformats.org/drawingml/2006/main">
          <a:off x="3535794" y="2935469"/>
          <a:ext cx="268189" cy="1824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0.334</cdr:x>
      <cdr:y>0.52</cdr:y>
    </cdr:from>
    <cdr:to>
      <cdr:x>0.3675</cdr:x>
      <cdr:y>0.5555</cdr:y>
    </cdr:to>
    <cdr:sp macro="" textlink="">
      <cdr:nvSpPr>
        <cdr:cNvPr id="56331" name="Text Box 11"/>
        <cdr:cNvSpPr txBox="1">
          <a:spLocks xmlns:a="http://schemas.openxmlformats.org/drawingml/2006/main" noChangeArrowheads="1"/>
        </cdr:cNvSpPr>
      </cdr:nvSpPr>
      <cdr:spPr bwMode="auto">
        <a:xfrm xmlns:a="http://schemas.openxmlformats.org/drawingml/2006/main">
          <a:off x="2866396" y="3036189"/>
          <a:ext cx="287498" cy="2072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0.29625</cdr:x>
      <cdr:y>0.6955</cdr:y>
    </cdr:from>
    <cdr:to>
      <cdr:x>0.32375</cdr:x>
      <cdr:y>0.72425</cdr:y>
    </cdr:to>
    <cdr:sp macro="" textlink="">
      <cdr:nvSpPr>
        <cdr:cNvPr id="56332" name="Text Box 12"/>
        <cdr:cNvSpPr txBox="1">
          <a:spLocks xmlns:a="http://schemas.openxmlformats.org/drawingml/2006/main" noChangeArrowheads="1"/>
        </cdr:cNvSpPr>
      </cdr:nvSpPr>
      <cdr:spPr bwMode="auto">
        <a:xfrm xmlns:a="http://schemas.openxmlformats.org/drawingml/2006/main">
          <a:off x="2542425" y="4060903"/>
          <a:ext cx="236006"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0.31475</cdr:x>
      <cdr:y>0.675</cdr:y>
    </cdr:from>
    <cdr:to>
      <cdr:x>0.34075</cdr:x>
      <cdr:y>0.70525</cdr:y>
    </cdr:to>
    <cdr:sp macro="" textlink="">
      <cdr:nvSpPr>
        <cdr:cNvPr id="56333" name="Text Box 13"/>
        <cdr:cNvSpPr txBox="1">
          <a:spLocks xmlns:a="http://schemas.openxmlformats.org/drawingml/2006/main" noChangeArrowheads="1"/>
        </cdr:cNvSpPr>
      </cdr:nvSpPr>
      <cdr:spPr bwMode="auto">
        <a:xfrm xmlns:a="http://schemas.openxmlformats.org/drawingml/2006/main">
          <a:off x="2701192" y="3941207"/>
          <a:ext cx="223133" cy="1766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0.25675</cdr:x>
      <cdr:y>0.70525</cdr:y>
    </cdr:from>
    <cdr:to>
      <cdr:x>0.28475</cdr:x>
      <cdr:y>0.73675</cdr:y>
    </cdr:to>
    <cdr:sp macro="" textlink="">
      <cdr:nvSpPr>
        <cdr:cNvPr id="56334" name="Text Box 14"/>
        <cdr:cNvSpPr txBox="1">
          <a:spLocks xmlns:a="http://schemas.openxmlformats.org/drawingml/2006/main" noChangeArrowheads="1"/>
        </cdr:cNvSpPr>
      </cdr:nvSpPr>
      <cdr:spPr bwMode="auto">
        <a:xfrm xmlns:a="http://schemas.openxmlformats.org/drawingml/2006/main">
          <a:off x="2203435" y="4117831"/>
          <a:ext cx="240297" cy="183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0.438</cdr:x>
      <cdr:y>0.3685</cdr:y>
    </cdr:from>
    <cdr:to>
      <cdr:x>0.466</cdr:x>
      <cdr:y>0.4005</cdr:y>
    </cdr:to>
    <cdr:sp macro="" textlink="">
      <cdr:nvSpPr>
        <cdr:cNvPr id="56335" name="Text Box 15"/>
        <cdr:cNvSpPr txBox="1">
          <a:spLocks xmlns:a="http://schemas.openxmlformats.org/drawingml/2006/main" noChangeArrowheads="1"/>
        </cdr:cNvSpPr>
      </cdr:nvSpPr>
      <cdr:spPr bwMode="auto">
        <a:xfrm xmlns:a="http://schemas.openxmlformats.org/drawingml/2006/main">
          <a:off x="3758927" y="2151607"/>
          <a:ext cx="240297"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0.81175</cdr:x>
      <cdr:y>0.689</cdr:y>
    </cdr:from>
    <cdr:to>
      <cdr:x>0.857</cdr:x>
      <cdr:y>0.7185</cdr:y>
    </cdr:to>
    <cdr:sp macro="" textlink="">
      <cdr:nvSpPr>
        <cdr:cNvPr id="56336" name="Text Box 16"/>
        <cdr:cNvSpPr txBox="1">
          <a:spLocks xmlns:a="http://schemas.openxmlformats.org/drawingml/2006/main" noChangeArrowheads="1"/>
        </cdr:cNvSpPr>
      </cdr:nvSpPr>
      <cdr:spPr bwMode="auto">
        <a:xfrm xmlns:a="http://schemas.openxmlformats.org/drawingml/2006/main">
          <a:off x="6966459" y="4022950"/>
          <a:ext cx="388336" cy="17224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0.81175</cdr:x>
      <cdr:y>0.7285</cdr:y>
    </cdr:from>
    <cdr:to>
      <cdr:x>0.857</cdr:x>
      <cdr:y>0.75975</cdr:y>
    </cdr:to>
    <cdr:sp macro="" textlink="">
      <cdr:nvSpPr>
        <cdr:cNvPr id="56337" name="Text Box 17"/>
        <cdr:cNvSpPr txBox="1">
          <a:spLocks xmlns:a="http://schemas.openxmlformats.org/drawingml/2006/main" noChangeArrowheads="1"/>
        </cdr:cNvSpPr>
      </cdr:nvSpPr>
      <cdr:spPr bwMode="auto">
        <a:xfrm xmlns:a="http://schemas.openxmlformats.org/drawingml/2006/main">
          <a:off x="6966459" y="4253584"/>
          <a:ext cx="388336"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0.81175</cdr:x>
      <cdr:y>0.76875</cdr:y>
    </cdr:from>
    <cdr:to>
      <cdr:x>0.85575</cdr:x>
      <cdr:y>0.7975</cdr:y>
    </cdr:to>
    <cdr:sp macro="" textlink="">
      <cdr:nvSpPr>
        <cdr:cNvPr id="56338" name="Text Box 18"/>
        <cdr:cNvSpPr txBox="1">
          <a:spLocks xmlns:a="http://schemas.openxmlformats.org/drawingml/2006/main" noChangeArrowheads="1"/>
        </cdr:cNvSpPr>
      </cdr:nvSpPr>
      <cdr:spPr bwMode="auto">
        <a:xfrm xmlns:a="http://schemas.openxmlformats.org/drawingml/2006/main">
          <a:off x="6966459" y="4488597"/>
          <a:ext cx="377609" cy="1678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0.81175</cdr:x>
      <cdr:y>0.81</cdr:y>
    </cdr:from>
    <cdr:to>
      <cdr:x>0.857</cdr:x>
      <cdr:y>0.85275</cdr:y>
    </cdr:to>
    <cdr:sp macro="" textlink="">
      <cdr:nvSpPr>
        <cdr:cNvPr id="56339" name="Text Box 19"/>
        <cdr:cNvSpPr txBox="1">
          <a:spLocks xmlns:a="http://schemas.openxmlformats.org/drawingml/2006/main" noChangeArrowheads="1"/>
        </cdr:cNvSpPr>
      </cdr:nvSpPr>
      <cdr:spPr bwMode="auto">
        <a:xfrm xmlns:a="http://schemas.openxmlformats.org/drawingml/2006/main">
          <a:off x="6966459" y="4729448"/>
          <a:ext cx="388336"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0.81175</cdr:x>
      <cdr:y>0.852</cdr:y>
    </cdr:from>
    <cdr:to>
      <cdr:x>0.857</cdr:x>
      <cdr:y>0.884</cdr:y>
    </cdr:to>
    <cdr:sp macro="" textlink="">
      <cdr:nvSpPr>
        <cdr:cNvPr id="56340" name="Text Box 20"/>
        <cdr:cNvSpPr txBox="1">
          <a:spLocks xmlns:a="http://schemas.openxmlformats.org/drawingml/2006/main" noChangeArrowheads="1"/>
        </cdr:cNvSpPr>
      </cdr:nvSpPr>
      <cdr:spPr bwMode="auto">
        <a:xfrm xmlns:a="http://schemas.openxmlformats.org/drawingml/2006/main">
          <a:off x="6966459" y="4974679"/>
          <a:ext cx="388336" cy="186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0.811</cdr:x>
      <cdr:y>0.02475</cdr:y>
    </cdr:from>
    <cdr:to>
      <cdr:x>0.9095</cdr:x>
      <cdr:y>0.072</cdr:y>
    </cdr:to>
    <cdr:sp macro="" textlink="">
      <cdr:nvSpPr>
        <cdr:cNvPr id="22529" name="Text Box 1"/>
        <cdr:cNvSpPr txBox="1">
          <a:spLocks xmlns:a="http://schemas.openxmlformats.org/drawingml/2006/main" noChangeArrowheads="1"/>
        </cdr:cNvSpPr>
      </cdr:nvSpPr>
      <cdr:spPr bwMode="auto">
        <a:xfrm xmlns:a="http://schemas.openxmlformats.org/drawingml/2006/main">
          <a:off x="6960022" y="144511"/>
          <a:ext cx="845330" cy="275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0.6955</cdr:x>
      <cdr:y>0.967</cdr:y>
    </cdr:from>
    <cdr:to>
      <cdr:x>0.9995</cdr:x>
      <cdr:y>0.9965</cdr:y>
    </cdr:to>
    <cdr:sp macro="" textlink="">
      <cdr:nvSpPr>
        <cdr:cNvPr id="22531" name="Text Box 3"/>
        <cdr:cNvSpPr txBox="1">
          <a:spLocks xmlns:a="http://schemas.openxmlformats.org/drawingml/2006/main" noChangeArrowheads="1"/>
        </cdr:cNvSpPr>
      </cdr:nvSpPr>
      <cdr:spPr bwMode="auto">
        <a:xfrm xmlns:a="http://schemas.openxmlformats.org/drawingml/2006/main">
          <a:off x="5968798" y="5646144"/>
          <a:ext cx="2608936"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0.60425</cdr:x>
      <cdr:y>0.07925</cdr:y>
    </cdr:from>
    <cdr:to>
      <cdr:x>0.75125</cdr:x>
      <cdr:y>0.35159</cdr:y>
    </cdr:to>
    <cdr:sp macro="" textlink="">
      <cdr:nvSpPr>
        <cdr:cNvPr id="22532" name="Text Box 4"/>
        <cdr:cNvSpPr txBox="1">
          <a:spLocks xmlns:a="http://schemas.openxmlformats.org/drawingml/2006/main" noChangeArrowheads="1"/>
        </cdr:cNvSpPr>
      </cdr:nvSpPr>
      <cdr:spPr bwMode="auto">
        <a:xfrm xmlns:a="http://schemas.openxmlformats.org/drawingml/2006/main">
          <a:off x="5188926" y="462939"/>
          <a:ext cx="1262345" cy="159088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p>
      </cdr:txBody>
    </cdr:sp>
  </cdr:relSizeAnchor>
  <cdr:relSizeAnchor xmlns:cdr="http://schemas.openxmlformats.org/drawingml/2006/chartDrawing">
    <cdr:from>
      <cdr:x>0.331</cdr:x>
      <cdr:y>0.73575</cdr:y>
    </cdr:from>
    <cdr:to>
      <cdr:x>0.35575</cdr:x>
      <cdr:y>0.7705</cdr:y>
    </cdr:to>
    <cdr:sp macro="" textlink="">
      <cdr:nvSpPr>
        <cdr:cNvPr id="22534" name="Text Box 6"/>
        <cdr:cNvSpPr txBox="1">
          <a:spLocks xmlns:a="http://schemas.openxmlformats.org/drawingml/2006/main" noChangeArrowheads="1"/>
        </cdr:cNvSpPr>
      </cdr:nvSpPr>
      <cdr:spPr bwMode="auto">
        <a:xfrm xmlns:a="http://schemas.openxmlformats.org/drawingml/2006/main">
          <a:off x="2840650" y="4295915"/>
          <a:ext cx="212405" cy="2029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0.3725</cdr:x>
      <cdr:y>0.6865</cdr:y>
    </cdr:from>
    <cdr:to>
      <cdr:x>0.39175</cdr:x>
      <cdr:y>0.71525</cdr:y>
    </cdr:to>
    <cdr:sp macro="" textlink="">
      <cdr:nvSpPr>
        <cdr:cNvPr id="22537" name="Text Box 9"/>
        <cdr:cNvSpPr txBox="1">
          <a:spLocks xmlns:a="http://schemas.openxmlformats.org/drawingml/2006/main" noChangeArrowheads="1"/>
        </cdr:cNvSpPr>
      </cdr:nvSpPr>
      <cdr:spPr bwMode="auto">
        <a:xfrm xmlns:a="http://schemas.openxmlformats.org/drawingml/2006/main">
          <a:off x="3196804" y="4008353"/>
          <a:ext cx="165204" cy="167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0.43175</cdr:x>
      <cdr:y>0.759</cdr:y>
    </cdr:from>
    <cdr:to>
      <cdr:x>0.463</cdr:x>
      <cdr:y>0.79025</cdr:y>
    </cdr:to>
    <cdr:sp macro="" textlink="">
      <cdr:nvSpPr>
        <cdr:cNvPr id="22538" name="Text Box 10"/>
        <cdr:cNvSpPr txBox="1">
          <a:spLocks xmlns:a="http://schemas.openxmlformats.org/drawingml/2006/main" noChangeArrowheads="1"/>
        </cdr:cNvSpPr>
      </cdr:nvSpPr>
      <cdr:spPr bwMode="auto">
        <a:xfrm xmlns:a="http://schemas.openxmlformats.org/drawingml/2006/main">
          <a:off x="3705289" y="4431668"/>
          <a:ext cx="268189"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0.3405</cdr:x>
      <cdr:y>0.8585</cdr:y>
    </cdr:from>
    <cdr:to>
      <cdr:x>0.37375</cdr:x>
      <cdr:y>0.89325</cdr:y>
    </cdr:to>
    <cdr:sp macro="" textlink="">
      <cdr:nvSpPr>
        <cdr:cNvPr id="22539" name="Text Box 11"/>
        <cdr:cNvSpPr txBox="1">
          <a:spLocks xmlns:a="http://schemas.openxmlformats.org/drawingml/2006/main" noChangeArrowheads="1"/>
        </cdr:cNvSpPr>
      </cdr:nvSpPr>
      <cdr:spPr bwMode="auto">
        <a:xfrm xmlns:a="http://schemas.openxmlformats.org/drawingml/2006/main">
          <a:off x="2922180" y="5012631"/>
          <a:ext cx="285352" cy="202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0.29325</cdr:x>
      <cdr:y>0.8585</cdr:y>
    </cdr:from>
    <cdr:to>
      <cdr:x>0.321</cdr:x>
      <cdr:y>0.8865</cdr:y>
    </cdr:to>
    <cdr:sp macro="" textlink="">
      <cdr:nvSpPr>
        <cdr:cNvPr id="22540" name="Text Box 12"/>
        <cdr:cNvSpPr txBox="1">
          <a:spLocks xmlns:a="http://schemas.openxmlformats.org/drawingml/2006/main" noChangeArrowheads="1"/>
        </cdr:cNvSpPr>
      </cdr:nvSpPr>
      <cdr:spPr bwMode="auto">
        <a:xfrm xmlns:a="http://schemas.openxmlformats.org/drawingml/2006/main">
          <a:off x="2516679" y="5012631"/>
          <a:ext cx="238151"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0.25925</cdr:x>
      <cdr:y>0.61075</cdr:y>
    </cdr:from>
    <cdr:to>
      <cdr:x>0.28725</cdr:x>
      <cdr:y>0.642</cdr:y>
    </cdr:to>
    <cdr:sp macro="" textlink="">
      <cdr:nvSpPr>
        <cdr:cNvPr id="22542" name="Text Box 14"/>
        <cdr:cNvSpPr txBox="1">
          <a:spLocks xmlns:a="http://schemas.openxmlformats.org/drawingml/2006/main" noChangeArrowheads="1"/>
        </cdr:cNvSpPr>
      </cdr:nvSpPr>
      <cdr:spPr bwMode="auto">
        <a:xfrm xmlns:a="http://schemas.openxmlformats.org/drawingml/2006/main">
          <a:off x="2224890" y="3566062"/>
          <a:ext cx="240297" cy="1824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0.80675</cdr:x>
      <cdr:y>0.67</cdr:y>
    </cdr:from>
    <cdr:to>
      <cdr:x>0.85225</cdr:x>
      <cdr:y>0.69875</cdr:y>
    </cdr:to>
    <cdr:sp macro="" textlink="">
      <cdr:nvSpPr>
        <cdr:cNvPr id="22544" name="Text Box 16"/>
        <cdr:cNvSpPr txBox="1">
          <a:spLocks xmlns:a="http://schemas.openxmlformats.org/drawingml/2006/main" noChangeArrowheads="1"/>
        </cdr:cNvSpPr>
      </cdr:nvSpPr>
      <cdr:spPr bwMode="auto">
        <a:xfrm xmlns:a="http://schemas.openxmlformats.org/drawingml/2006/main">
          <a:off x="6923549" y="3912013"/>
          <a:ext cx="390482" cy="1678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cdr:x>
      <cdr:y>0.71525</cdr:y>
    </cdr:from>
    <cdr:to>
      <cdr:x>0.8515</cdr:x>
      <cdr:y>0.7465</cdr:y>
    </cdr:to>
    <cdr:sp macro="" textlink="">
      <cdr:nvSpPr>
        <cdr:cNvPr id="22545" name="Text Box 17"/>
        <cdr:cNvSpPr txBox="1">
          <a:spLocks xmlns:a="http://schemas.openxmlformats.org/drawingml/2006/main" noChangeArrowheads="1"/>
        </cdr:cNvSpPr>
      </cdr:nvSpPr>
      <cdr:spPr bwMode="auto">
        <a:xfrm xmlns:a="http://schemas.openxmlformats.org/drawingml/2006/main">
          <a:off x="6917112" y="4176220"/>
          <a:ext cx="39048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0.7565</cdr:y>
    </cdr:from>
    <cdr:to>
      <cdr:x>0.851</cdr:x>
      <cdr:y>0.78525</cdr:y>
    </cdr:to>
    <cdr:sp macro="" textlink="">
      <cdr:nvSpPr>
        <cdr:cNvPr id="22546" name="Text Box 18"/>
        <cdr:cNvSpPr txBox="1">
          <a:spLocks xmlns:a="http://schemas.openxmlformats.org/drawingml/2006/main" noChangeArrowheads="1"/>
        </cdr:cNvSpPr>
      </cdr:nvSpPr>
      <cdr:spPr bwMode="auto">
        <a:xfrm xmlns:a="http://schemas.openxmlformats.org/drawingml/2006/main">
          <a:off x="6923549" y="4417071"/>
          <a:ext cx="379754" cy="1678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0.79675</cdr:y>
    </cdr:from>
    <cdr:to>
      <cdr:x>0.85225</cdr:x>
      <cdr:y>0.83975</cdr:y>
    </cdr:to>
    <cdr:sp macro="" textlink="">
      <cdr:nvSpPr>
        <cdr:cNvPr id="22547" name="Text Box 19"/>
        <cdr:cNvSpPr txBox="1">
          <a:spLocks xmlns:a="http://schemas.openxmlformats.org/drawingml/2006/main" noChangeArrowheads="1"/>
        </cdr:cNvSpPr>
      </cdr:nvSpPr>
      <cdr:spPr bwMode="auto">
        <a:xfrm xmlns:a="http://schemas.openxmlformats.org/drawingml/2006/main">
          <a:off x="6923549" y="4652084"/>
          <a:ext cx="390482" cy="251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0.842</cdr:y>
    </cdr:from>
    <cdr:to>
      <cdr:x>0.85225</cdr:x>
      <cdr:y>0.8735</cdr:y>
    </cdr:to>
    <cdr:sp macro="" textlink="">
      <cdr:nvSpPr>
        <cdr:cNvPr id="22548" name="Text Box 20"/>
        <cdr:cNvSpPr txBox="1">
          <a:spLocks xmlns:a="http://schemas.openxmlformats.org/drawingml/2006/main" noChangeArrowheads="1"/>
        </cdr:cNvSpPr>
      </cdr:nvSpPr>
      <cdr:spPr bwMode="auto">
        <a:xfrm xmlns:a="http://schemas.openxmlformats.org/drawingml/2006/main">
          <a:off x="6923549" y="4916291"/>
          <a:ext cx="390482" cy="18392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0.81775</cdr:x>
      <cdr:y>0.05625</cdr:y>
    </cdr:from>
    <cdr:to>
      <cdr:x>0.92025</cdr:x>
      <cdr:y>0.10575</cdr:y>
    </cdr:to>
    <cdr:sp macro="" textlink="">
      <cdr:nvSpPr>
        <cdr:cNvPr id="21505" name="Text Box 1"/>
        <cdr:cNvSpPr txBox="1">
          <a:spLocks xmlns:a="http://schemas.openxmlformats.org/drawingml/2006/main" noChangeArrowheads="1"/>
        </cdr:cNvSpPr>
      </cdr:nvSpPr>
      <cdr:spPr bwMode="auto">
        <a:xfrm xmlns:a="http://schemas.openxmlformats.org/drawingml/2006/main">
          <a:off x="7017951" y="328434"/>
          <a:ext cx="879658" cy="2890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0.69075</cdr:x>
      <cdr:y>0.96825</cdr:y>
    </cdr:from>
    <cdr:to>
      <cdr:x>0.9945</cdr:x>
      <cdr:y>0.99775</cdr:y>
    </cdr:to>
    <cdr:sp macro="" textlink="">
      <cdr:nvSpPr>
        <cdr:cNvPr id="21507" name="Text Box 3"/>
        <cdr:cNvSpPr txBox="1">
          <a:spLocks xmlns:a="http://schemas.openxmlformats.org/drawingml/2006/main" noChangeArrowheads="1"/>
        </cdr:cNvSpPr>
      </cdr:nvSpPr>
      <cdr:spPr bwMode="auto">
        <a:xfrm xmlns:a="http://schemas.openxmlformats.org/drawingml/2006/main">
          <a:off x="5928034" y="5653442"/>
          <a:ext cx="2606790"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0.3485</cdr:x>
      <cdr:y>0.6725</cdr:y>
    </cdr:from>
    <cdr:to>
      <cdr:x>0.37375</cdr:x>
      <cdr:y>0.70375</cdr:y>
    </cdr:to>
    <cdr:sp macro="" textlink="">
      <cdr:nvSpPr>
        <cdr:cNvPr id="21508" name="Text Box 4"/>
        <cdr:cNvSpPr txBox="1">
          <a:spLocks xmlns:a="http://schemas.openxmlformats.org/drawingml/2006/main" noChangeArrowheads="1"/>
        </cdr:cNvSpPr>
      </cdr:nvSpPr>
      <cdr:spPr bwMode="auto">
        <a:xfrm xmlns:a="http://schemas.openxmlformats.org/drawingml/2006/main">
          <a:off x="2990836" y="3926610"/>
          <a:ext cx="21669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0.3145</cdr:x>
      <cdr:y>0.66825</cdr:y>
    </cdr:from>
    <cdr:to>
      <cdr:x>0.33775</cdr:x>
      <cdr:y>0.702</cdr:y>
    </cdr:to>
    <cdr:sp macro="" textlink="">
      <cdr:nvSpPr>
        <cdr:cNvPr id="21509" name="Text Box 5"/>
        <cdr:cNvSpPr txBox="1">
          <a:spLocks xmlns:a="http://schemas.openxmlformats.org/drawingml/2006/main" noChangeArrowheads="1"/>
        </cdr:cNvSpPr>
      </cdr:nvSpPr>
      <cdr:spPr bwMode="auto">
        <a:xfrm xmlns:a="http://schemas.openxmlformats.org/drawingml/2006/main">
          <a:off x="2699047" y="3901795"/>
          <a:ext cx="199532"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0.2785</cdr:x>
      <cdr:y>0.75975</cdr:y>
    </cdr:from>
    <cdr:to>
      <cdr:x>0.309</cdr:x>
      <cdr:y>0.79275</cdr:y>
    </cdr:to>
    <cdr:sp macro="" textlink="">
      <cdr:nvSpPr>
        <cdr:cNvPr id="21510" name="Text Box 6"/>
        <cdr:cNvSpPr txBox="1">
          <a:spLocks xmlns:a="http://schemas.openxmlformats.org/drawingml/2006/main" noChangeArrowheads="1"/>
        </cdr:cNvSpPr>
      </cdr:nvSpPr>
      <cdr:spPr bwMode="auto">
        <a:xfrm xmlns:a="http://schemas.openxmlformats.org/drawingml/2006/main">
          <a:off x="2390094" y="4436047"/>
          <a:ext cx="261752" cy="1926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0.3205</cdr:x>
      <cdr:y>0.613</cdr:y>
    </cdr:from>
    <cdr:to>
      <cdr:x>0.3485</cdr:x>
      <cdr:y>0.641</cdr:y>
    </cdr:to>
    <cdr:sp macro="" textlink="">
      <cdr:nvSpPr>
        <cdr:cNvPr id="21511" name="Text Box 7"/>
        <cdr:cNvSpPr txBox="1">
          <a:spLocks xmlns:a="http://schemas.openxmlformats.org/drawingml/2006/main" noChangeArrowheads="1"/>
        </cdr:cNvSpPr>
      </cdr:nvSpPr>
      <cdr:spPr bwMode="auto">
        <a:xfrm xmlns:a="http://schemas.openxmlformats.org/drawingml/2006/main">
          <a:off x="2750539" y="3579200"/>
          <a:ext cx="240297"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0.37375</cdr:x>
      <cdr:y>0.45175</cdr:y>
    </cdr:from>
    <cdr:to>
      <cdr:x>0.39225</cdr:x>
      <cdr:y>0.48125</cdr:y>
    </cdr:to>
    <cdr:sp macro="" textlink="">
      <cdr:nvSpPr>
        <cdr:cNvPr id="21512" name="Text Box 8"/>
        <cdr:cNvSpPr txBox="1">
          <a:spLocks xmlns:a="http://schemas.openxmlformats.org/drawingml/2006/main" noChangeArrowheads="1"/>
        </cdr:cNvSpPr>
      </cdr:nvSpPr>
      <cdr:spPr bwMode="auto">
        <a:xfrm xmlns:a="http://schemas.openxmlformats.org/drawingml/2006/main">
          <a:off x="3207532" y="2637689"/>
          <a:ext cx="158767"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0.43225</cdr:x>
      <cdr:y>0.375</cdr:y>
    </cdr:from>
    <cdr:to>
      <cdr:x>0.463</cdr:x>
      <cdr:y>0.40475</cdr:y>
    </cdr:to>
    <cdr:sp macro="" textlink="">
      <cdr:nvSpPr>
        <cdr:cNvPr id="21513" name="Text Box 9"/>
        <cdr:cNvSpPr txBox="1">
          <a:spLocks xmlns:a="http://schemas.openxmlformats.org/drawingml/2006/main" noChangeArrowheads="1"/>
        </cdr:cNvSpPr>
      </cdr:nvSpPr>
      <cdr:spPr bwMode="auto">
        <a:xfrm xmlns:a="http://schemas.openxmlformats.org/drawingml/2006/main">
          <a:off x="3709580" y="2189559"/>
          <a:ext cx="263898"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0.33775</cdr:x>
      <cdr:y>0.613</cdr:y>
    </cdr:from>
    <cdr:to>
      <cdr:x>0.371</cdr:x>
      <cdr:y>0.64675</cdr:y>
    </cdr:to>
    <cdr:sp macro="" textlink="">
      <cdr:nvSpPr>
        <cdr:cNvPr id="21514" name="Text Box 10"/>
        <cdr:cNvSpPr txBox="1">
          <a:spLocks xmlns:a="http://schemas.openxmlformats.org/drawingml/2006/main" noChangeArrowheads="1"/>
        </cdr:cNvSpPr>
      </cdr:nvSpPr>
      <cdr:spPr bwMode="auto">
        <a:xfrm xmlns:a="http://schemas.openxmlformats.org/drawingml/2006/main">
          <a:off x="2898579" y="3579200"/>
          <a:ext cx="285352"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0.3105</cdr:x>
      <cdr:y>0.52575</cdr:y>
    </cdr:from>
    <cdr:to>
      <cdr:x>0.3385</cdr:x>
      <cdr:y>0.5555</cdr:y>
    </cdr:to>
    <cdr:sp macro="" textlink="">
      <cdr:nvSpPr>
        <cdr:cNvPr id="21515" name="Text Box 11"/>
        <cdr:cNvSpPr txBox="1">
          <a:spLocks xmlns:a="http://schemas.openxmlformats.org/drawingml/2006/main" noChangeArrowheads="1"/>
        </cdr:cNvSpPr>
      </cdr:nvSpPr>
      <cdr:spPr bwMode="auto">
        <a:xfrm xmlns:a="http://schemas.openxmlformats.org/drawingml/2006/main">
          <a:off x="2664719" y="3069762"/>
          <a:ext cx="240296"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0.3225</cdr:x>
      <cdr:y>0.703</cdr:y>
    </cdr:from>
    <cdr:to>
      <cdr:x>0.34775</cdr:x>
      <cdr:y>0.73425</cdr:y>
    </cdr:to>
    <cdr:sp macro="" textlink="">
      <cdr:nvSpPr>
        <cdr:cNvPr id="21516" name="Text Box 12"/>
        <cdr:cNvSpPr txBox="1">
          <a:spLocks xmlns:a="http://schemas.openxmlformats.org/drawingml/2006/main" noChangeArrowheads="1"/>
        </cdr:cNvSpPr>
      </cdr:nvSpPr>
      <cdr:spPr bwMode="auto">
        <a:xfrm xmlns:a="http://schemas.openxmlformats.org/drawingml/2006/main">
          <a:off x="2767703" y="4104694"/>
          <a:ext cx="21669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0.2785</cdr:x>
      <cdr:y>0.656</cdr:y>
    </cdr:from>
    <cdr:to>
      <cdr:x>0.30575</cdr:x>
      <cdr:y>0.6855</cdr:y>
    </cdr:to>
    <cdr:sp macro="" textlink="">
      <cdr:nvSpPr>
        <cdr:cNvPr id="21517" name="Text Box 13"/>
        <cdr:cNvSpPr txBox="1">
          <a:spLocks xmlns:a="http://schemas.openxmlformats.org/drawingml/2006/main" noChangeArrowheads="1"/>
        </cdr:cNvSpPr>
      </cdr:nvSpPr>
      <cdr:spPr bwMode="auto">
        <a:xfrm xmlns:a="http://schemas.openxmlformats.org/drawingml/2006/main">
          <a:off x="2390094" y="3830269"/>
          <a:ext cx="233860"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0.44425</cdr:x>
      <cdr:y>0.5545</cdr:y>
    </cdr:from>
    <cdr:to>
      <cdr:x>0.47225</cdr:x>
      <cdr:y>0.586</cdr:y>
    </cdr:to>
    <cdr:sp macro="" textlink="">
      <cdr:nvSpPr>
        <cdr:cNvPr id="21518" name="Text Box 14"/>
        <cdr:cNvSpPr txBox="1">
          <a:spLocks xmlns:a="http://schemas.openxmlformats.org/drawingml/2006/main" noChangeArrowheads="1"/>
        </cdr:cNvSpPr>
      </cdr:nvSpPr>
      <cdr:spPr bwMode="auto">
        <a:xfrm xmlns:a="http://schemas.openxmlformats.org/drawingml/2006/main">
          <a:off x="3812565" y="3237628"/>
          <a:ext cx="240296" cy="183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0.09925</cdr:x>
      <cdr:y>0.08025</cdr:y>
    </cdr:from>
    <cdr:to>
      <cdr:x>0.2465</cdr:x>
      <cdr:y>0.40382</cdr:y>
    </cdr:to>
    <cdr:sp macro="" textlink="">
      <cdr:nvSpPr>
        <cdr:cNvPr id="21520" name="Text Box 16"/>
        <cdr:cNvSpPr txBox="1">
          <a:spLocks xmlns:a="http://schemas.openxmlformats.org/drawingml/2006/main" noChangeArrowheads="1"/>
        </cdr:cNvSpPr>
      </cdr:nvSpPr>
      <cdr:spPr bwMode="auto">
        <a:xfrm xmlns:a="http://schemas.openxmlformats.org/drawingml/2006/main">
          <a:off x="852298" y="468781"/>
          <a:ext cx="1264492" cy="18901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rgbClr xmlns:mc="http://schemas.openxmlformats.org/markup-compatibility/2006" xmlns:a14="http://schemas.microsoft.com/office/drawing/2010/main" val="008000" mc:Ignorable="a14" a14:legacySpreadsheetColorIndex="17"/>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0.80125</cdr:x>
      <cdr:y>0.6865</cdr:y>
    </cdr:from>
    <cdr:to>
      <cdr:x>0.84675</cdr:x>
      <cdr:y>0.71525</cdr:y>
    </cdr:to>
    <cdr:sp macro="" textlink="">
      <cdr:nvSpPr>
        <cdr:cNvPr id="21521" name="Text Box 17"/>
        <cdr:cNvSpPr txBox="1">
          <a:spLocks xmlns:a="http://schemas.openxmlformats.org/drawingml/2006/main" noChangeArrowheads="1"/>
        </cdr:cNvSpPr>
      </cdr:nvSpPr>
      <cdr:spPr bwMode="auto">
        <a:xfrm xmlns:a="http://schemas.openxmlformats.org/drawingml/2006/main">
          <a:off x="6876348" y="4008353"/>
          <a:ext cx="390482" cy="16786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0.80125</cdr:x>
      <cdr:y>0.73175</cdr:y>
    </cdr:from>
    <cdr:to>
      <cdr:x>0.84675</cdr:x>
      <cdr:y>0.763</cdr:y>
    </cdr:to>
    <cdr:sp macro="" textlink="">
      <cdr:nvSpPr>
        <cdr:cNvPr id="21522" name="Text Box 18"/>
        <cdr:cNvSpPr txBox="1">
          <a:spLocks xmlns:a="http://schemas.openxmlformats.org/drawingml/2006/main" noChangeArrowheads="1"/>
        </cdr:cNvSpPr>
      </cdr:nvSpPr>
      <cdr:spPr bwMode="auto">
        <a:xfrm xmlns:a="http://schemas.openxmlformats.org/drawingml/2006/main">
          <a:off x="6876348" y="4272560"/>
          <a:ext cx="39048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0.80125</cdr:x>
      <cdr:y>0.76625</cdr:y>
    </cdr:from>
    <cdr:to>
      <cdr:x>0.851</cdr:x>
      <cdr:y>0.796</cdr:y>
    </cdr:to>
    <cdr:sp macro="" textlink="">
      <cdr:nvSpPr>
        <cdr:cNvPr id="21523" name="Text Box 19"/>
        <cdr:cNvSpPr txBox="1">
          <a:spLocks xmlns:a="http://schemas.openxmlformats.org/drawingml/2006/main" noChangeArrowheads="1"/>
        </cdr:cNvSpPr>
      </cdr:nvSpPr>
      <cdr:spPr bwMode="auto">
        <a:xfrm xmlns:a="http://schemas.openxmlformats.org/drawingml/2006/main">
          <a:off x="6876348" y="4474000"/>
          <a:ext cx="426955" cy="17370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0.80125</cdr:x>
      <cdr:y>0.8075</cdr:y>
    </cdr:from>
    <cdr:to>
      <cdr:x>0.84675</cdr:x>
      <cdr:y>0.85025</cdr:y>
    </cdr:to>
    <cdr:sp macro="" textlink="">
      <cdr:nvSpPr>
        <cdr:cNvPr id="21524" name="Text Box 20"/>
        <cdr:cNvSpPr txBox="1">
          <a:spLocks xmlns:a="http://schemas.openxmlformats.org/drawingml/2006/main" noChangeArrowheads="1"/>
        </cdr:cNvSpPr>
      </cdr:nvSpPr>
      <cdr:spPr bwMode="auto">
        <a:xfrm xmlns:a="http://schemas.openxmlformats.org/drawingml/2006/main">
          <a:off x="6876348" y="4714851"/>
          <a:ext cx="390482"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0.80125</cdr:x>
      <cdr:y>0.85025</cdr:y>
    </cdr:from>
    <cdr:to>
      <cdr:x>0.84675</cdr:x>
      <cdr:y>0.8825</cdr:y>
    </cdr:to>
    <cdr:sp macro="" textlink="">
      <cdr:nvSpPr>
        <cdr:cNvPr id="21525" name="Text Box 21"/>
        <cdr:cNvSpPr txBox="1">
          <a:spLocks xmlns:a="http://schemas.openxmlformats.org/drawingml/2006/main" noChangeArrowheads="1"/>
        </cdr:cNvSpPr>
      </cdr:nvSpPr>
      <cdr:spPr bwMode="auto">
        <a:xfrm xmlns:a="http://schemas.openxmlformats.org/drawingml/2006/main">
          <a:off x="6876348" y="4964461"/>
          <a:ext cx="390482" cy="18830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0.818</cdr:x>
      <cdr:y>0.0715</cdr:y>
    </cdr:from>
    <cdr:to>
      <cdr:x>0.911</cdr:x>
      <cdr:y>0.12425</cdr:y>
    </cdr:to>
    <cdr:sp macro="" textlink="">
      <cdr:nvSpPr>
        <cdr:cNvPr id="73729" name="Text Box 1"/>
        <cdr:cNvSpPr txBox="1">
          <a:spLocks xmlns:a="http://schemas.openxmlformats.org/drawingml/2006/main" noChangeArrowheads="1"/>
        </cdr:cNvSpPr>
      </cdr:nvSpPr>
      <cdr:spPr bwMode="auto">
        <a:xfrm xmlns:a="http://schemas.openxmlformats.org/drawingml/2006/main">
          <a:off x="7020096" y="417476"/>
          <a:ext cx="798129" cy="307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0.25175</cdr:x>
      <cdr:y>0.745</cdr:y>
    </cdr:from>
    <cdr:to>
      <cdr:x>0.75425</cdr:x>
      <cdr:y>0.88825</cdr:y>
    </cdr:to>
    <cdr:sp macro="" textlink="">
      <cdr:nvSpPr>
        <cdr:cNvPr id="73730" name="Text Box 2"/>
        <cdr:cNvSpPr txBox="1">
          <a:spLocks xmlns:a="http://schemas.openxmlformats.org/drawingml/2006/main" noChangeArrowheads="1"/>
        </cdr:cNvSpPr>
      </cdr:nvSpPr>
      <cdr:spPr bwMode="auto">
        <a:xfrm xmlns:a="http://schemas.openxmlformats.org/drawingml/2006/main">
          <a:off x="2160525" y="4349925"/>
          <a:ext cx="4312467" cy="8364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             2   110WPB            3   123WPB                 4   Fremantle        </a:t>
          </a:r>
        </a:p>
        <a:p xmlns:a="http://schemas.openxmlformats.org/drawingml/2006/main">
          <a:pPr algn="l" rtl="0">
            <a:defRPr sz="1000"/>
          </a:pPr>
          <a:r>
            <a:rPr lang="en-US" sz="1000" b="1" i="0" u="none" strike="noStrike" baseline="0">
              <a:solidFill>
                <a:srgbClr val="993300"/>
              </a:solidFill>
              <a:latin typeface="Arial"/>
              <a:cs typeface="Arial"/>
            </a:rPr>
            <a:t>  5   Stanflex      6   Damen 4207     7   Philipines LPC      8   Damen 4708   </a:t>
          </a:r>
        </a:p>
        <a:p xmlns:a="http://schemas.openxmlformats.org/drawingml/2006/main">
          <a:pPr algn="l" rtl="0">
            <a:defRPr sz="1000"/>
          </a:pPr>
          <a:r>
            <a:rPr lang="en-US" sz="1000" b="1" i="0" u="none" strike="noStrike" baseline="0">
              <a:solidFill>
                <a:srgbClr val="993300"/>
              </a:solidFill>
              <a:latin typeface="Arial"/>
              <a:cs typeface="Arial"/>
            </a:rPr>
            <a:t>  9   Cyclone    10   Armidale         </a:t>
          </a:r>
          <a:r>
            <a:rPr lang="en-US" sz="1000" b="1" i="0" u="none" strike="noStrike" baseline="0">
              <a:solidFill>
                <a:srgbClr val="808000"/>
              </a:solidFill>
              <a:latin typeface="Arial"/>
              <a:cs typeface="Arial"/>
            </a:rPr>
            <a:t>11   Helsinki                12   Rauma</a:t>
          </a:r>
        </a:p>
        <a:p xmlns:a="http://schemas.openxmlformats.org/drawingml/2006/main">
          <a:pPr algn="l" rtl="0">
            <a:defRPr sz="1000"/>
          </a:pPr>
          <a:r>
            <a:rPr lang="en-US" sz="1000" b="1" i="0" u="none" strike="noStrike" baseline="0">
              <a:solidFill>
                <a:srgbClr val="808000"/>
              </a:solidFill>
              <a:latin typeface="Arial"/>
              <a:cs typeface="Arial"/>
            </a:rPr>
            <a:t>13   Hamina     14   Ramadan        </a:t>
          </a: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0.6875</cdr:x>
      <cdr:y>0.96025</cdr:y>
    </cdr:from>
    <cdr:to>
      <cdr:x>0.991</cdr:x>
      <cdr:y>0.99</cdr:y>
    </cdr:to>
    <cdr:sp macro="" textlink="">
      <cdr:nvSpPr>
        <cdr:cNvPr id="73731" name="Text Box 3"/>
        <cdr:cNvSpPr txBox="1">
          <a:spLocks xmlns:a="http://schemas.openxmlformats.org/drawingml/2006/main" noChangeArrowheads="1"/>
        </cdr:cNvSpPr>
      </cdr:nvSpPr>
      <cdr:spPr bwMode="auto">
        <a:xfrm xmlns:a="http://schemas.openxmlformats.org/drawingml/2006/main">
          <a:off x="5900142" y="5606732"/>
          <a:ext cx="2604645"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0.2315</cdr:x>
      <cdr:y>0.58525</cdr:y>
    </cdr:from>
    <cdr:to>
      <cdr:x>0.25725</cdr:x>
      <cdr:y>0.61625</cdr:y>
    </cdr:to>
    <cdr:sp macro="" textlink="">
      <cdr:nvSpPr>
        <cdr:cNvPr id="73732" name="Text Box 4"/>
        <cdr:cNvSpPr txBox="1">
          <a:spLocks xmlns:a="http://schemas.openxmlformats.org/drawingml/2006/main" noChangeArrowheads="1"/>
        </cdr:cNvSpPr>
      </cdr:nvSpPr>
      <cdr:spPr bwMode="auto">
        <a:xfrm xmlns:a="http://schemas.openxmlformats.org/drawingml/2006/main">
          <a:off x="1986739" y="3417172"/>
          <a:ext cx="220987"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0.33375</cdr:x>
      <cdr:y>0.5115</cdr:y>
    </cdr:from>
    <cdr:to>
      <cdr:x>0.35675</cdr:x>
      <cdr:y>0.545</cdr:y>
    </cdr:to>
    <cdr:sp macro="" textlink="">
      <cdr:nvSpPr>
        <cdr:cNvPr id="73733" name="Text Box 5"/>
        <cdr:cNvSpPr txBox="1">
          <a:spLocks xmlns:a="http://schemas.openxmlformats.org/drawingml/2006/main" noChangeArrowheads="1"/>
        </cdr:cNvSpPr>
      </cdr:nvSpPr>
      <cdr:spPr bwMode="auto">
        <a:xfrm xmlns:a="http://schemas.openxmlformats.org/drawingml/2006/main">
          <a:off x="2864251" y="2986559"/>
          <a:ext cx="197386" cy="195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0.36925</cdr:x>
      <cdr:y>0.501</cdr:y>
    </cdr:from>
    <cdr:to>
      <cdr:x>0.40075</cdr:x>
      <cdr:y>0.53375</cdr:y>
    </cdr:to>
    <cdr:sp macro="" textlink="">
      <cdr:nvSpPr>
        <cdr:cNvPr id="73734" name="Text Box 6"/>
        <cdr:cNvSpPr txBox="1">
          <a:spLocks xmlns:a="http://schemas.openxmlformats.org/drawingml/2006/main" noChangeArrowheads="1"/>
        </cdr:cNvSpPr>
      </cdr:nvSpPr>
      <cdr:spPr bwMode="auto">
        <a:xfrm xmlns:a="http://schemas.openxmlformats.org/drawingml/2006/main">
          <a:off x="3168913" y="2925251"/>
          <a:ext cx="270334"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0.322</cdr:x>
      <cdr:y>0.4435</cdr:y>
    </cdr:from>
    <cdr:to>
      <cdr:x>0.37775</cdr:x>
      <cdr:y>0.4715</cdr:y>
    </cdr:to>
    <cdr:sp macro="" textlink="">
      <cdr:nvSpPr>
        <cdr:cNvPr id="73735" name="Text Box 7"/>
        <cdr:cNvSpPr txBox="1">
          <a:spLocks xmlns:a="http://schemas.openxmlformats.org/drawingml/2006/main" noChangeArrowheads="1"/>
        </cdr:cNvSpPr>
      </cdr:nvSpPr>
      <cdr:spPr bwMode="auto">
        <a:xfrm xmlns:a="http://schemas.openxmlformats.org/drawingml/2006/main">
          <a:off x="2763412" y="2589519"/>
          <a:ext cx="478448"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0.45</cdr:x>
      <cdr:y>0.39125</cdr:y>
    </cdr:from>
    <cdr:to>
      <cdr:x>0.4695</cdr:x>
      <cdr:y>0.4205</cdr:y>
    </cdr:to>
    <cdr:sp macro="" textlink="">
      <cdr:nvSpPr>
        <cdr:cNvPr id="73736" name="Text Box 8"/>
        <cdr:cNvSpPr txBox="1">
          <a:spLocks xmlns:a="http://schemas.openxmlformats.org/drawingml/2006/main" noChangeArrowheads="1"/>
        </cdr:cNvSpPr>
      </cdr:nvSpPr>
      <cdr:spPr bwMode="auto">
        <a:xfrm xmlns:a="http://schemas.openxmlformats.org/drawingml/2006/main">
          <a:off x="3861911" y="2284440"/>
          <a:ext cx="167350" cy="170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0.3895</cdr:x>
      <cdr:y>0.34775</cdr:y>
    </cdr:from>
    <cdr:to>
      <cdr:x>0.42025</cdr:x>
      <cdr:y>0.37725</cdr:y>
    </cdr:to>
    <cdr:sp macro="" textlink="">
      <cdr:nvSpPr>
        <cdr:cNvPr id="73737" name="Text Box 9"/>
        <cdr:cNvSpPr txBox="1">
          <a:spLocks xmlns:a="http://schemas.openxmlformats.org/drawingml/2006/main" noChangeArrowheads="1"/>
        </cdr:cNvSpPr>
      </cdr:nvSpPr>
      <cdr:spPr bwMode="auto">
        <a:xfrm xmlns:a="http://schemas.openxmlformats.org/drawingml/2006/main">
          <a:off x="3342699" y="2030451"/>
          <a:ext cx="263897"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0.36925</cdr:x>
      <cdr:y>0.45675</cdr:y>
    </cdr:from>
    <cdr:to>
      <cdr:x>0.42025</cdr:x>
      <cdr:y>0.48775</cdr:y>
    </cdr:to>
    <cdr:sp macro="" textlink="">
      <cdr:nvSpPr>
        <cdr:cNvPr id="73738" name="Text Box 10"/>
        <cdr:cNvSpPr txBox="1">
          <a:spLocks xmlns:a="http://schemas.openxmlformats.org/drawingml/2006/main" noChangeArrowheads="1"/>
        </cdr:cNvSpPr>
      </cdr:nvSpPr>
      <cdr:spPr bwMode="auto">
        <a:xfrm xmlns:a="http://schemas.openxmlformats.org/drawingml/2006/main">
          <a:off x="3168913" y="2666883"/>
          <a:ext cx="43768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0.34975</cdr:x>
      <cdr:y>0.39025</cdr:y>
    </cdr:from>
    <cdr:to>
      <cdr:x>0.37775</cdr:x>
      <cdr:y>0.4215</cdr:y>
    </cdr:to>
    <cdr:sp macro="" textlink="">
      <cdr:nvSpPr>
        <cdr:cNvPr id="73739" name="Text Box 11"/>
        <cdr:cNvSpPr txBox="1">
          <a:spLocks xmlns:a="http://schemas.openxmlformats.org/drawingml/2006/main" noChangeArrowheads="1"/>
        </cdr:cNvSpPr>
      </cdr:nvSpPr>
      <cdr:spPr bwMode="auto">
        <a:xfrm xmlns:a="http://schemas.openxmlformats.org/drawingml/2006/main">
          <a:off x="3001563" y="2278601"/>
          <a:ext cx="240297" cy="1824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0.393</cdr:x>
      <cdr:y>0.57775</cdr:y>
    </cdr:from>
    <cdr:to>
      <cdr:x>0.42075</cdr:x>
      <cdr:y>0.60725</cdr:y>
    </cdr:to>
    <cdr:sp macro="" textlink="">
      <cdr:nvSpPr>
        <cdr:cNvPr id="73740" name="Text Box 12"/>
        <cdr:cNvSpPr txBox="1">
          <a:spLocks xmlns:a="http://schemas.openxmlformats.org/drawingml/2006/main" noChangeArrowheads="1"/>
        </cdr:cNvSpPr>
      </cdr:nvSpPr>
      <cdr:spPr bwMode="auto">
        <a:xfrm xmlns:a="http://schemas.openxmlformats.org/drawingml/2006/main">
          <a:off x="3372736" y="3373381"/>
          <a:ext cx="238151"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0.24625</cdr:x>
      <cdr:y>0.4715</cdr:y>
    </cdr:from>
    <cdr:to>
      <cdr:x>0.272</cdr:x>
      <cdr:y>0.501</cdr:y>
    </cdr:to>
    <cdr:sp macro="" textlink="">
      <cdr:nvSpPr>
        <cdr:cNvPr id="73741" name="Text Box 13"/>
        <cdr:cNvSpPr txBox="1">
          <a:spLocks xmlns:a="http://schemas.openxmlformats.org/drawingml/2006/main" noChangeArrowheads="1"/>
        </cdr:cNvSpPr>
      </cdr:nvSpPr>
      <cdr:spPr bwMode="auto">
        <a:xfrm xmlns:a="http://schemas.openxmlformats.org/drawingml/2006/main">
          <a:off x="2113324" y="2753006"/>
          <a:ext cx="220987"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0.3665</cdr:x>
      <cdr:y>0.5665</cdr:y>
    </cdr:from>
    <cdr:to>
      <cdr:x>0.39225</cdr:x>
      <cdr:y>0.59675</cdr:y>
    </cdr:to>
    <cdr:sp macro="" textlink="">
      <cdr:nvSpPr>
        <cdr:cNvPr id="73742" name="Text Box 14"/>
        <cdr:cNvSpPr txBox="1">
          <a:spLocks xmlns:a="http://schemas.openxmlformats.org/drawingml/2006/main" noChangeArrowheads="1"/>
        </cdr:cNvSpPr>
      </cdr:nvSpPr>
      <cdr:spPr bwMode="auto">
        <a:xfrm xmlns:a="http://schemas.openxmlformats.org/drawingml/2006/main">
          <a:off x="3145312" y="3307694"/>
          <a:ext cx="220987"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0.8175</cdr:x>
      <cdr:y>0.704</cdr:y>
    </cdr:from>
    <cdr:to>
      <cdr:x>0.863</cdr:x>
      <cdr:y>0.7335</cdr:y>
    </cdr:to>
    <cdr:sp macro="" textlink="">
      <cdr:nvSpPr>
        <cdr:cNvPr id="73743" name="Text Box 15"/>
        <cdr:cNvSpPr txBox="1">
          <a:spLocks xmlns:a="http://schemas.openxmlformats.org/drawingml/2006/main" noChangeArrowheads="1"/>
        </cdr:cNvSpPr>
      </cdr:nvSpPr>
      <cdr:spPr bwMode="auto">
        <a:xfrm xmlns:a="http://schemas.openxmlformats.org/drawingml/2006/main">
          <a:off x="7015805" y="4110533"/>
          <a:ext cx="390483"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0.74975</cdr:y>
    </cdr:from>
    <cdr:to>
      <cdr:x>0.863</cdr:x>
      <cdr:y>0.781</cdr:y>
    </cdr:to>
    <cdr:sp macro="" textlink="">
      <cdr:nvSpPr>
        <cdr:cNvPr id="73744" name="Text Box 16"/>
        <cdr:cNvSpPr txBox="1">
          <a:spLocks xmlns:a="http://schemas.openxmlformats.org/drawingml/2006/main" noChangeArrowheads="1"/>
        </cdr:cNvSpPr>
      </cdr:nvSpPr>
      <cdr:spPr bwMode="auto">
        <a:xfrm xmlns:a="http://schemas.openxmlformats.org/drawingml/2006/main">
          <a:off x="7015805" y="4377659"/>
          <a:ext cx="390483"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0.78425</cdr:y>
    </cdr:from>
    <cdr:to>
      <cdr:x>0.86175</cdr:x>
      <cdr:y>0.81375</cdr:y>
    </cdr:to>
    <cdr:sp macro="" textlink="">
      <cdr:nvSpPr>
        <cdr:cNvPr id="73745" name="Text Box 17"/>
        <cdr:cNvSpPr txBox="1">
          <a:spLocks xmlns:a="http://schemas.openxmlformats.org/drawingml/2006/main" noChangeArrowheads="1"/>
        </cdr:cNvSpPr>
      </cdr:nvSpPr>
      <cdr:spPr bwMode="auto">
        <a:xfrm xmlns:a="http://schemas.openxmlformats.org/drawingml/2006/main">
          <a:off x="7015805" y="4579099"/>
          <a:ext cx="379755"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0.82525</cdr:y>
    </cdr:from>
    <cdr:to>
      <cdr:x>0.863</cdr:x>
      <cdr:y>0.86775</cdr:y>
    </cdr:to>
    <cdr:sp macro="" textlink="">
      <cdr:nvSpPr>
        <cdr:cNvPr id="73746" name="Text Box 18"/>
        <cdr:cNvSpPr txBox="1">
          <a:spLocks xmlns:a="http://schemas.openxmlformats.org/drawingml/2006/main" noChangeArrowheads="1"/>
        </cdr:cNvSpPr>
      </cdr:nvSpPr>
      <cdr:spPr bwMode="auto">
        <a:xfrm xmlns:a="http://schemas.openxmlformats.org/drawingml/2006/main">
          <a:off x="7015805" y="4818490"/>
          <a:ext cx="390483"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0.8175</cdr:x>
      <cdr:y>0.867</cdr:y>
    </cdr:from>
    <cdr:to>
      <cdr:x>0.863</cdr:x>
      <cdr:y>0.9</cdr:y>
    </cdr:to>
    <cdr:sp macro="" textlink="">
      <cdr:nvSpPr>
        <cdr:cNvPr id="73747" name="Text Box 19"/>
        <cdr:cNvSpPr txBox="1">
          <a:spLocks xmlns:a="http://schemas.openxmlformats.org/drawingml/2006/main" noChangeArrowheads="1"/>
        </cdr:cNvSpPr>
      </cdr:nvSpPr>
      <cdr:spPr bwMode="auto">
        <a:xfrm xmlns:a="http://schemas.openxmlformats.org/drawingml/2006/main">
          <a:off x="7015805" y="5062261"/>
          <a:ext cx="390483" cy="1926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000" b="0" i="0" u="none" strike="noStrike" baseline="0">
              <a:solidFill>
                <a:srgbClr val="000000"/>
              </a:solidFill>
              <a:latin typeface="Arial"/>
              <a:cs typeface="Arial"/>
            </a:rPr>
            <a:t>Trend</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0.8115</cdr:x>
      <cdr:y>0.02725</cdr:y>
    </cdr:from>
    <cdr:to>
      <cdr:x>0.9095</cdr:x>
      <cdr:y>0.10725</cdr:y>
    </cdr:to>
    <cdr:sp macro="" textlink="">
      <cdr:nvSpPr>
        <cdr:cNvPr id="62465" name="Text Box 1"/>
        <cdr:cNvSpPr txBox="1">
          <a:spLocks xmlns:a="http://schemas.openxmlformats.org/drawingml/2006/main" noChangeArrowheads="1"/>
        </cdr:cNvSpPr>
      </cdr:nvSpPr>
      <cdr:spPr bwMode="auto">
        <a:xfrm xmlns:a="http://schemas.openxmlformats.org/drawingml/2006/main">
          <a:off x="6964313" y="159108"/>
          <a:ext cx="841039" cy="4671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0.696</cdr:x>
      <cdr:y>0.967</cdr:y>
    </cdr:from>
    <cdr:to>
      <cdr:x>0.9995</cdr:x>
      <cdr:y>0.9965</cdr:y>
    </cdr:to>
    <cdr:sp macro="" textlink="">
      <cdr:nvSpPr>
        <cdr:cNvPr id="62466" name="Text Box 2"/>
        <cdr:cNvSpPr txBox="1">
          <a:spLocks xmlns:a="http://schemas.openxmlformats.org/drawingml/2006/main" noChangeArrowheads="1"/>
        </cdr:cNvSpPr>
      </cdr:nvSpPr>
      <cdr:spPr bwMode="auto">
        <a:xfrm xmlns:a="http://schemas.openxmlformats.org/drawingml/2006/main">
          <a:off x="5973089" y="5646144"/>
          <a:ext cx="2604645"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0.5935</cdr:x>
      <cdr:y>0.08325</cdr:y>
    </cdr:from>
    <cdr:to>
      <cdr:x>0.742</cdr:x>
      <cdr:y>0.31915</cdr:y>
    </cdr:to>
    <cdr:sp macro="" textlink="">
      <cdr:nvSpPr>
        <cdr:cNvPr id="62467" name="Text Box 3"/>
        <cdr:cNvSpPr txBox="1">
          <a:spLocks xmlns:a="http://schemas.openxmlformats.org/drawingml/2006/main" noChangeArrowheads="1"/>
        </cdr:cNvSpPr>
      </cdr:nvSpPr>
      <cdr:spPr bwMode="auto">
        <a:xfrm xmlns:a="http://schemas.openxmlformats.org/drawingml/2006/main">
          <a:off x="5149610" y="524096"/>
          <a:ext cx="1288487" cy="148508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5   Stanflex</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p>
      </cdr:txBody>
    </cdr:sp>
  </cdr:relSizeAnchor>
  <cdr:relSizeAnchor xmlns:cdr="http://schemas.openxmlformats.org/drawingml/2006/chartDrawing">
    <cdr:from>
      <cdr:x>0.25025</cdr:x>
      <cdr:y>0.67575</cdr:y>
    </cdr:from>
    <cdr:to>
      <cdr:x>0.27425</cdr:x>
      <cdr:y>0.7085</cdr:y>
    </cdr:to>
    <cdr:sp macro="" textlink="">
      <cdr:nvSpPr>
        <cdr:cNvPr id="62468" name="Text Box 4"/>
        <cdr:cNvSpPr txBox="1">
          <a:spLocks xmlns:a="http://schemas.openxmlformats.org/drawingml/2006/main" noChangeArrowheads="1"/>
        </cdr:cNvSpPr>
      </cdr:nvSpPr>
      <cdr:spPr bwMode="auto">
        <a:xfrm xmlns:a="http://schemas.openxmlformats.org/drawingml/2006/main">
          <a:off x="2147652" y="3945586"/>
          <a:ext cx="205968"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0.43225</cdr:x>
      <cdr:y>0.55675</cdr:y>
    </cdr:from>
    <cdr:to>
      <cdr:x>0.45225</cdr:x>
      <cdr:y>0.583</cdr:y>
    </cdr:to>
    <cdr:sp macro="" textlink="">
      <cdr:nvSpPr>
        <cdr:cNvPr id="62469" name="Text Box 5"/>
        <cdr:cNvSpPr txBox="1">
          <a:spLocks xmlns:a="http://schemas.openxmlformats.org/drawingml/2006/main" noChangeArrowheads="1"/>
        </cdr:cNvSpPr>
      </cdr:nvSpPr>
      <cdr:spPr bwMode="auto">
        <a:xfrm xmlns:a="http://schemas.openxmlformats.org/drawingml/2006/main">
          <a:off x="3709580" y="3250766"/>
          <a:ext cx="171641"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0.4665</cdr:x>
      <cdr:y>0.67575</cdr:y>
    </cdr:from>
    <cdr:to>
      <cdr:x>0.49775</cdr:x>
      <cdr:y>0.7045</cdr:y>
    </cdr:to>
    <cdr:sp macro="" textlink="">
      <cdr:nvSpPr>
        <cdr:cNvPr id="62470" name="Text Box 6"/>
        <cdr:cNvSpPr txBox="1">
          <a:spLocks xmlns:a="http://schemas.openxmlformats.org/drawingml/2006/main" noChangeArrowheads="1"/>
        </cdr:cNvSpPr>
      </cdr:nvSpPr>
      <cdr:spPr bwMode="auto">
        <a:xfrm xmlns:a="http://schemas.openxmlformats.org/drawingml/2006/main">
          <a:off x="4003515" y="3945586"/>
          <a:ext cx="268188"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0.26625</cdr:x>
      <cdr:y>0.82925</cdr:y>
    </cdr:from>
    <cdr:to>
      <cdr:x>0.29975</cdr:x>
      <cdr:y>0.862</cdr:y>
    </cdr:to>
    <cdr:sp macro="" textlink="">
      <cdr:nvSpPr>
        <cdr:cNvPr id="62471" name="Text Box 7"/>
        <cdr:cNvSpPr txBox="1">
          <a:spLocks xmlns:a="http://schemas.openxmlformats.org/drawingml/2006/main" noChangeArrowheads="1"/>
        </cdr:cNvSpPr>
      </cdr:nvSpPr>
      <cdr:spPr bwMode="auto">
        <a:xfrm xmlns:a="http://schemas.openxmlformats.org/drawingml/2006/main">
          <a:off x="2284964" y="4841846"/>
          <a:ext cx="287498"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0.346</cdr:x>
      <cdr:y>0.862</cdr:y>
    </cdr:from>
    <cdr:to>
      <cdr:x>0.37525</cdr:x>
      <cdr:y>0.88825</cdr:y>
    </cdr:to>
    <cdr:sp macro="" textlink="">
      <cdr:nvSpPr>
        <cdr:cNvPr id="62472" name="Text Box 8"/>
        <cdr:cNvSpPr txBox="1">
          <a:spLocks xmlns:a="http://schemas.openxmlformats.org/drawingml/2006/main" noChangeArrowheads="1"/>
        </cdr:cNvSpPr>
      </cdr:nvSpPr>
      <cdr:spPr bwMode="auto">
        <a:xfrm xmlns:a="http://schemas.openxmlformats.org/drawingml/2006/main">
          <a:off x="2969381" y="5033067"/>
          <a:ext cx="251024"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0.2375</cdr:x>
      <cdr:y>0.48775</cdr:y>
    </cdr:from>
    <cdr:to>
      <cdr:x>0.26625</cdr:x>
      <cdr:y>0.51825</cdr:y>
    </cdr:to>
    <cdr:sp macro="" textlink="">
      <cdr:nvSpPr>
        <cdr:cNvPr id="62473" name="Text Box 9"/>
        <cdr:cNvSpPr txBox="1">
          <a:spLocks xmlns:a="http://schemas.openxmlformats.org/drawingml/2006/main" noChangeArrowheads="1"/>
        </cdr:cNvSpPr>
      </cdr:nvSpPr>
      <cdr:spPr bwMode="auto">
        <a:xfrm xmlns:a="http://schemas.openxmlformats.org/drawingml/2006/main">
          <a:off x="2038231" y="2847887"/>
          <a:ext cx="246733"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0.18</cdr:x>
      <cdr:y>0.752</cdr:y>
    </cdr:from>
    <cdr:to>
      <cdr:x>0.28775</cdr:x>
      <cdr:y>0.8095</cdr:y>
    </cdr:to>
    <cdr:sp macro="" textlink="">
      <cdr:nvSpPr>
        <cdr:cNvPr id="62474" name="Text Box 10"/>
        <cdr:cNvSpPr txBox="1">
          <a:spLocks xmlns:a="http://schemas.openxmlformats.org/drawingml/2006/main" noChangeArrowheads="1"/>
        </cdr:cNvSpPr>
      </cdr:nvSpPr>
      <cdr:spPr bwMode="auto">
        <a:xfrm xmlns:a="http://schemas.openxmlformats.org/drawingml/2006/main">
          <a:off x="1544765" y="4390796"/>
          <a:ext cx="924713" cy="3357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5 (GRP/Steel)</a:t>
          </a:r>
        </a:p>
      </cdr:txBody>
    </cdr:sp>
  </cdr:relSizeAnchor>
  <cdr:relSizeAnchor xmlns:cdr="http://schemas.openxmlformats.org/drawingml/2006/chartDrawing">
    <cdr:from>
      <cdr:x>0.19675</cdr:x>
      <cdr:y>0.74225</cdr:y>
    </cdr:from>
    <cdr:to>
      <cdr:x>0.2375</cdr:x>
      <cdr:y>0.77425</cdr:y>
    </cdr:to>
    <cdr:sp macro="" textlink="">
      <cdr:nvSpPr>
        <cdr:cNvPr id="62475" name="Oval 11"/>
        <cdr:cNvSpPr>
          <a:spLocks xmlns:a="http://schemas.openxmlformats.org/drawingml/2006/main" noChangeArrowheads="1"/>
        </cdr:cNvSpPr>
      </cdr:nvSpPr>
      <cdr:spPr bwMode="auto">
        <a:xfrm xmlns:a="http://schemas.openxmlformats.org/drawingml/2006/main">
          <a:off x="1688513" y="4333868"/>
          <a:ext cx="349718" cy="186842"/>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0.15125</cdr:x>
      <cdr:y>0.73475</cdr:y>
    </cdr:from>
    <cdr:to>
      <cdr:x>0.176</cdr:x>
      <cdr:y>0.76675</cdr:y>
    </cdr:to>
    <cdr:sp macro="" textlink="">
      <cdr:nvSpPr>
        <cdr:cNvPr id="62476" name="Text Box 12"/>
        <cdr:cNvSpPr txBox="1">
          <a:spLocks xmlns:a="http://schemas.openxmlformats.org/drawingml/2006/main" noChangeArrowheads="1"/>
        </cdr:cNvSpPr>
      </cdr:nvSpPr>
      <cdr:spPr bwMode="auto">
        <a:xfrm xmlns:a="http://schemas.openxmlformats.org/drawingml/2006/main">
          <a:off x="1298031" y="4290077"/>
          <a:ext cx="212405"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a:t>
          </a:r>
        </a:p>
      </cdr:txBody>
    </cdr:sp>
  </cdr:relSizeAnchor>
  <cdr:relSizeAnchor xmlns:cdr="http://schemas.openxmlformats.org/drawingml/2006/chartDrawing">
    <cdr:from>
      <cdr:x>0.8065</cdr:x>
      <cdr:y>0.67825</cdr:y>
    </cdr:from>
    <cdr:to>
      <cdr:x>0.85125</cdr:x>
      <cdr:y>0.7085</cdr:y>
    </cdr:to>
    <cdr:sp macro="" textlink="">
      <cdr:nvSpPr>
        <cdr:cNvPr id="62477" name="Text Box 13"/>
        <cdr:cNvSpPr txBox="1">
          <a:spLocks xmlns:a="http://schemas.openxmlformats.org/drawingml/2006/main" noChangeArrowheads="1"/>
        </cdr:cNvSpPr>
      </cdr:nvSpPr>
      <cdr:spPr bwMode="auto">
        <a:xfrm xmlns:a="http://schemas.openxmlformats.org/drawingml/2006/main">
          <a:off x="6921403" y="3960183"/>
          <a:ext cx="384046" cy="1766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0.8065</cdr:x>
      <cdr:y>0.72175</cdr:y>
    </cdr:from>
    <cdr:to>
      <cdr:x>0.85175</cdr:x>
      <cdr:y>0.75275</cdr:y>
    </cdr:to>
    <cdr:sp macro="" textlink="">
      <cdr:nvSpPr>
        <cdr:cNvPr id="62479" name="Text Box 15"/>
        <cdr:cNvSpPr txBox="1">
          <a:spLocks xmlns:a="http://schemas.openxmlformats.org/drawingml/2006/main" noChangeArrowheads="1"/>
        </cdr:cNvSpPr>
      </cdr:nvSpPr>
      <cdr:spPr bwMode="auto">
        <a:xfrm xmlns:a="http://schemas.openxmlformats.org/drawingml/2006/main">
          <a:off x="6921403" y="4214172"/>
          <a:ext cx="388337" cy="18100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0.8055</cdr:x>
      <cdr:y>0.76675</cdr:y>
    </cdr:from>
    <cdr:to>
      <cdr:x>0.85075</cdr:x>
      <cdr:y>0.79725</cdr:y>
    </cdr:to>
    <cdr:sp macro="" textlink="">
      <cdr:nvSpPr>
        <cdr:cNvPr id="62480" name="Text Box 16"/>
        <cdr:cNvSpPr txBox="1">
          <a:spLocks xmlns:a="http://schemas.openxmlformats.org/drawingml/2006/main" noChangeArrowheads="1"/>
        </cdr:cNvSpPr>
      </cdr:nvSpPr>
      <cdr:spPr bwMode="auto">
        <a:xfrm xmlns:a="http://schemas.openxmlformats.org/drawingml/2006/main">
          <a:off x="6912821" y="4476919"/>
          <a:ext cx="388337" cy="17808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0.8065</cdr:x>
      <cdr:y>0.8095</cdr:y>
    </cdr:from>
    <cdr:to>
      <cdr:x>0.85175</cdr:x>
      <cdr:y>0.84075</cdr:y>
    </cdr:to>
    <cdr:sp macro="" textlink="">
      <cdr:nvSpPr>
        <cdr:cNvPr id="62481" name="Text Box 17"/>
        <cdr:cNvSpPr txBox="1">
          <a:spLocks xmlns:a="http://schemas.openxmlformats.org/drawingml/2006/main" noChangeArrowheads="1"/>
        </cdr:cNvSpPr>
      </cdr:nvSpPr>
      <cdr:spPr bwMode="auto">
        <a:xfrm xmlns:a="http://schemas.openxmlformats.org/drawingml/2006/main">
          <a:off x="6921403" y="4726529"/>
          <a:ext cx="388337"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0.8045</cdr:x>
      <cdr:y>0.857</cdr:y>
    </cdr:from>
    <cdr:to>
      <cdr:x>0.85025</cdr:x>
      <cdr:y>0.8875</cdr:y>
    </cdr:to>
    <cdr:sp macro="" textlink="">
      <cdr:nvSpPr>
        <cdr:cNvPr id="62482" name="Text Box 18"/>
        <cdr:cNvSpPr txBox="1">
          <a:spLocks xmlns:a="http://schemas.openxmlformats.org/drawingml/2006/main" noChangeArrowheads="1"/>
        </cdr:cNvSpPr>
      </cdr:nvSpPr>
      <cdr:spPr bwMode="auto">
        <a:xfrm xmlns:a="http://schemas.openxmlformats.org/drawingml/2006/main">
          <a:off x="6904239" y="5003873"/>
          <a:ext cx="392628" cy="17808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0.81725</cdr:x>
      <cdr:y>0.02725</cdr:y>
    </cdr:from>
    <cdr:to>
      <cdr:x>0.9125</cdr:x>
      <cdr:y>0.10725</cdr:y>
    </cdr:to>
    <cdr:sp macro="" textlink="">
      <cdr:nvSpPr>
        <cdr:cNvPr id="64513" name="Text Box 1"/>
        <cdr:cNvSpPr txBox="1">
          <a:spLocks xmlns:a="http://schemas.openxmlformats.org/drawingml/2006/main" noChangeArrowheads="1"/>
        </cdr:cNvSpPr>
      </cdr:nvSpPr>
      <cdr:spPr bwMode="auto">
        <a:xfrm xmlns:a="http://schemas.openxmlformats.org/drawingml/2006/main">
          <a:off x="7013660" y="159108"/>
          <a:ext cx="817438" cy="4671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0.703</cdr:x>
      <cdr:y>0.967</cdr:y>
    </cdr:from>
    <cdr:to>
      <cdr:x>0.9995</cdr:x>
      <cdr:y>0.9965</cdr:y>
    </cdr:to>
    <cdr:sp macro="" textlink="">
      <cdr:nvSpPr>
        <cdr:cNvPr id="64514" name="Text Box 2"/>
        <cdr:cNvSpPr txBox="1">
          <a:spLocks xmlns:a="http://schemas.openxmlformats.org/drawingml/2006/main" noChangeArrowheads="1"/>
        </cdr:cNvSpPr>
      </cdr:nvSpPr>
      <cdr:spPr bwMode="auto">
        <a:xfrm xmlns:a="http://schemas.openxmlformats.org/drawingml/2006/main">
          <a:off x="6033164" y="5646144"/>
          <a:ext cx="2544570"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0.089</cdr:x>
      <cdr:y>0.08325</cdr:y>
    </cdr:from>
    <cdr:to>
      <cdr:x>0.23925</cdr:x>
      <cdr:y>0.31083</cdr:y>
    </cdr:to>
    <cdr:sp macro="" textlink="">
      <cdr:nvSpPr>
        <cdr:cNvPr id="64515" name="Text Box 3"/>
        <cdr:cNvSpPr txBox="1">
          <a:spLocks xmlns:a="http://schemas.openxmlformats.org/drawingml/2006/main" noChangeArrowheads="1"/>
        </cdr:cNvSpPr>
      </cdr:nvSpPr>
      <cdr:spPr bwMode="auto">
        <a:xfrm xmlns:a="http://schemas.openxmlformats.org/drawingml/2006/main">
          <a:off x="764277" y="486305"/>
          <a:ext cx="1290254" cy="132939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5   Stanflex</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p>
      </cdr:txBody>
    </cdr:sp>
  </cdr:relSizeAnchor>
  <cdr:relSizeAnchor xmlns:cdr="http://schemas.openxmlformats.org/drawingml/2006/chartDrawing">
    <cdr:from>
      <cdr:x>0.42875</cdr:x>
      <cdr:y>0.67575</cdr:y>
    </cdr:from>
    <cdr:to>
      <cdr:x>0.45325</cdr:x>
      <cdr:y>0.7085</cdr:y>
    </cdr:to>
    <cdr:sp macro="" textlink="">
      <cdr:nvSpPr>
        <cdr:cNvPr id="64516" name="Text Box 4"/>
        <cdr:cNvSpPr txBox="1">
          <a:spLocks xmlns:a="http://schemas.openxmlformats.org/drawingml/2006/main" noChangeArrowheads="1"/>
        </cdr:cNvSpPr>
      </cdr:nvSpPr>
      <cdr:spPr bwMode="auto">
        <a:xfrm xmlns:a="http://schemas.openxmlformats.org/drawingml/2006/main">
          <a:off x="3679543" y="3945586"/>
          <a:ext cx="210260"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0.525</cdr:x>
      <cdr:y>0.55675</cdr:y>
    </cdr:from>
    <cdr:to>
      <cdr:x>0.54525</cdr:x>
      <cdr:y>0.583</cdr:y>
    </cdr:to>
    <cdr:sp macro="" textlink="">
      <cdr:nvSpPr>
        <cdr:cNvPr id="64517" name="Text Box 5"/>
        <cdr:cNvSpPr txBox="1">
          <a:spLocks xmlns:a="http://schemas.openxmlformats.org/drawingml/2006/main" noChangeArrowheads="1"/>
        </cdr:cNvSpPr>
      </cdr:nvSpPr>
      <cdr:spPr bwMode="auto">
        <a:xfrm xmlns:a="http://schemas.openxmlformats.org/drawingml/2006/main">
          <a:off x="4505563" y="3250766"/>
          <a:ext cx="173786"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0.5445</cdr:x>
      <cdr:y>0.67575</cdr:y>
    </cdr:from>
    <cdr:to>
      <cdr:x>0.5765</cdr:x>
      <cdr:y>0.7045</cdr:y>
    </cdr:to>
    <cdr:sp macro="" textlink="">
      <cdr:nvSpPr>
        <cdr:cNvPr id="64518" name="Text Box 6"/>
        <cdr:cNvSpPr txBox="1">
          <a:spLocks xmlns:a="http://schemas.openxmlformats.org/drawingml/2006/main" noChangeArrowheads="1"/>
        </cdr:cNvSpPr>
      </cdr:nvSpPr>
      <cdr:spPr bwMode="auto">
        <a:xfrm xmlns:a="http://schemas.openxmlformats.org/drawingml/2006/main">
          <a:off x="4672913" y="3945586"/>
          <a:ext cx="274624"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0.53375</cdr:x>
      <cdr:y>0.82925</cdr:y>
    </cdr:from>
    <cdr:to>
      <cdr:x>0.56775</cdr:x>
      <cdr:y>0.862</cdr:y>
    </cdr:to>
    <cdr:sp macro="" textlink="">
      <cdr:nvSpPr>
        <cdr:cNvPr id="64519" name="Text Box 7"/>
        <cdr:cNvSpPr txBox="1">
          <a:spLocks xmlns:a="http://schemas.openxmlformats.org/drawingml/2006/main" noChangeArrowheads="1"/>
        </cdr:cNvSpPr>
      </cdr:nvSpPr>
      <cdr:spPr bwMode="auto">
        <a:xfrm xmlns:a="http://schemas.openxmlformats.org/drawingml/2006/main">
          <a:off x="4580656" y="4841846"/>
          <a:ext cx="291789"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0.48775</cdr:x>
      <cdr:y>0.8505</cdr:y>
    </cdr:from>
    <cdr:to>
      <cdr:x>0.5175</cdr:x>
      <cdr:y>0.87675</cdr:y>
    </cdr:to>
    <cdr:sp macro="" textlink="">
      <cdr:nvSpPr>
        <cdr:cNvPr id="64520" name="Text Box 8"/>
        <cdr:cNvSpPr txBox="1">
          <a:spLocks xmlns:a="http://schemas.openxmlformats.org/drawingml/2006/main" noChangeArrowheads="1"/>
        </cdr:cNvSpPr>
      </cdr:nvSpPr>
      <cdr:spPr bwMode="auto">
        <a:xfrm xmlns:a="http://schemas.openxmlformats.org/drawingml/2006/main">
          <a:off x="4185883" y="4965921"/>
          <a:ext cx="255315"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0.51625</cdr:x>
      <cdr:y>0.4805</cdr:y>
    </cdr:from>
    <cdr:to>
      <cdr:x>0.54525</cdr:x>
      <cdr:y>0.51075</cdr:y>
    </cdr:to>
    <cdr:sp macro="" textlink="">
      <cdr:nvSpPr>
        <cdr:cNvPr id="64521" name="Text Box 9"/>
        <cdr:cNvSpPr txBox="1">
          <a:spLocks xmlns:a="http://schemas.openxmlformats.org/drawingml/2006/main" noChangeArrowheads="1"/>
        </cdr:cNvSpPr>
      </cdr:nvSpPr>
      <cdr:spPr bwMode="auto">
        <a:xfrm xmlns:a="http://schemas.openxmlformats.org/drawingml/2006/main">
          <a:off x="4430470" y="2805555"/>
          <a:ext cx="248879"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0.44575</cdr:x>
      <cdr:y>0.7635</cdr:y>
    </cdr:from>
    <cdr:to>
      <cdr:x>0.466</cdr:x>
      <cdr:y>0.79475</cdr:y>
    </cdr:to>
    <cdr:sp macro="" textlink="">
      <cdr:nvSpPr>
        <cdr:cNvPr id="64522" name="Text Box 10"/>
        <cdr:cNvSpPr txBox="1">
          <a:spLocks xmlns:a="http://schemas.openxmlformats.org/drawingml/2006/main" noChangeArrowheads="1"/>
        </cdr:cNvSpPr>
      </cdr:nvSpPr>
      <cdr:spPr bwMode="auto">
        <a:xfrm xmlns:a="http://schemas.openxmlformats.org/drawingml/2006/main">
          <a:off x="3825438" y="4457943"/>
          <a:ext cx="17378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5</a:t>
          </a:r>
        </a:p>
      </cdr:txBody>
    </cdr:sp>
  </cdr:relSizeAnchor>
  <cdr:relSizeAnchor xmlns:cdr="http://schemas.openxmlformats.org/drawingml/2006/chartDrawing">
    <cdr:from>
      <cdr:x>0.345</cdr:x>
      <cdr:y>0.74225</cdr:y>
    </cdr:from>
    <cdr:to>
      <cdr:x>0.37</cdr:x>
      <cdr:y>0.77425</cdr:y>
    </cdr:to>
    <cdr:sp macro="" textlink="">
      <cdr:nvSpPr>
        <cdr:cNvPr id="64524" name="Text Box 12"/>
        <cdr:cNvSpPr txBox="1">
          <a:spLocks xmlns:a="http://schemas.openxmlformats.org/drawingml/2006/main" noChangeArrowheads="1"/>
        </cdr:cNvSpPr>
      </cdr:nvSpPr>
      <cdr:spPr bwMode="auto">
        <a:xfrm xmlns:a="http://schemas.openxmlformats.org/drawingml/2006/main">
          <a:off x="2960799" y="4333868"/>
          <a:ext cx="214550"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a:t>
          </a:r>
        </a:p>
      </cdr:txBody>
    </cdr:sp>
  </cdr:relSizeAnchor>
  <cdr:relSizeAnchor xmlns:cdr="http://schemas.openxmlformats.org/drawingml/2006/chartDrawing">
    <cdr:from>
      <cdr:x>0.81125</cdr:x>
      <cdr:y>0.67575</cdr:y>
    </cdr:from>
    <cdr:to>
      <cdr:x>0.85675</cdr:x>
      <cdr:y>0.707</cdr:y>
    </cdr:to>
    <cdr:sp macro="" textlink="">
      <cdr:nvSpPr>
        <cdr:cNvPr id="64525" name="Text Box 13"/>
        <cdr:cNvSpPr txBox="1">
          <a:spLocks xmlns:a="http://schemas.openxmlformats.org/drawingml/2006/main" noChangeArrowheads="1"/>
        </cdr:cNvSpPr>
      </cdr:nvSpPr>
      <cdr:spPr bwMode="auto">
        <a:xfrm xmlns:a="http://schemas.openxmlformats.org/drawingml/2006/main">
          <a:off x="6962168" y="3945586"/>
          <a:ext cx="39048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0.81125</cdr:x>
      <cdr:y>0.72</cdr:y>
    </cdr:from>
    <cdr:to>
      <cdr:x>0.85675</cdr:x>
      <cdr:y>0.75125</cdr:y>
    </cdr:to>
    <cdr:sp macro="" textlink="">
      <cdr:nvSpPr>
        <cdr:cNvPr id="64526" name="Text Box 14"/>
        <cdr:cNvSpPr txBox="1">
          <a:spLocks xmlns:a="http://schemas.openxmlformats.org/drawingml/2006/main" noChangeArrowheads="1"/>
        </cdr:cNvSpPr>
      </cdr:nvSpPr>
      <cdr:spPr bwMode="auto">
        <a:xfrm xmlns:a="http://schemas.openxmlformats.org/drawingml/2006/main">
          <a:off x="6962168" y="4203954"/>
          <a:ext cx="39048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0.8105</cdr:x>
      <cdr:y>0.7635</cdr:y>
    </cdr:from>
    <cdr:to>
      <cdr:x>0.8555</cdr:x>
      <cdr:y>0.79475</cdr:y>
    </cdr:to>
    <cdr:sp macro="" textlink="">
      <cdr:nvSpPr>
        <cdr:cNvPr id="64527" name="Text Box 15"/>
        <cdr:cNvSpPr txBox="1">
          <a:spLocks xmlns:a="http://schemas.openxmlformats.org/drawingml/2006/main" noChangeArrowheads="1"/>
        </cdr:cNvSpPr>
      </cdr:nvSpPr>
      <cdr:spPr bwMode="auto">
        <a:xfrm xmlns:a="http://schemas.openxmlformats.org/drawingml/2006/main">
          <a:off x="6955731" y="4457943"/>
          <a:ext cx="386191"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0.81125</cdr:x>
      <cdr:y>0.807</cdr:y>
    </cdr:from>
    <cdr:to>
      <cdr:x>0.85675</cdr:x>
      <cdr:y>0.839</cdr:y>
    </cdr:to>
    <cdr:sp macro="" textlink="">
      <cdr:nvSpPr>
        <cdr:cNvPr id="64528" name="Text Box 16"/>
        <cdr:cNvSpPr txBox="1">
          <a:spLocks xmlns:a="http://schemas.openxmlformats.org/drawingml/2006/main" noChangeArrowheads="1"/>
        </cdr:cNvSpPr>
      </cdr:nvSpPr>
      <cdr:spPr bwMode="auto">
        <a:xfrm xmlns:a="http://schemas.openxmlformats.org/drawingml/2006/main">
          <a:off x="6962168" y="4711932"/>
          <a:ext cx="390482" cy="186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0.80875</cdr:x>
      <cdr:y>0.853</cdr:y>
    </cdr:from>
    <cdr:to>
      <cdr:x>0.854</cdr:x>
      <cdr:y>0.88425</cdr:y>
    </cdr:to>
    <cdr:sp macro="" textlink="">
      <cdr:nvSpPr>
        <cdr:cNvPr id="64529" name="Text Box 17"/>
        <cdr:cNvSpPr txBox="1">
          <a:spLocks xmlns:a="http://schemas.openxmlformats.org/drawingml/2006/main" noChangeArrowheads="1"/>
        </cdr:cNvSpPr>
      </cdr:nvSpPr>
      <cdr:spPr bwMode="auto">
        <a:xfrm xmlns:a="http://schemas.openxmlformats.org/drawingml/2006/main">
          <a:off x="6940713" y="4980518"/>
          <a:ext cx="388336"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0.80575</cdr:x>
      <cdr:y>0.06725</cdr:y>
    </cdr:from>
    <cdr:to>
      <cdr:x>0.90525</cdr:x>
      <cdr:y>0.116</cdr:y>
    </cdr:to>
    <cdr:sp macro="" textlink="">
      <cdr:nvSpPr>
        <cdr:cNvPr id="3073" name="Text Box 1"/>
        <cdr:cNvSpPr txBox="1">
          <a:spLocks xmlns:a="http://schemas.openxmlformats.org/drawingml/2006/main" noChangeArrowheads="1"/>
        </cdr:cNvSpPr>
      </cdr:nvSpPr>
      <cdr:spPr bwMode="auto">
        <a:xfrm xmlns:a="http://schemas.openxmlformats.org/drawingml/2006/main">
          <a:off x="6914967" y="392661"/>
          <a:ext cx="853911" cy="2846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0.5335</cdr:x>
      <cdr:y>0.53375</cdr:y>
    </cdr:from>
    <cdr:to>
      <cdr:x>0.5595</cdr:x>
      <cdr:y>0.5625</cdr:y>
    </cdr:to>
    <cdr:sp macro="" textlink="">
      <cdr:nvSpPr>
        <cdr:cNvPr id="3074" name="Text Box 2"/>
        <cdr:cNvSpPr txBox="1">
          <a:spLocks xmlns:a="http://schemas.openxmlformats.org/drawingml/2006/main" noChangeArrowheads="1"/>
        </cdr:cNvSpPr>
      </cdr:nvSpPr>
      <cdr:spPr bwMode="auto">
        <a:xfrm xmlns:a="http://schemas.openxmlformats.org/drawingml/2006/main">
          <a:off x="4578510" y="3116473"/>
          <a:ext cx="223133"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0.28325</cdr:x>
      <cdr:y>0.62575</cdr:y>
    </cdr:from>
    <cdr:to>
      <cdr:x>0.3005</cdr:x>
      <cdr:y>0.6555</cdr:y>
    </cdr:to>
    <cdr:sp macro="" textlink="">
      <cdr:nvSpPr>
        <cdr:cNvPr id="3075" name="Text Box 3"/>
        <cdr:cNvSpPr txBox="1">
          <a:spLocks xmlns:a="http://schemas.openxmlformats.org/drawingml/2006/main" noChangeArrowheads="1"/>
        </cdr:cNvSpPr>
      </cdr:nvSpPr>
      <cdr:spPr bwMode="auto">
        <a:xfrm xmlns:a="http://schemas.openxmlformats.org/drawingml/2006/main">
          <a:off x="2430859" y="3653645"/>
          <a:ext cx="148040"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0.319</cdr:x>
      <cdr:y>0.6175</cdr:y>
    </cdr:from>
    <cdr:to>
      <cdr:x>0.33525</cdr:x>
      <cdr:y>0.648</cdr:y>
    </cdr:to>
    <cdr:sp macro="" textlink="">
      <cdr:nvSpPr>
        <cdr:cNvPr id="3076" name="Text Box 4"/>
        <cdr:cNvSpPr txBox="1">
          <a:spLocks xmlns:a="http://schemas.openxmlformats.org/drawingml/2006/main" noChangeArrowheads="1"/>
        </cdr:cNvSpPr>
      </cdr:nvSpPr>
      <cdr:spPr bwMode="auto">
        <a:xfrm xmlns:a="http://schemas.openxmlformats.org/drawingml/2006/main">
          <a:off x="2737666" y="3605474"/>
          <a:ext cx="139458" cy="178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0.379</cdr:x>
      <cdr:y>0.546</cdr:y>
    </cdr:from>
    <cdr:to>
      <cdr:x>0.39825</cdr:x>
      <cdr:y>0.5765</cdr:y>
    </cdr:to>
    <cdr:sp macro="" textlink="">
      <cdr:nvSpPr>
        <cdr:cNvPr id="3077" name="Text Box 5"/>
        <cdr:cNvSpPr txBox="1">
          <a:spLocks xmlns:a="http://schemas.openxmlformats.org/drawingml/2006/main" noChangeArrowheads="1"/>
        </cdr:cNvSpPr>
      </cdr:nvSpPr>
      <cdr:spPr bwMode="auto">
        <a:xfrm xmlns:a="http://schemas.openxmlformats.org/drawingml/2006/main">
          <a:off x="3252587" y="3187998"/>
          <a:ext cx="165204" cy="178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0.4105</cdr:x>
      <cdr:y>0.49275</cdr:y>
    </cdr:from>
    <cdr:to>
      <cdr:x>0.4345</cdr:x>
      <cdr:y>0.523</cdr:y>
    </cdr:to>
    <cdr:sp macro="" textlink="">
      <cdr:nvSpPr>
        <cdr:cNvPr id="3078" name="Text Box 6"/>
        <cdr:cNvSpPr txBox="1">
          <a:spLocks xmlns:a="http://schemas.openxmlformats.org/drawingml/2006/main" noChangeArrowheads="1"/>
        </cdr:cNvSpPr>
      </cdr:nvSpPr>
      <cdr:spPr bwMode="auto">
        <a:xfrm xmlns:a="http://schemas.openxmlformats.org/drawingml/2006/main">
          <a:off x="3522921" y="2877081"/>
          <a:ext cx="205969" cy="1766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0.481</cdr:x>
      <cdr:y>0.5625</cdr:y>
    </cdr:from>
    <cdr:to>
      <cdr:x>0.50775</cdr:x>
      <cdr:y>0.59125</cdr:y>
    </cdr:to>
    <cdr:sp macro="" textlink="">
      <cdr:nvSpPr>
        <cdr:cNvPr id="3079" name="Text Box 7"/>
        <cdr:cNvSpPr txBox="1">
          <a:spLocks xmlns:a="http://schemas.openxmlformats.org/drawingml/2006/main" noChangeArrowheads="1"/>
        </cdr:cNvSpPr>
      </cdr:nvSpPr>
      <cdr:spPr bwMode="auto">
        <a:xfrm xmlns:a="http://schemas.openxmlformats.org/drawingml/2006/main">
          <a:off x="4127954" y="3284339"/>
          <a:ext cx="229569"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0.552</cdr:x>
      <cdr:y>0.41875</cdr:y>
    </cdr:from>
    <cdr:to>
      <cdr:x>0.5815</cdr:x>
      <cdr:y>0.45225</cdr:y>
    </cdr:to>
    <cdr:sp macro="" textlink="">
      <cdr:nvSpPr>
        <cdr:cNvPr id="3080" name="Text Box 8"/>
        <cdr:cNvSpPr txBox="1">
          <a:spLocks xmlns:a="http://schemas.openxmlformats.org/drawingml/2006/main" noChangeArrowheads="1"/>
        </cdr:cNvSpPr>
      </cdr:nvSpPr>
      <cdr:spPr bwMode="auto">
        <a:xfrm xmlns:a="http://schemas.openxmlformats.org/drawingml/2006/main">
          <a:off x="4737278" y="2445008"/>
          <a:ext cx="253170" cy="195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0.552</cdr:x>
      <cdr:y>0.45725</cdr:y>
    </cdr:from>
    <cdr:to>
      <cdr:x>0.5815</cdr:x>
      <cdr:y>0.48525</cdr:y>
    </cdr:to>
    <cdr:sp macro="" textlink="">
      <cdr:nvSpPr>
        <cdr:cNvPr id="3081" name="Text Box 9"/>
        <cdr:cNvSpPr txBox="1">
          <a:spLocks xmlns:a="http://schemas.openxmlformats.org/drawingml/2006/main" noChangeArrowheads="1"/>
        </cdr:cNvSpPr>
      </cdr:nvSpPr>
      <cdr:spPr bwMode="auto">
        <a:xfrm xmlns:a="http://schemas.openxmlformats.org/drawingml/2006/main">
          <a:off x="4737278" y="2669803"/>
          <a:ext cx="253170"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0.50775</cdr:x>
      <cdr:y>0.48525</cdr:y>
    </cdr:from>
    <cdr:to>
      <cdr:x>0.5335</cdr:x>
      <cdr:y>0.51225</cdr:y>
    </cdr:to>
    <cdr:sp macro="" textlink="">
      <cdr:nvSpPr>
        <cdr:cNvPr id="3082" name="Text Box 10"/>
        <cdr:cNvSpPr txBox="1">
          <a:spLocks xmlns:a="http://schemas.openxmlformats.org/drawingml/2006/main" noChangeArrowheads="1"/>
        </cdr:cNvSpPr>
      </cdr:nvSpPr>
      <cdr:spPr bwMode="auto">
        <a:xfrm xmlns:a="http://schemas.openxmlformats.org/drawingml/2006/main">
          <a:off x="4357523" y="2833290"/>
          <a:ext cx="220987" cy="1576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0.418</cdr:x>
      <cdr:y>0.51725</cdr:y>
    </cdr:from>
    <cdr:to>
      <cdr:x>0.444</cdr:x>
      <cdr:y>0.546</cdr:y>
    </cdr:to>
    <cdr:sp macro="" textlink="">
      <cdr:nvSpPr>
        <cdr:cNvPr id="3083" name="Text Box 11"/>
        <cdr:cNvSpPr txBox="1">
          <a:spLocks xmlns:a="http://schemas.openxmlformats.org/drawingml/2006/main" noChangeArrowheads="1"/>
        </cdr:cNvSpPr>
      </cdr:nvSpPr>
      <cdr:spPr bwMode="auto">
        <a:xfrm xmlns:a="http://schemas.openxmlformats.org/drawingml/2006/main">
          <a:off x="3587286" y="3020132"/>
          <a:ext cx="223133"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0.44475</cdr:x>
      <cdr:y>0.445</cdr:y>
    </cdr:from>
    <cdr:to>
      <cdr:x>0.4665</cdr:x>
      <cdr:y>0.473</cdr:y>
    </cdr:to>
    <cdr:sp macro="" textlink="">
      <cdr:nvSpPr>
        <cdr:cNvPr id="3084" name="Text Box 12"/>
        <cdr:cNvSpPr txBox="1">
          <a:spLocks xmlns:a="http://schemas.openxmlformats.org/drawingml/2006/main" noChangeArrowheads="1"/>
        </cdr:cNvSpPr>
      </cdr:nvSpPr>
      <cdr:spPr bwMode="auto">
        <a:xfrm xmlns:a="http://schemas.openxmlformats.org/drawingml/2006/main">
          <a:off x="3816856" y="2598277"/>
          <a:ext cx="186659"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0.68825</cdr:x>
      <cdr:y>0.95475</cdr:y>
    </cdr:from>
    <cdr:to>
      <cdr:x>0.9905</cdr:x>
      <cdr:y>0.986</cdr:y>
    </cdr:to>
    <cdr:sp macro="" textlink="">
      <cdr:nvSpPr>
        <cdr:cNvPr id="3085" name="Text Box 13"/>
        <cdr:cNvSpPr txBox="1">
          <a:spLocks xmlns:a="http://schemas.openxmlformats.org/drawingml/2006/main" noChangeArrowheads="1"/>
        </cdr:cNvSpPr>
      </cdr:nvSpPr>
      <cdr:spPr bwMode="auto">
        <a:xfrm xmlns:a="http://schemas.openxmlformats.org/drawingml/2006/main">
          <a:off x="5906579" y="5574618"/>
          <a:ext cx="2593917"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0.08225</cdr:x>
      <cdr:y>0.08325</cdr:y>
    </cdr:from>
    <cdr:to>
      <cdr:x>0.23</cdr:x>
      <cdr:y>0.40189</cdr:y>
    </cdr:to>
    <cdr:sp macro="" textlink="">
      <cdr:nvSpPr>
        <cdr:cNvPr id="3086" name="Text Box 14"/>
        <cdr:cNvSpPr txBox="1">
          <a:spLocks xmlns:a="http://schemas.openxmlformats.org/drawingml/2006/main" noChangeArrowheads="1"/>
        </cdr:cNvSpPr>
      </cdr:nvSpPr>
      <cdr:spPr bwMode="auto">
        <a:xfrm xmlns:a="http://schemas.openxmlformats.org/drawingml/2006/main">
          <a:off x="713657" y="524095"/>
          <a:ext cx="1281979" cy="200598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8   Damen 4708</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0.81625</cdr:x>
      <cdr:y>0.70325</cdr:y>
    </cdr:from>
    <cdr:to>
      <cdr:x>0.862</cdr:x>
      <cdr:y>0.7345</cdr:y>
    </cdr:to>
    <cdr:sp macro="" textlink="">
      <cdr:nvSpPr>
        <cdr:cNvPr id="3087" name="Text Box 15"/>
        <cdr:cNvSpPr txBox="1">
          <a:spLocks xmlns:a="http://schemas.openxmlformats.org/drawingml/2006/main" noChangeArrowheads="1"/>
        </cdr:cNvSpPr>
      </cdr:nvSpPr>
      <cdr:spPr bwMode="auto">
        <a:xfrm xmlns:a="http://schemas.openxmlformats.org/drawingml/2006/main">
          <a:off x="7005078" y="4106154"/>
          <a:ext cx="392628"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0.81625</cdr:x>
      <cdr:y>0.745</cdr:y>
    </cdr:from>
    <cdr:to>
      <cdr:x>0.862</cdr:x>
      <cdr:y>0.77725</cdr:y>
    </cdr:to>
    <cdr:sp macro="" textlink="">
      <cdr:nvSpPr>
        <cdr:cNvPr id="3088" name="Text Box 16"/>
        <cdr:cNvSpPr txBox="1">
          <a:spLocks xmlns:a="http://schemas.openxmlformats.org/drawingml/2006/main" noChangeArrowheads="1"/>
        </cdr:cNvSpPr>
      </cdr:nvSpPr>
      <cdr:spPr bwMode="auto">
        <a:xfrm xmlns:a="http://schemas.openxmlformats.org/drawingml/2006/main">
          <a:off x="7005078" y="4349925"/>
          <a:ext cx="392628" cy="18830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0.8155</cdr:x>
      <cdr:y>0.78375</cdr:y>
    </cdr:from>
    <cdr:to>
      <cdr:x>0.86225</cdr:x>
      <cdr:y>0.815</cdr:y>
    </cdr:to>
    <cdr:sp macro="" textlink="">
      <cdr:nvSpPr>
        <cdr:cNvPr id="3089" name="Text Box 17"/>
        <cdr:cNvSpPr txBox="1">
          <a:spLocks xmlns:a="http://schemas.openxmlformats.org/drawingml/2006/main" noChangeArrowheads="1"/>
        </cdr:cNvSpPr>
      </cdr:nvSpPr>
      <cdr:spPr bwMode="auto">
        <a:xfrm xmlns:a="http://schemas.openxmlformats.org/drawingml/2006/main">
          <a:off x="6998641" y="4576179"/>
          <a:ext cx="401210"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0.81625</cdr:x>
      <cdr:y>0.82725</cdr:y>
    </cdr:from>
    <cdr:to>
      <cdr:x>0.86225</cdr:x>
      <cdr:y>0.8585</cdr:y>
    </cdr:to>
    <cdr:sp macro="" textlink="">
      <cdr:nvSpPr>
        <cdr:cNvPr id="3090" name="Text Box 18"/>
        <cdr:cNvSpPr txBox="1">
          <a:spLocks xmlns:a="http://schemas.openxmlformats.org/drawingml/2006/main" noChangeArrowheads="1"/>
        </cdr:cNvSpPr>
      </cdr:nvSpPr>
      <cdr:spPr bwMode="auto">
        <a:xfrm xmlns:a="http://schemas.openxmlformats.org/drawingml/2006/main">
          <a:off x="7005078" y="4830168"/>
          <a:ext cx="394773"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0.8155</cdr:x>
      <cdr:y>0.87175</cdr:y>
    </cdr:from>
    <cdr:to>
      <cdr:x>0.86225</cdr:x>
      <cdr:y>0.903</cdr:y>
    </cdr:to>
    <cdr:sp macro="" textlink="">
      <cdr:nvSpPr>
        <cdr:cNvPr id="3091" name="Text Box 19"/>
        <cdr:cNvSpPr txBox="1">
          <a:spLocks xmlns:a="http://schemas.openxmlformats.org/drawingml/2006/main" noChangeArrowheads="1"/>
        </cdr:cNvSpPr>
      </cdr:nvSpPr>
      <cdr:spPr bwMode="auto">
        <a:xfrm xmlns:a="http://schemas.openxmlformats.org/drawingml/2006/main">
          <a:off x="6998641" y="5089996"/>
          <a:ext cx="401210"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0.8135</cdr:x>
      <cdr:y>0.05825</cdr:y>
    </cdr:from>
    <cdr:to>
      <cdr:x>0.9085</cdr:x>
      <cdr:y>0.11675</cdr:y>
    </cdr:to>
    <cdr:sp macro="" textlink="">
      <cdr:nvSpPr>
        <cdr:cNvPr id="5121" name="Text Box 1025"/>
        <cdr:cNvSpPr txBox="1">
          <a:spLocks xmlns:a="http://schemas.openxmlformats.org/drawingml/2006/main" noChangeArrowheads="1"/>
        </cdr:cNvSpPr>
      </cdr:nvSpPr>
      <cdr:spPr bwMode="auto">
        <a:xfrm xmlns:a="http://schemas.openxmlformats.org/drawingml/2006/main">
          <a:off x="6981477" y="340112"/>
          <a:ext cx="815293" cy="341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0.5515</cdr:x>
      <cdr:y>0.66775</cdr:y>
    </cdr:from>
    <cdr:to>
      <cdr:x>0.58625</cdr:x>
      <cdr:y>0.69825</cdr:y>
    </cdr:to>
    <cdr:sp macro="" textlink="">
      <cdr:nvSpPr>
        <cdr:cNvPr id="5122" name="Text Box 1026"/>
        <cdr:cNvSpPr txBox="1">
          <a:spLocks xmlns:a="http://schemas.openxmlformats.org/drawingml/2006/main" noChangeArrowheads="1"/>
        </cdr:cNvSpPr>
      </cdr:nvSpPr>
      <cdr:spPr bwMode="auto">
        <a:xfrm xmlns:a="http://schemas.openxmlformats.org/drawingml/2006/main">
          <a:off x="4732987" y="3898875"/>
          <a:ext cx="298225" cy="178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0.3015</cdr:x>
      <cdr:y>0.66125</cdr:y>
    </cdr:from>
    <cdr:to>
      <cdr:x>0.326</cdr:x>
      <cdr:y>0.69075</cdr:y>
    </cdr:to>
    <cdr:sp macro="" textlink="">
      <cdr:nvSpPr>
        <cdr:cNvPr id="5123" name="Text Box 1027"/>
        <cdr:cNvSpPr txBox="1">
          <a:spLocks xmlns:a="http://schemas.openxmlformats.org/drawingml/2006/main" noChangeArrowheads="1"/>
        </cdr:cNvSpPr>
      </cdr:nvSpPr>
      <cdr:spPr bwMode="auto">
        <a:xfrm xmlns:a="http://schemas.openxmlformats.org/drawingml/2006/main">
          <a:off x="2587481" y="3860923"/>
          <a:ext cx="210259"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0.38825</cdr:x>
      <cdr:y>0.66125</cdr:y>
    </cdr:from>
    <cdr:to>
      <cdr:x>0.4155</cdr:x>
      <cdr:y>0.69325</cdr:y>
    </cdr:to>
    <cdr:sp macro="" textlink="">
      <cdr:nvSpPr>
        <cdr:cNvPr id="5124" name="Text Box 1028"/>
        <cdr:cNvSpPr txBox="1">
          <a:spLocks xmlns:a="http://schemas.openxmlformats.org/drawingml/2006/main" noChangeArrowheads="1"/>
        </cdr:cNvSpPr>
      </cdr:nvSpPr>
      <cdr:spPr bwMode="auto">
        <a:xfrm xmlns:a="http://schemas.openxmlformats.org/drawingml/2006/main">
          <a:off x="3331971" y="3860923"/>
          <a:ext cx="233860"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0.44425</cdr:x>
      <cdr:y>0.76475</cdr:y>
    </cdr:from>
    <cdr:to>
      <cdr:x>0.46475</cdr:x>
      <cdr:y>0.7935</cdr:y>
    </cdr:to>
    <cdr:sp macro="" textlink="">
      <cdr:nvSpPr>
        <cdr:cNvPr id="5125" name="Text Box 1029"/>
        <cdr:cNvSpPr txBox="1">
          <a:spLocks xmlns:a="http://schemas.openxmlformats.org/drawingml/2006/main" noChangeArrowheads="1"/>
        </cdr:cNvSpPr>
      </cdr:nvSpPr>
      <cdr:spPr bwMode="auto">
        <a:xfrm xmlns:a="http://schemas.openxmlformats.org/drawingml/2006/main">
          <a:off x="3812565" y="4465241"/>
          <a:ext cx="175931" cy="167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0.47075</cdr:x>
      <cdr:y>0.6135</cdr:y>
    </cdr:from>
    <cdr:to>
      <cdr:x>0.49475</cdr:x>
      <cdr:y>0.63975</cdr:y>
    </cdr:to>
    <cdr:sp macro="" textlink="">
      <cdr:nvSpPr>
        <cdr:cNvPr id="5126" name="Text Box 1030"/>
        <cdr:cNvSpPr txBox="1">
          <a:spLocks xmlns:a="http://schemas.openxmlformats.org/drawingml/2006/main" noChangeArrowheads="1"/>
        </cdr:cNvSpPr>
      </cdr:nvSpPr>
      <cdr:spPr bwMode="auto">
        <a:xfrm xmlns:a="http://schemas.openxmlformats.org/drawingml/2006/main">
          <a:off x="4039988" y="3582119"/>
          <a:ext cx="205969"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0.54025</cdr:x>
      <cdr:y>0.42025</cdr:y>
    </cdr:from>
    <cdr:to>
      <cdr:x>0.563</cdr:x>
      <cdr:y>0.4475</cdr:y>
    </cdr:to>
    <cdr:sp macro="" textlink="">
      <cdr:nvSpPr>
        <cdr:cNvPr id="5127" name="Text Box 1031"/>
        <cdr:cNvSpPr txBox="1">
          <a:spLocks xmlns:a="http://schemas.openxmlformats.org/drawingml/2006/main" noChangeArrowheads="1"/>
        </cdr:cNvSpPr>
      </cdr:nvSpPr>
      <cdr:spPr bwMode="auto">
        <a:xfrm xmlns:a="http://schemas.openxmlformats.org/drawingml/2006/main">
          <a:off x="4636439" y="2453766"/>
          <a:ext cx="195241" cy="159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0.537</cdr:x>
      <cdr:y>0.3455</cdr:y>
    </cdr:from>
    <cdr:to>
      <cdr:x>0.5615</cdr:x>
      <cdr:y>0.375</cdr:y>
    </cdr:to>
    <cdr:sp macro="" textlink="">
      <cdr:nvSpPr>
        <cdr:cNvPr id="5128" name="Text Box 1032"/>
        <cdr:cNvSpPr txBox="1">
          <a:spLocks xmlns:a="http://schemas.openxmlformats.org/drawingml/2006/main" noChangeArrowheads="1"/>
        </cdr:cNvSpPr>
      </cdr:nvSpPr>
      <cdr:spPr bwMode="auto">
        <a:xfrm xmlns:a="http://schemas.openxmlformats.org/drawingml/2006/main">
          <a:off x="4608547" y="2017314"/>
          <a:ext cx="210260"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0.52825</cdr:x>
      <cdr:y>0.6135</cdr:y>
    </cdr:from>
    <cdr:to>
      <cdr:x>0.5515</cdr:x>
      <cdr:y>0.643</cdr:y>
    </cdr:to>
    <cdr:sp macro="" textlink="">
      <cdr:nvSpPr>
        <cdr:cNvPr id="5129" name="Text Box 1033"/>
        <cdr:cNvSpPr txBox="1">
          <a:spLocks xmlns:a="http://schemas.openxmlformats.org/drawingml/2006/main" noChangeArrowheads="1"/>
        </cdr:cNvSpPr>
      </cdr:nvSpPr>
      <cdr:spPr bwMode="auto">
        <a:xfrm xmlns:a="http://schemas.openxmlformats.org/drawingml/2006/main">
          <a:off x="4533455" y="3582119"/>
          <a:ext cx="199532"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0.4215</cdr:x>
      <cdr:y>0.565</cdr:y>
    </cdr:from>
    <cdr:to>
      <cdr:x>0.45625</cdr:x>
      <cdr:y>0.59625</cdr:y>
    </cdr:to>
    <cdr:sp macro="" textlink="">
      <cdr:nvSpPr>
        <cdr:cNvPr id="5130" name="Text Box 1034"/>
        <cdr:cNvSpPr txBox="1">
          <a:spLocks xmlns:a="http://schemas.openxmlformats.org/drawingml/2006/main" noChangeArrowheads="1"/>
        </cdr:cNvSpPr>
      </cdr:nvSpPr>
      <cdr:spPr bwMode="auto">
        <a:xfrm xmlns:a="http://schemas.openxmlformats.org/drawingml/2006/main">
          <a:off x="3617324" y="3298936"/>
          <a:ext cx="298225"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0.43675</cdr:x>
      <cdr:y>0.52225</cdr:y>
    </cdr:from>
    <cdr:to>
      <cdr:x>0.47075</cdr:x>
      <cdr:y>0.551</cdr:y>
    </cdr:to>
    <cdr:sp macro="" textlink="">
      <cdr:nvSpPr>
        <cdr:cNvPr id="5131" name="Text Box 1035"/>
        <cdr:cNvSpPr txBox="1">
          <a:spLocks xmlns:a="http://schemas.openxmlformats.org/drawingml/2006/main" noChangeArrowheads="1"/>
        </cdr:cNvSpPr>
      </cdr:nvSpPr>
      <cdr:spPr bwMode="auto">
        <a:xfrm xmlns:a="http://schemas.openxmlformats.org/drawingml/2006/main">
          <a:off x="3748199" y="3049326"/>
          <a:ext cx="291789" cy="167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0.33275</cdr:x>
      <cdr:y>0.6965</cdr:y>
    </cdr:from>
    <cdr:to>
      <cdr:x>0.3555</cdr:x>
      <cdr:y>0.72625</cdr:y>
    </cdr:to>
    <cdr:sp macro="" textlink="">
      <cdr:nvSpPr>
        <cdr:cNvPr id="5132" name="Text Box 1036"/>
        <cdr:cNvSpPr txBox="1">
          <a:spLocks xmlns:a="http://schemas.openxmlformats.org/drawingml/2006/main" noChangeArrowheads="1"/>
        </cdr:cNvSpPr>
      </cdr:nvSpPr>
      <cdr:spPr bwMode="auto">
        <a:xfrm xmlns:a="http://schemas.openxmlformats.org/drawingml/2006/main">
          <a:off x="2855669" y="4066742"/>
          <a:ext cx="195241"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0.27875</cdr:x>
      <cdr:y>0.783</cdr:y>
    </cdr:from>
    <cdr:to>
      <cdr:x>0.3015</cdr:x>
      <cdr:y>0.8125</cdr:y>
    </cdr:to>
    <cdr:sp macro="" textlink="">
      <cdr:nvSpPr>
        <cdr:cNvPr id="5133" name="Text Box 1037"/>
        <cdr:cNvSpPr txBox="1">
          <a:spLocks xmlns:a="http://schemas.openxmlformats.org/drawingml/2006/main" noChangeArrowheads="1"/>
        </cdr:cNvSpPr>
      </cdr:nvSpPr>
      <cdr:spPr bwMode="auto">
        <a:xfrm xmlns:a="http://schemas.openxmlformats.org/drawingml/2006/main">
          <a:off x="2392239" y="4571800"/>
          <a:ext cx="195242"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a:t>
          </a:r>
        </a:p>
      </cdr:txBody>
    </cdr:sp>
  </cdr:relSizeAnchor>
  <cdr:relSizeAnchor xmlns:cdr="http://schemas.openxmlformats.org/drawingml/2006/chartDrawing">
    <cdr:from>
      <cdr:x>0.47075</cdr:x>
      <cdr:y>0.657</cdr:y>
    </cdr:from>
    <cdr:to>
      <cdr:x>0.4895</cdr:x>
      <cdr:y>0.69</cdr:y>
    </cdr:to>
    <cdr:sp macro="" textlink="">
      <cdr:nvSpPr>
        <cdr:cNvPr id="5134" name="Text Box 1038"/>
        <cdr:cNvSpPr txBox="1">
          <a:spLocks xmlns:a="http://schemas.openxmlformats.org/drawingml/2006/main" noChangeArrowheads="1"/>
        </cdr:cNvSpPr>
      </cdr:nvSpPr>
      <cdr:spPr bwMode="auto">
        <a:xfrm xmlns:a="http://schemas.openxmlformats.org/drawingml/2006/main">
          <a:off x="4039988" y="3836108"/>
          <a:ext cx="160913" cy="1926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8</a:t>
          </a:r>
        </a:p>
      </cdr:txBody>
    </cdr:sp>
  </cdr:relSizeAnchor>
  <cdr:relSizeAnchor xmlns:cdr="http://schemas.openxmlformats.org/drawingml/2006/chartDrawing">
    <cdr:from>
      <cdr:x>0.4215</cdr:x>
      <cdr:y>0.68</cdr:y>
    </cdr:from>
    <cdr:to>
      <cdr:x>0.4535</cdr:x>
      <cdr:y>0.713</cdr:y>
    </cdr:to>
    <cdr:sp macro="" textlink="">
      <cdr:nvSpPr>
        <cdr:cNvPr id="5135" name="Text Box 1039"/>
        <cdr:cNvSpPr txBox="1">
          <a:spLocks xmlns:a="http://schemas.openxmlformats.org/drawingml/2006/main" noChangeArrowheads="1"/>
        </cdr:cNvSpPr>
      </cdr:nvSpPr>
      <cdr:spPr bwMode="auto">
        <a:xfrm xmlns:a="http://schemas.openxmlformats.org/drawingml/2006/main">
          <a:off x="3617324" y="3970401"/>
          <a:ext cx="274624" cy="1926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6</a:t>
          </a:r>
        </a:p>
      </cdr:txBody>
    </cdr:sp>
  </cdr:relSizeAnchor>
  <cdr:relSizeAnchor xmlns:cdr="http://schemas.openxmlformats.org/drawingml/2006/chartDrawing">
    <cdr:from>
      <cdr:x>0.41675</cdr:x>
      <cdr:y>0.70725</cdr:y>
    </cdr:from>
    <cdr:to>
      <cdr:x>0.531</cdr:x>
      <cdr:y>0.75</cdr:y>
    </cdr:to>
    <cdr:sp macro="" textlink="">
      <cdr:nvSpPr>
        <cdr:cNvPr id="5136" name="Text Box 1040"/>
        <cdr:cNvSpPr txBox="1">
          <a:spLocks xmlns:a="http://schemas.openxmlformats.org/drawingml/2006/main" noChangeArrowheads="1"/>
        </cdr:cNvSpPr>
      </cdr:nvSpPr>
      <cdr:spPr bwMode="auto">
        <a:xfrm xmlns:a="http://schemas.openxmlformats.org/drawingml/2006/main">
          <a:off x="3576559" y="4129509"/>
          <a:ext cx="980496" cy="2496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5 (Steel/GRP)</a:t>
          </a:r>
        </a:p>
      </cdr:txBody>
    </cdr:sp>
  </cdr:relSizeAnchor>
  <cdr:relSizeAnchor xmlns:cdr="http://schemas.openxmlformats.org/drawingml/2006/chartDrawing">
    <cdr:from>
      <cdr:x>0.40625</cdr:x>
      <cdr:y>0.70725</cdr:y>
    </cdr:from>
    <cdr:to>
      <cdr:x>0.4215</cdr:x>
      <cdr:y>0.746</cdr:y>
    </cdr:to>
    <cdr:sp macro="" textlink="">
      <cdr:nvSpPr>
        <cdr:cNvPr id="5137" name="Oval 1041"/>
        <cdr:cNvSpPr>
          <a:spLocks xmlns:a="http://schemas.openxmlformats.org/drawingml/2006/main" noChangeArrowheads="1"/>
        </cdr:cNvSpPr>
      </cdr:nvSpPr>
      <cdr:spPr bwMode="auto">
        <a:xfrm xmlns:a="http://schemas.openxmlformats.org/drawingml/2006/main">
          <a:off x="3486448" y="4129509"/>
          <a:ext cx="130876" cy="226254"/>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0.703</cdr:x>
      <cdr:y>0.95825</cdr:y>
    </cdr:from>
    <cdr:to>
      <cdr:x>0.99175</cdr:x>
      <cdr:y>0.989</cdr:y>
    </cdr:to>
    <cdr:sp macro="" textlink="">
      <cdr:nvSpPr>
        <cdr:cNvPr id="5138" name="Text Box 1042"/>
        <cdr:cNvSpPr txBox="1">
          <a:spLocks xmlns:a="http://schemas.openxmlformats.org/drawingml/2006/main" noChangeArrowheads="1"/>
        </cdr:cNvSpPr>
      </cdr:nvSpPr>
      <cdr:spPr bwMode="auto">
        <a:xfrm xmlns:a="http://schemas.openxmlformats.org/drawingml/2006/main">
          <a:off x="6033164" y="5595054"/>
          <a:ext cx="2478059" cy="179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0.09325</cdr:x>
      <cdr:y>0.0775</cdr:y>
    </cdr:from>
    <cdr:to>
      <cdr:x>0.3555</cdr:x>
      <cdr:y>0.29172</cdr:y>
    </cdr:to>
    <cdr:sp macro="" textlink="">
      <cdr:nvSpPr>
        <cdr:cNvPr id="5139" name="Text Box 1043"/>
        <cdr:cNvSpPr txBox="1">
          <a:spLocks xmlns:a="http://schemas.openxmlformats.org/drawingml/2006/main" noChangeArrowheads="1"/>
        </cdr:cNvSpPr>
      </cdr:nvSpPr>
      <cdr:spPr bwMode="auto">
        <a:xfrm xmlns:a="http://schemas.openxmlformats.org/drawingml/2006/main">
          <a:off x="800773" y="452717"/>
          <a:ext cx="2252042" cy="125136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1   Bay                       9   Cyclone</a:t>
          </a:r>
        </a:p>
        <a:p xmlns:a="http://schemas.openxmlformats.org/drawingml/2006/main">
          <a:pPr algn="l" rtl="0">
            <a:lnSpc>
              <a:spcPts val="900"/>
            </a:lnSpc>
            <a:defRPr sz="1000"/>
          </a:pPr>
          <a:r>
            <a:rPr lang="en-US" sz="1000" b="1" i="0" u="none" strike="noStrike" baseline="0">
              <a:solidFill>
                <a:srgbClr val="993300"/>
              </a:solidFill>
              <a:latin typeface="Arial"/>
              <a:cs typeface="Arial"/>
            </a:rPr>
            <a:t>  2   110WPB              10   Armidale</a:t>
          </a:r>
        </a:p>
        <a:p xmlns:a="http://schemas.openxmlformats.org/drawingml/2006/main">
          <a:pPr algn="l" rtl="0">
            <a:lnSpc>
              <a:spcPts val="900"/>
            </a:lnSpc>
            <a:defRPr sz="1000"/>
          </a:pPr>
          <a:r>
            <a:rPr lang="en-US" sz="1000" b="1" i="0" u="none" strike="noStrike" baseline="0">
              <a:solidFill>
                <a:srgbClr val="993300"/>
              </a:solidFill>
              <a:latin typeface="Arial"/>
              <a:cs typeface="Arial"/>
            </a:rPr>
            <a:t>  3   123WPB              </a:t>
          </a:r>
          <a:r>
            <a:rPr lang="en-US" sz="1000" b="1" i="0" u="none" strike="noStrike" baseline="0">
              <a:solidFill>
                <a:srgbClr val="808000"/>
              </a:solidFill>
              <a:latin typeface="Arial"/>
              <a:cs typeface="Arial"/>
            </a:rPr>
            <a:t>11   Helsinki</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4   Fremantle            </a:t>
          </a:r>
          <a:r>
            <a:rPr lang="en-US" sz="1000" b="1" i="0" u="none" strike="noStrike" baseline="0">
              <a:solidFill>
                <a:srgbClr val="808000"/>
              </a:solidFill>
              <a:latin typeface="Arial"/>
              <a:cs typeface="Arial"/>
            </a:rPr>
            <a:t>12   Rauma</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5   Stanflex               </a:t>
          </a:r>
          <a:r>
            <a:rPr lang="en-US" sz="1000" b="1" i="0" u="none" strike="noStrike" baseline="0">
              <a:solidFill>
                <a:srgbClr val="808000"/>
              </a:solidFill>
              <a:latin typeface="Arial"/>
              <a:cs typeface="Arial"/>
            </a:rPr>
            <a:t>13   Hamina</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6   Damen 4207         </a:t>
          </a:r>
          <a:r>
            <a:rPr lang="en-US" sz="1000" b="1" i="0" u="none" strike="noStrike" baseline="0">
              <a:solidFill>
                <a:srgbClr val="808000"/>
              </a:solidFill>
              <a:latin typeface="Arial"/>
              <a:cs typeface="Arial"/>
            </a:rPr>
            <a:t>14   Ramadan</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7   Philipines LPC     </a:t>
          </a:r>
          <a:r>
            <a:rPr lang="en-US" sz="1000" b="1" i="0" u="none" strike="noStrike" baseline="0">
              <a:solidFill>
                <a:srgbClr val="FF0000"/>
              </a:solidFill>
              <a:latin typeface="Arial"/>
              <a:cs typeface="Arial"/>
            </a:rPr>
            <a:t>15   Murbarraz</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8   Damen 4708</a:t>
          </a:r>
          <a:endParaRPr lang="en-US" sz="1000" b="0" i="0" u="none" strike="noStrike" baseline="0">
            <a:solidFill>
              <a:srgbClr val="000000"/>
            </a:solidFill>
            <a:latin typeface="Arial"/>
            <a:cs typeface="Arial"/>
          </a:endParaRPr>
        </a:p>
      </cdr:txBody>
    </cdr:sp>
  </cdr:relSizeAnchor>
  <cdr:relSizeAnchor xmlns:cdr="http://schemas.openxmlformats.org/drawingml/2006/chartDrawing">
    <cdr:from>
      <cdr:x>0.8285</cdr:x>
      <cdr:y>0.69825</cdr:y>
    </cdr:from>
    <cdr:to>
      <cdr:x>0.87375</cdr:x>
      <cdr:y>0.7285</cdr:y>
    </cdr:to>
    <cdr:sp macro="" textlink="">
      <cdr:nvSpPr>
        <cdr:cNvPr id="5140" name="Text Box 1044"/>
        <cdr:cNvSpPr txBox="1">
          <a:spLocks xmlns:a="http://schemas.openxmlformats.org/drawingml/2006/main" noChangeArrowheads="1"/>
        </cdr:cNvSpPr>
      </cdr:nvSpPr>
      <cdr:spPr bwMode="auto">
        <a:xfrm xmlns:a="http://schemas.openxmlformats.org/drawingml/2006/main">
          <a:off x="7110208" y="4076960"/>
          <a:ext cx="388336" cy="17662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0.8285</cdr:x>
      <cdr:y>0.73925</cdr:y>
    </cdr:from>
    <cdr:to>
      <cdr:x>0.87375</cdr:x>
      <cdr:y>0.7705</cdr:y>
    </cdr:to>
    <cdr:sp macro="" textlink="">
      <cdr:nvSpPr>
        <cdr:cNvPr id="5141" name="Text Box 1045"/>
        <cdr:cNvSpPr txBox="1">
          <a:spLocks xmlns:a="http://schemas.openxmlformats.org/drawingml/2006/main" noChangeArrowheads="1"/>
        </cdr:cNvSpPr>
      </cdr:nvSpPr>
      <cdr:spPr bwMode="auto">
        <a:xfrm xmlns:a="http://schemas.openxmlformats.org/drawingml/2006/main">
          <a:off x="7110208" y="4316351"/>
          <a:ext cx="388336" cy="1824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0.82775</cdr:x>
      <cdr:y>0.783</cdr:y>
    </cdr:from>
    <cdr:to>
      <cdr:x>0.87275</cdr:x>
      <cdr:y>0.81325</cdr:y>
    </cdr:to>
    <cdr:sp macro="" textlink="">
      <cdr:nvSpPr>
        <cdr:cNvPr id="5142" name="Text Box 1046"/>
        <cdr:cNvSpPr txBox="1">
          <a:spLocks xmlns:a="http://schemas.openxmlformats.org/drawingml/2006/main" noChangeArrowheads="1"/>
        </cdr:cNvSpPr>
      </cdr:nvSpPr>
      <cdr:spPr bwMode="auto">
        <a:xfrm xmlns:a="http://schemas.openxmlformats.org/drawingml/2006/main">
          <a:off x="7103771" y="4571800"/>
          <a:ext cx="386191" cy="17662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0.8285</cdr:x>
      <cdr:y>0.82225</cdr:y>
    </cdr:from>
    <cdr:to>
      <cdr:x>0.87375</cdr:x>
      <cdr:y>0.8535</cdr:y>
    </cdr:to>
    <cdr:sp macro="" textlink="">
      <cdr:nvSpPr>
        <cdr:cNvPr id="5143" name="Text Box 1047"/>
        <cdr:cNvSpPr txBox="1">
          <a:spLocks xmlns:a="http://schemas.openxmlformats.org/drawingml/2006/main" noChangeArrowheads="1"/>
        </cdr:cNvSpPr>
      </cdr:nvSpPr>
      <cdr:spPr bwMode="auto">
        <a:xfrm xmlns:a="http://schemas.openxmlformats.org/drawingml/2006/main">
          <a:off x="7110208" y="4800974"/>
          <a:ext cx="388336"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0.8285</cdr:x>
      <cdr:y>0.86275</cdr:y>
    </cdr:from>
    <cdr:to>
      <cdr:x>0.87375</cdr:x>
      <cdr:y>0.89425</cdr:y>
    </cdr:to>
    <cdr:sp macro="" textlink="">
      <cdr:nvSpPr>
        <cdr:cNvPr id="5144" name="Text Box 1048"/>
        <cdr:cNvSpPr txBox="1">
          <a:spLocks xmlns:a="http://schemas.openxmlformats.org/drawingml/2006/main" noChangeArrowheads="1"/>
        </cdr:cNvSpPr>
      </cdr:nvSpPr>
      <cdr:spPr bwMode="auto">
        <a:xfrm xmlns:a="http://schemas.openxmlformats.org/drawingml/2006/main">
          <a:off x="7110208" y="5037446"/>
          <a:ext cx="388336" cy="18392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0.8045</cdr:x>
      <cdr:y>0.065</cdr:y>
    </cdr:from>
    <cdr:to>
      <cdr:x>0.90475</cdr:x>
      <cdr:y>0.11375</cdr:y>
    </cdr:to>
    <cdr:sp macro="" textlink="">
      <cdr:nvSpPr>
        <cdr:cNvPr id="7169" name="Text Box 1"/>
        <cdr:cNvSpPr txBox="1">
          <a:spLocks xmlns:a="http://schemas.openxmlformats.org/drawingml/2006/main" noChangeArrowheads="1"/>
        </cdr:cNvSpPr>
      </cdr:nvSpPr>
      <cdr:spPr bwMode="auto">
        <a:xfrm xmlns:a="http://schemas.openxmlformats.org/drawingml/2006/main">
          <a:off x="6904239" y="379524"/>
          <a:ext cx="860348" cy="2846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0.54325</cdr:x>
      <cdr:y>0.5305</cdr:y>
    </cdr:from>
    <cdr:to>
      <cdr:x>0.5685</cdr:x>
      <cdr:y>0.5625</cdr:y>
    </cdr:to>
    <cdr:sp macro="" textlink="">
      <cdr:nvSpPr>
        <cdr:cNvPr id="7170" name="Text Box 2"/>
        <cdr:cNvSpPr txBox="1">
          <a:spLocks xmlns:a="http://schemas.openxmlformats.org/drawingml/2006/main" noChangeArrowheads="1"/>
        </cdr:cNvSpPr>
      </cdr:nvSpPr>
      <cdr:spPr bwMode="auto">
        <a:xfrm xmlns:a="http://schemas.openxmlformats.org/drawingml/2006/main">
          <a:off x="4662185" y="3097497"/>
          <a:ext cx="216696"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0.28875</cdr:x>
      <cdr:y>0.54775</cdr:y>
    </cdr:from>
    <cdr:to>
      <cdr:x>0.31075</cdr:x>
      <cdr:y>0.5765</cdr:y>
    </cdr:to>
    <cdr:sp macro="" textlink="">
      <cdr:nvSpPr>
        <cdr:cNvPr id="7171" name="Text Box 3"/>
        <cdr:cNvSpPr txBox="1">
          <a:spLocks xmlns:a="http://schemas.openxmlformats.org/drawingml/2006/main" noChangeArrowheads="1"/>
        </cdr:cNvSpPr>
      </cdr:nvSpPr>
      <cdr:spPr bwMode="auto">
        <a:xfrm xmlns:a="http://schemas.openxmlformats.org/drawingml/2006/main">
          <a:off x="2478060" y="3198216"/>
          <a:ext cx="188804" cy="167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0.502</cdr:x>
      <cdr:y>0.464</cdr:y>
    </cdr:from>
    <cdr:to>
      <cdr:x>0.53225</cdr:x>
      <cdr:y>0.4895</cdr:y>
    </cdr:to>
    <cdr:sp macro="" textlink="">
      <cdr:nvSpPr>
        <cdr:cNvPr id="7174" name="Text Box 6"/>
        <cdr:cNvSpPr txBox="1">
          <a:spLocks xmlns:a="http://schemas.openxmlformats.org/drawingml/2006/main" noChangeArrowheads="1"/>
        </cdr:cNvSpPr>
      </cdr:nvSpPr>
      <cdr:spPr bwMode="auto">
        <a:xfrm xmlns:a="http://schemas.openxmlformats.org/drawingml/2006/main">
          <a:off x="4308177" y="2709215"/>
          <a:ext cx="259606" cy="1488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0.56375</cdr:x>
      <cdr:y>0.38275</cdr:y>
    </cdr:from>
    <cdr:to>
      <cdr:x>0.58725</cdr:x>
      <cdr:y>0.409</cdr:y>
    </cdr:to>
    <cdr:sp macro="" textlink="">
      <cdr:nvSpPr>
        <cdr:cNvPr id="7175" name="Text Box 7"/>
        <cdr:cNvSpPr txBox="1">
          <a:spLocks xmlns:a="http://schemas.openxmlformats.org/drawingml/2006/main" noChangeArrowheads="1"/>
        </cdr:cNvSpPr>
      </cdr:nvSpPr>
      <cdr:spPr bwMode="auto">
        <a:xfrm xmlns:a="http://schemas.openxmlformats.org/drawingml/2006/main">
          <a:off x="4838117" y="2234810"/>
          <a:ext cx="201677"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0.5555</cdr:x>
      <cdr:y>0.33525</cdr:y>
    </cdr:from>
    <cdr:to>
      <cdr:x>0.58775</cdr:x>
      <cdr:y>0.364</cdr:y>
    </cdr:to>
    <cdr:sp macro="" textlink="">
      <cdr:nvSpPr>
        <cdr:cNvPr id="7176" name="Text Box 8"/>
        <cdr:cNvSpPr txBox="1">
          <a:spLocks xmlns:a="http://schemas.openxmlformats.org/drawingml/2006/main" noChangeArrowheads="1"/>
        </cdr:cNvSpPr>
      </cdr:nvSpPr>
      <cdr:spPr bwMode="auto">
        <a:xfrm xmlns:a="http://schemas.openxmlformats.org/drawingml/2006/main">
          <a:off x="4767315" y="1957466"/>
          <a:ext cx="276770"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0.5425</cdr:x>
      <cdr:y>0.44525</cdr:y>
    </cdr:from>
    <cdr:to>
      <cdr:x>0.5685</cdr:x>
      <cdr:y>0.4755</cdr:y>
    </cdr:to>
    <cdr:sp macro="" textlink="">
      <cdr:nvSpPr>
        <cdr:cNvPr id="7177" name="Text Box 9"/>
        <cdr:cNvSpPr txBox="1">
          <a:spLocks xmlns:a="http://schemas.openxmlformats.org/drawingml/2006/main" noChangeArrowheads="1"/>
        </cdr:cNvSpPr>
      </cdr:nvSpPr>
      <cdr:spPr bwMode="auto">
        <a:xfrm xmlns:a="http://schemas.openxmlformats.org/drawingml/2006/main">
          <a:off x="4655749" y="2599737"/>
          <a:ext cx="223132" cy="1766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0.4425</cdr:x>
      <cdr:y>0.392</cdr:y>
    </cdr:from>
    <cdr:to>
      <cdr:x>0.4685</cdr:x>
      <cdr:y>0.41975</cdr:y>
    </cdr:to>
    <cdr:sp macro="" textlink="">
      <cdr:nvSpPr>
        <cdr:cNvPr id="7178" name="Text Box 10"/>
        <cdr:cNvSpPr txBox="1">
          <a:spLocks xmlns:a="http://schemas.openxmlformats.org/drawingml/2006/main" noChangeArrowheads="1"/>
        </cdr:cNvSpPr>
      </cdr:nvSpPr>
      <cdr:spPr bwMode="auto">
        <a:xfrm xmlns:a="http://schemas.openxmlformats.org/drawingml/2006/main">
          <a:off x="3797546" y="2288819"/>
          <a:ext cx="223133" cy="162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0.4425</cdr:x>
      <cdr:y>0.62175</cdr:y>
    </cdr:from>
    <cdr:to>
      <cdr:x>0.4685</cdr:x>
      <cdr:y>0.6495</cdr:y>
    </cdr:to>
    <cdr:sp macro="" textlink="">
      <cdr:nvSpPr>
        <cdr:cNvPr id="7179" name="Text Box 11"/>
        <cdr:cNvSpPr txBox="1">
          <a:spLocks xmlns:a="http://schemas.openxmlformats.org/drawingml/2006/main" noChangeArrowheads="1"/>
        </cdr:cNvSpPr>
      </cdr:nvSpPr>
      <cdr:spPr bwMode="auto">
        <a:xfrm xmlns:a="http://schemas.openxmlformats.org/drawingml/2006/main">
          <a:off x="3797546" y="3630289"/>
          <a:ext cx="223133" cy="162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0.34075</cdr:x>
      <cdr:y>0.50925</cdr:y>
    </cdr:from>
    <cdr:to>
      <cdr:x>0.35725</cdr:x>
      <cdr:y>0.538</cdr:y>
    </cdr:to>
    <cdr:sp macro="" textlink="">
      <cdr:nvSpPr>
        <cdr:cNvPr id="7180" name="Text Box 12"/>
        <cdr:cNvSpPr txBox="1">
          <a:spLocks xmlns:a="http://schemas.openxmlformats.org/drawingml/2006/main" noChangeArrowheads="1"/>
        </cdr:cNvSpPr>
      </cdr:nvSpPr>
      <cdr:spPr bwMode="auto">
        <a:xfrm xmlns:a="http://schemas.openxmlformats.org/drawingml/2006/main">
          <a:off x="2924325" y="2973422"/>
          <a:ext cx="141603"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0.2675</cdr:x>
      <cdr:y>0.688</cdr:y>
    </cdr:from>
    <cdr:to>
      <cdr:x>0.295</cdr:x>
      <cdr:y>0.71675</cdr:y>
    </cdr:to>
    <cdr:sp macro="" textlink="">
      <cdr:nvSpPr>
        <cdr:cNvPr id="7181" name="Text Box 13"/>
        <cdr:cNvSpPr txBox="1">
          <a:spLocks xmlns:a="http://schemas.openxmlformats.org/drawingml/2006/main" noChangeArrowheads="1"/>
        </cdr:cNvSpPr>
      </cdr:nvSpPr>
      <cdr:spPr bwMode="auto">
        <a:xfrm xmlns:a="http://schemas.openxmlformats.org/drawingml/2006/main">
          <a:off x="2295692" y="4017112"/>
          <a:ext cx="236005"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a:t>
          </a:r>
        </a:p>
      </cdr:txBody>
    </cdr:sp>
  </cdr:relSizeAnchor>
  <cdr:relSizeAnchor xmlns:cdr="http://schemas.openxmlformats.org/drawingml/2006/chartDrawing">
    <cdr:from>
      <cdr:x>0.476</cdr:x>
      <cdr:y>0.50925</cdr:y>
    </cdr:from>
    <cdr:to>
      <cdr:x>0.496</cdr:x>
      <cdr:y>0.547</cdr:y>
    </cdr:to>
    <cdr:sp macro="" textlink="">
      <cdr:nvSpPr>
        <cdr:cNvPr id="7182" name="Text Box 14"/>
        <cdr:cNvSpPr txBox="1">
          <a:spLocks xmlns:a="http://schemas.openxmlformats.org/drawingml/2006/main" noChangeArrowheads="1"/>
        </cdr:cNvSpPr>
      </cdr:nvSpPr>
      <cdr:spPr bwMode="auto">
        <a:xfrm xmlns:a="http://schemas.openxmlformats.org/drawingml/2006/main">
          <a:off x="4085044" y="2973422"/>
          <a:ext cx="171640" cy="2204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8</a:t>
          </a:r>
        </a:p>
      </cdr:txBody>
    </cdr:sp>
  </cdr:relSizeAnchor>
  <cdr:relSizeAnchor xmlns:cdr="http://schemas.openxmlformats.org/drawingml/2006/chartDrawing">
    <cdr:from>
      <cdr:x>0.39975</cdr:x>
      <cdr:y>0.602</cdr:y>
    </cdr:from>
    <cdr:to>
      <cdr:x>0.43475</cdr:x>
      <cdr:y>0.6455</cdr:y>
    </cdr:to>
    <cdr:sp macro="" textlink="">
      <cdr:nvSpPr>
        <cdr:cNvPr id="7184" name="Text Box 16"/>
        <cdr:cNvSpPr txBox="1">
          <a:spLocks xmlns:a="http://schemas.openxmlformats.org/drawingml/2006/main" noChangeArrowheads="1"/>
        </cdr:cNvSpPr>
      </cdr:nvSpPr>
      <cdr:spPr bwMode="auto">
        <a:xfrm xmlns:a="http://schemas.openxmlformats.org/drawingml/2006/main">
          <a:off x="3430664" y="3514973"/>
          <a:ext cx="300371" cy="2539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5</a:t>
          </a:r>
        </a:p>
      </cdr:txBody>
    </cdr:sp>
  </cdr:relSizeAnchor>
  <cdr:relSizeAnchor xmlns:cdr="http://schemas.openxmlformats.org/drawingml/2006/chartDrawing">
    <cdr:from>
      <cdr:x>0.69625</cdr:x>
      <cdr:y>0.95575</cdr:y>
    </cdr:from>
    <cdr:to>
      <cdr:x>0.9915</cdr:x>
      <cdr:y>0.9865</cdr:y>
    </cdr:to>
    <cdr:sp macro="" textlink="">
      <cdr:nvSpPr>
        <cdr:cNvPr id="7189" name="Text Box 21"/>
        <cdr:cNvSpPr txBox="1">
          <a:spLocks xmlns:a="http://schemas.openxmlformats.org/drawingml/2006/main" noChangeArrowheads="1"/>
        </cdr:cNvSpPr>
      </cdr:nvSpPr>
      <cdr:spPr bwMode="auto">
        <a:xfrm xmlns:a="http://schemas.openxmlformats.org/drawingml/2006/main">
          <a:off x="5975235" y="5580457"/>
          <a:ext cx="2533843" cy="179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0.384</cdr:x>
      <cdr:y>0.4765</cdr:y>
    </cdr:from>
    <cdr:to>
      <cdr:x>0.39975</cdr:x>
      <cdr:y>0.50425</cdr:y>
    </cdr:to>
    <cdr:sp macro="" textlink="">
      <cdr:nvSpPr>
        <cdr:cNvPr id="7191" name="Text Box 23"/>
        <cdr:cNvSpPr txBox="1">
          <a:spLocks xmlns:a="http://schemas.openxmlformats.org/drawingml/2006/main" noChangeArrowheads="1"/>
        </cdr:cNvSpPr>
      </cdr:nvSpPr>
      <cdr:spPr bwMode="auto">
        <a:xfrm xmlns:a="http://schemas.openxmlformats.org/drawingml/2006/main">
          <a:off x="3295498" y="2782200"/>
          <a:ext cx="135166" cy="162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0.419</cdr:x>
      <cdr:y>0.43525</cdr:y>
    </cdr:from>
    <cdr:to>
      <cdr:x>0.43475</cdr:x>
      <cdr:y>0.464</cdr:y>
    </cdr:to>
    <cdr:sp macro="" textlink="">
      <cdr:nvSpPr>
        <cdr:cNvPr id="7192" name="Text Box 24"/>
        <cdr:cNvSpPr txBox="1">
          <a:spLocks xmlns:a="http://schemas.openxmlformats.org/drawingml/2006/main" noChangeArrowheads="1"/>
        </cdr:cNvSpPr>
      </cdr:nvSpPr>
      <cdr:spPr bwMode="auto">
        <a:xfrm xmlns:a="http://schemas.openxmlformats.org/drawingml/2006/main">
          <a:off x="3595868" y="2541349"/>
          <a:ext cx="135167"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6</a:t>
          </a:r>
        </a:p>
      </cdr:txBody>
    </cdr:sp>
  </cdr:relSizeAnchor>
  <cdr:relSizeAnchor xmlns:cdr="http://schemas.openxmlformats.org/drawingml/2006/chartDrawing">
    <cdr:from>
      <cdr:x>0.44725</cdr:x>
      <cdr:y>0.49775</cdr:y>
    </cdr:from>
    <cdr:to>
      <cdr:x>0.46225</cdr:x>
      <cdr:y>0.5265</cdr:y>
    </cdr:to>
    <cdr:sp macro="" textlink="">
      <cdr:nvSpPr>
        <cdr:cNvPr id="7193" name="Text Box 25"/>
        <cdr:cNvSpPr txBox="1">
          <a:spLocks xmlns:a="http://schemas.openxmlformats.org/drawingml/2006/main" noChangeArrowheads="1"/>
        </cdr:cNvSpPr>
      </cdr:nvSpPr>
      <cdr:spPr bwMode="auto">
        <a:xfrm xmlns:a="http://schemas.openxmlformats.org/drawingml/2006/main">
          <a:off x="3838311" y="2906275"/>
          <a:ext cx="128730"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0.08885</cdr:x>
      <cdr:y>0.08804</cdr:y>
    </cdr:from>
    <cdr:to>
      <cdr:x>0.35585</cdr:x>
      <cdr:y>0.29299</cdr:y>
    </cdr:to>
    <cdr:sp macro="" textlink="">
      <cdr:nvSpPr>
        <cdr:cNvPr id="7194" name="Text Box 26"/>
        <cdr:cNvSpPr txBox="1">
          <a:spLocks xmlns:a="http://schemas.openxmlformats.org/drawingml/2006/main" noChangeArrowheads="1"/>
        </cdr:cNvSpPr>
      </cdr:nvSpPr>
      <cdr:spPr bwMode="auto">
        <a:xfrm xmlns:a="http://schemas.openxmlformats.org/drawingml/2006/main">
          <a:off x="762986" y="514266"/>
          <a:ext cx="2292831" cy="119725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1   Bay                        9   Cyclone</a:t>
          </a:r>
        </a:p>
        <a:p xmlns:a="http://schemas.openxmlformats.org/drawingml/2006/main">
          <a:pPr algn="l" rtl="0">
            <a:lnSpc>
              <a:spcPts val="900"/>
            </a:lnSpc>
            <a:defRPr sz="1000"/>
          </a:pPr>
          <a:r>
            <a:rPr lang="en-US" sz="1000" b="1" i="0" u="none" strike="noStrike" baseline="0">
              <a:solidFill>
                <a:srgbClr val="993300"/>
              </a:solidFill>
              <a:latin typeface="Arial"/>
              <a:cs typeface="Arial"/>
            </a:rPr>
            <a:t>  2   110WPB               10   Armidale</a:t>
          </a:r>
        </a:p>
        <a:p xmlns:a="http://schemas.openxmlformats.org/drawingml/2006/main">
          <a:pPr algn="l" rtl="0">
            <a:lnSpc>
              <a:spcPts val="900"/>
            </a:lnSpc>
            <a:defRPr sz="1000"/>
          </a:pPr>
          <a:r>
            <a:rPr lang="en-US" sz="1000" b="1" i="0" u="none" strike="noStrike" baseline="0">
              <a:solidFill>
                <a:srgbClr val="993300"/>
              </a:solidFill>
              <a:latin typeface="Arial"/>
              <a:cs typeface="Arial"/>
            </a:rPr>
            <a:t>  3   123WPB               </a:t>
          </a:r>
          <a:r>
            <a:rPr lang="en-US" sz="1000" b="1" i="0" u="none" strike="noStrike" baseline="0">
              <a:solidFill>
                <a:srgbClr val="808000"/>
              </a:solidFill>
              <a:latin typeface="Arial"/>
              <a:cs typeface="Arial"/>
            </a:rPr>
            <a:t>11   Helsinki</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4   Fremantle            </a:t>
          </a:r>
          <a:r>
            <a:rPr lang="en-US" sz="1000" b="1" i="0" u="none" strike="noStrike" baseline="0">
              <a:solidFill>
                <a:srgbClr val="808000"/>
              </a:solidFill>
              <a:latin typeface="Arial"/>
              <a:cs typeface="Arial"/>
            </a:rPr>
            <a:t>12   Rauma</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5   Stanflex               </a:t>
          </a:r>
          <a:r>
            <a:rPr lang="en-US" sz="1000" b="1" i="0" u="none" strike="noStrike" baseline="0">
              <a:solidFill>
                <a:srgbClr val="808000"/>
              </a:solidFill>
              <a:latin typeface="Arial"/>
              <a:cs typeface="Arial"/>
            </a:rPr>
            <a:t>13   Hamina</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6   Damen 4207        </a:t>
          </a:r>
          <a:r>
            <a:rPr lang="en-US" sz="1000" b="1" i="0" u="none" strike="noStrike" baseline="0">
              <a:solidFill>
                <a:srgbClr val="808000"/>
              </a:solidFill>
              <a:latin typeface="Arial"/>
              <a:cs typeface="Arial"/>
            </a:rPr>
            <a:t>14   Ramadan</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7   Philipines LPC    </a:t>
          </a:r>
          <a:r>
            <a:rPr lang="en-US" sz="1000" b="1" i="0" u="none" strike="noStrike" baseline="0">
              <a:solidFill>
                <a:srgbClr val="FF0000"/>
              </a:solidFill>
              <a:latin typeface="Arial"/>
              <a:cs typeface="Arial"/>
            </a:rPr>
            <a:t>15   Murbarraz</a:t>
          </a:r>
          <a:endParaRPr lang="en-US" sz="1000" b="1" i="0" u="none" strike="noStrike" baseline="0">
            <a:solidFill>
              <a:srgbClr val="993300"/>
            </a:solidFill>
            <a:latin typeface="Arial"/>
            <a:cs typeface="Arial"/>
          </a:endParaRPr>
        </a:p>
        <a:p xmlns:a="http://schemas.openxmlformats.org/drawingml/2006/main">
          <a:pPr algn="l" rtl="0">
            <a:lnSpc>
              <a:spcPts val="900"/>
            </a:lnSpc>
            <a:defRPr sz="1000"/>
          </a:pPr>
          <a:r>
            <a:rPr lang="en-US" sz="1000" b="1" i="0" u="none" strike="noStrike" baseline="0">
              <a:solidFill>
                <a:srgbClr val="993300"/>
              </a:solidFill>
              <a:latin typeface="Arial"/>
              <a:cs typeface="Arial"/>
            </a:rPr>
            <a:t>  8   Damen 4708</a:t>
          </a:r>
          <a:endParaRPr lang="en-US" sz="1000" b="0" i="0" u="none" strike="noStrike" baseline="0">
            <a:solidFill>
              <a:srgbClr val="000000"/>
            </a:solidFill>
            <a:latin typeface="Arial"/>
            <a:cs typeface="Arial"/>
          </a:endParaRPr>
        </a:p>
      </cdr:txBody>
    </cdr:sp>
  </cdr:relSizeAnchor>
  <cdr:relSizeAnchor xmlns:cdr="http://schemas.openxmlformats.org/drawingml/2006/chartDrawing">
    <cdr:from>
      <cdr:x>0.82175</cdr:x>
      <cdr:y>0.70525</cdr:y>
    </cdr:from>
    <cdr:to>
      <cdr:x>0.86725</cdr:x>
      <cdr:y>0.7365</cdr:y>
    </cdr:to>
    <cdr:sp macro="" textlink="">
      <cdr:nvSpPr>
        <cdr:cNvPr id="7195" name="Text Box 27"/>
        <cdr:cNvSpPr txBox="1">
          <a:spLocks xmlns:a="http://schemas.openxmlformats.org/drawingml/2006/main" noChangeArrowheads="1"/>
        </cdr:cNvSpPr>
      </cdr:nvSpPr>
      <cdr:spPr bwMode="auto">
        <a:xfrm xmlns:a="http://schemas.openxmlformats.org/drawingml/2006/main">
          <a:off x="7052279" y="4117831"/>
          <a:ext cx="390482" cy="1824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0.82275</cdr:x>
      <cdr:y>0.7505</cdr:y>
    </cdr:from>
    <cdr:to>
      <cdr:x>0.86825</cdr:x>
      <cdr:y>0.78075</cdr:y>
    </cdr:to>
    <cdr:sp macro="" textlink="">
      <cdr:nvSpPr>
        <cdr:cNvPr id="7196" name="Text Box 28"/>
        <cdr:cNvSpPr txBox="1">
          <a:spLocks xmlns:a="http://schemas.openxmlformats.org/drawingml/2006/main" noChangeArrowheads="1"/>
        </cdr:cNvSpPr>
      </cdr:nvSpPr>
      <cdr:spPr bwMode="auto">
        <a:xfrm xmlns:a="http://schemas.openxmlformats.org/drawingml/2006/main">
          <a:off x="7060861" y="4382038"/>
          <a:ext cx="390482" cy="1766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0.82275</cdr:x>
      <cdr:y>0.7915</cdr:y>
    </cdr:from>
    <cdr:to>
      <cdr:x>0.86775</cdr:x>
      <cdr:y>0.82175</cdr:y>
    </cdr:to>
    <cdr:sp macro="" textlink="">
      <cdr:nvSpPr>
        <cdr:cNvPr id="7197" name="Text Box 29"/>
        <cdr:cNvSpPr txBox="1">
          <a:spLocks xmlns:a="http://schemas.openxmlformats.org/drawingml/2006/main" noChangeArrowheads="1"/>
        </cdr:cNvSpPr>
      </cdr:nvSpPr>
      <cdr:spPr bwMode="auto">
        <a:xfrm xmlns:a="http://schemas.openxmlformats.org/drawingml/2006/main">
          <a:off x="7060861" y="4621430"/>
          <a:ext cx="386191" cy="17662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0.82275</cdr:x>
      <cdr:y>0.826</cdr:y>
    </cdr:from>
    <cdr:to>
      <cdr:x>0.86825</cdr:x>
      <cdr:y>0.8685</cdr:y>
    </cdr:to>
    <cdr:sp macro="" textlink="">
      <cdr:nvSpPr>
        <cdr:cNvPr id="7198" name="Text Box 30"/>
        <cdr:cNvSpPr txBox="1">
          <a:spLocks xmlns:a="http://schemas.openxmlformats.org/drawingml/2006/main" noChangeArrowheads="1"/>
        </cdr:cNvSpPr>
      </cdr:nvSpPr>
      <cdr:spPr bwMode="auto">
        <a:xfrm xmlns:a="http://schemas.openxmlformats.org/drawingml/2006/main">
          <a:off x="7060861" y="4822869"/>
          <a:ext cx="390482" cy="248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0.82275</cdr:x>
      <cdr:y>0.87425</cdr:y>
    </cdr:from>
    <cdr:to>
      <cdr:x>0.86825</cdr:x>
      <cdr:y>0.90525</cdr:y>
    </cdr:to>
    <cdr:sp macro="" textlink="">
      <cdr:nvSpPr>
        <cdr:cNvPr id="7199" name="Text Box 31"/>
        <cdr:cNvSpPr txBox="1">
          <a:spLocks xmlns:a="http://schemas.openxmlformats.org/drawingml/2006/main" noChangeArrowheads="1"/>
        </cdr:cNvSpPr>
      </cdr:nvSpPr>
      <cdr:spPr bwMode="auto">
        <a:xfrm xmlns:a="http://schemas.openxmlformats.org/drawingml/2006/main">
          <a:off x="7060861" y="5104593"/>
          <a:ext cx="390482" cy="18100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0.81525</cdr:x>
      <cdr:y>0.06725</cdr:y>
    </cdr:from>
    <cdr:to>
      <cdr:x>0.915</cdr:x>
      <cdr:y>0.116</cdr:y>
    </cdr:to>
    <cdr:sp macro="" textlink="">
      <cdr:nvSpPr>
        <cdr:cNvPr id="9217" name="Text Box 1025"/>
        <cdr:cNvSpPr txBox="1">
          <a:spLocks xmlns:a="http://schemas.openxmlformats.org/drawingml/2006/main" noChangeArrowheads="1"/>
        </cdr:cNvSpPr>
      </cdr:nvSpPr>
      <cdr:spPr bwMode="auto">
        <a:xfrm xmlns:a="http://schemas.openxmlformats.org/drawingml/2006/main">
          <a:off x="6996496" y="392661"/>
          <a:ext cx="856057" cy="2846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0.541</cdr:x>
      <cdr:y>0.51</cdr:y>
    </cdr:from>
    <cdr:to>
      <cdr:x>0.57825</cdr:x>
      <cdr:y>0.541</cdr:y>
    </cdr:to>
    <cdr:sp macro="" textlink="">
      <cdr:nvSpPr>
        <cdr:cNvPr id="9218" name="Text Box 1026"/>
        <cdr:cNvSpPr txBox="1">
          <a:spLocks xmlns:a="http://schemas.openxmlformats.org/drawingml/2006/main" noChangeArrowheads="1"/>
        </cdr:cNvSpPr>
      </cdr:nvSpPr>
      <cdr:spPr bwMode="auto">
        <a:xfrm xmlns:a="http://schemas.openxmlformats.org/drawingml/2006/main">
          <a:off x="4642876" y="2977801"/>
          <a:ext cx="319680"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0.30625</cdr:x>
      <cdr:y>0.60225</cdr:y>
    </cdr:from>
    <cdr:to>
      <cdr:x>0.32125</cdr:x>
      <cdr:y>0.63175</cdr:y>
    </cdr:to>
    <cdr:sp macro="" textlink="">
      <cdr:nvSpPr>
        <cdr:cNvPr id="9219" name="Text Box 1027"/>
        <cdr:cNvSpPr txBox="1">
          <a:spLocks xmlns:a="http://schemas.openxmlformats.org/drawingml/2006/main" noChangeArrowheads="1"/>
        </cdr:cNvSpPr>
      </cdr:nvSpPr>
      <cdr:spPr bwMode="auto">
        <a:xfrm xmlns:a="http://schemas.openxmlformats.org/drawingml/2006/main">
          <a:off x="2628245" y="3516432"/>
          <a:ext cx="128731"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0.39375</cdr:x>
      <cdr:y>0.37825</cdr:y>
    </cdr:from>
    <cdr:to>
      <cdr:x>0.41625</cdr:x>
      <cdr:y>0.411</cdr:y>
    </cdr:to>
    <cdr:sp macro="" textlink="">
      <cdr:nvSpPr>
        <cdr:cNvPr id="9220" name="Text Box 1028"/>
        <cdr:cNvSpPr txBox="1">
          <a:spLocks xmlns:a="http://schemas.openxmlformats.org/drawingml/2006/main" noChangeArrowheads="1"/>
        </cdr:cNvSpPr>
      </cdr:nvSpPr>
      <cdr:spPr bwMode="auto">
        <a:xfrm xmlns:a="http://schemas.openxmlformats.org/drawingml/2006/main">
          <a:off x="3379172" y="2208536"/>
          <a:ext cx="193096"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0.436</cdr:x>
      <cdr:y>0.188</cdr:y>
    </cdr:from>
    <cdr:to>
      <cdr:x>0.4665</cdr:x>
      <cdr:y>0.21575</cdr:y>
    </cdr:to>
    <cdr:sp macro="" textlink="">
      <cdr:nvSpPr>
        <cdr:cNvPr id="9221" name="Text Box 1029"/>
        <cdr:cNvSpPr txBox="1">
          <a:spLocks xmlns:a="http://schemas.openxmlformats.org/drawingml/2006/main" noChangeArrowheads="1"/>
        </cdr:cNvSpPr>
      </cdr:nvSpPr>
      <cdr:spPr bwMode="auto">
        <a:xfrm xmlns:a="http://schemas.openxmlformats.org/drawingml/2006/main">
          <a:off x="3741763" y="1097699"/>
          <a:ext cx="261752" cy="1620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0.4875</cdr:x>
      <cdr:y>0.12425</cdr:y>
    </cdr:from>
    <cdr:to>
      <cdr:x>0.518</cdr:x>
      <cdr:y>0.15025</cdr:y>
    </cdr:to>
    <cdr:sp macro="" textlink="">
      <cdr:nvSpPr>
        <cdr:cNvPr id="9222" name="Text Box 1030"/>
        <cdr:cNvSpPr txBox="1">
          <a:spLocks xmlns:a="http://schemas.openxmlformats.org/drawingml/2006/main" noChangeArrowheads="1"/>
        </cdr:cNvSpPr>
      </cdr:nvSpPr>
      <cdr:spPr bwMode="auto">
        <a:xfrm xmlns:a="http://schemas.openxmlformats.org/drawingml/2006/main">
          <a:off x="4183737" y="725474"/>
          <a:ext cx="261752" cy="151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0.54775</cdr:x>
      <cdr:y>0.45925</cdr:y>
    </cdr:from>
    <cdr:to>
      <cdr:x>0.56625</cdr:x>
      <cdr:y>0.48775</cdr:y>
    </cdr:to>
    <cdr:sp macro="" textlink="">
      <cdr:nvSpPr>
        <cdr:cNvPr id="9223" name="Text Box 1031"/>
        <cdr:cNvSpPr txBox="1">
          <a:spLocks xmlns:a="http://schemas.openxmlformats.org/drawingml/2006/main" noChangeArrowheads="1"/>
        </cdr:cNvSpPr>
      </cdr:nvSpPr>
      <cdr:spPr bwMode="auto">
        <a:xfrm xmlns:a="http://schemas.openxmlformats.org/drawingml/2006/main">
          <a:off x="4700804" y="2681480"/>
          <a:ext cx="158768" cy="1664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0.54175</cdr:x>
      <cdr:y>0.371</cdr:y>
    </cdr:from>
    <cdr:to>
      <cdr:x>0.57775</cdr:x>
      <cdr:y>0.40125</cdr:y>
    </cdr:to>
    <cdr:sp macro="" textlink="">
      <cdr:nvSpPr>
        <cdr:cNvPr id="9224" name="Text Box 1032"/>
        <cdr:cNvSpPr txBox="1">
          <a:spLocks xmlns:a="http://schemas.openxmlformats.org/drawingml/2006/main" noChangeArrowheads="1"/>
        </cdr:cNvSpPr>
      </cdr:nvSpPr>
      <cdr:spPr bwMode="auto">
        <a:xfrm xmlns:a="http://schemas.openxmlformats.org/drawingml/2006/main">
          <a:off x="4649312" y="2166204"/>
          <a:ext cx="308953"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0.53025</cdr:x>
      <cdr:y>0.30475</cdr:y>
    </cdr:from>
    <cdr:to>
      <cdr:x>0.55525</cdr:x>
      <cdr:y>0.33425</cdr:y>
    </cdr:to>
    <cdr:sp macro="" textlink="">
      <cdr:nvSpPr>
        <cdr:cNvPr id="9225" name="Text Box 1033"/>
        <cdr:cNvSpPr txBox="1">
          <a:spLocks xmlns:a="http://schemas.openxmlformats.org/drawingml/2006/main" noChangeArrowheads="1"/>
        </cdr:cNvSpPr>
      </cdr:nvSpPr>
      <cdr:spPr bwMode="auto">
        <a:xfrm xmlns:a="http://schemas.openxmlformats.org/drawingml/2006/main">
          <a:off x="4550619" y="1779382"/>
          <a:ext cx="214550"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0.44</cdr:x>
      <cdr:y>0.43475</cdr:y>
    </cdr:from>
    <cdr:to>
      <cdr:x>0.47875</cdr:x>
      <cdr:y>0.46575</cdr:y>
    </cdr:to>
    <cdr:sp macro="" textlink="">
      <cdr:nvSpPr>
        <cdr:cNvPr id="9226" name="Text Box 1034"/>
        <cdr:cNvSpPr txBox="1">
          <a:spLocks xmlns:a="http://schemas.openxmlformats.org/drawingml/2006/main" noChangeArrowheads="1"/>
        </cdr:cNvSpPr>
      </cdr:nvSpPr>
      <cdr:spPr bwMode="auto">
        <a:xfrm xmlns:a="http://schemas.openxmlformats.org/drawingml/2006/main">
          <a:off x="3776091" y="2538429"/>
          <a:ext cx="33255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0.44675</cdr:x>
      <cdr:y>0.63175</cdr:y>
    </cdr:from>
    <cdr:to>
      <cdr:x>0.47875</cdr:x>
      <cdr:y>0.662</cdr:y>
    </cdr:to>
    <cdr:sp macro="" textlink="">
      <cdr:nvSpPr>
        <cdr:cNvPr id="9227" name="Text Box 1035"/>
        <cdr:cNvSpPr txBox="1">
          <a:spLocks xmlns:a="http://schemas.openxmlformats.org/drawingml/2006/main" noChangeArrowheads="1"/>
        </cdr:cNvSpPr>
      </cdr:nvSpPr>
      <cdr:spPr bwMode="auto">
        <a:xfrm xmlns:a="http://schemas.openxmlformats.org/drawingml/2006/main">
          <a:off x="3834020" y="3688678"/>
          <a:ext cx="274624" cy="1766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0.34975</cdr:x>
      <cdr:y>0.58825</cdr:y>
    </cdr:from>
    <cdr:to>
      <cdr:x>0.366</cdr:x>
      <cdr:y>0.6195</cdr:y>
    </cdr:to>
    <cdr:sp macro="" textlink="">
      <cdr:nvSpPr>
        <cdr:cNvPr id="9228" name="Text Box 1036"/>
        <cdr:cNvSpPr txBox="1">
          <a:spLocks xmlns:a="http://schemas.openxmlformats.org/drawingml/2006/main" noChangeArrowheads="1"/>
        </cdr:cNvSpPr>
      </cdr:nvSpPr>
      <cdr:spPr bwMode="auto">
        <a:xfrm xmlns:a="http://schemas.openxmlformats.org/drawingml/2006/main">
          <a:off x="3001563" y="3434689"/>
          <a:ext cx="139458"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0.28125</cdr:x>
      <cdr:y>0.62025</cdr:y>
    </cdr:from>
    <cdr:to>
      <cdr:x>0.30375</cdr:x>
      <cdr:y>0.64975</cdr:y>
    </cdr:to>
    <cdr:sp macro="" textlink="">
      <cdr:nvSpPr>
        <cdr:cNvPr id="9229" name="Text Box 1037"/>
        <cdr:cNvSpPr txBox="1">
          <a:spLocks xmlns:a="http://schemas.openxmlformats.org/drawingml/2006/main" noChangeArrowheads="1"/>
        </cdr:cNvSpPr>
      </cdr:nvSpPr>
      <cdr:spPr bwMode="auto">
        <a:xfrm xmlns:a="http://schemas.openxmlformats.org/drawingml/2006/main">
          <a:off x="2413695" y="3621531"/>
          <a:ext cx="193095"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a:t>
          </a:r>
        </a:p>
      </cdr:txBody>
    </cdr:sp>
  </cdr:relSizeAnchor>
  <cdr:relSizeAnchor xmlns:cdr="http://schemas.openxmlformats.org/drawingml/2006/chartDrawing">
    <cdr:from>
      <cdr:x>0.48675</cdr:x>
      <cdr:y>0.57275</cdr:y>
    </cdr:from>
    <cdr:to>
      <cdr:x>0.51175</cdr:x>
      <cdr:y>0.6055</cdr:y>
    </cdr:to>
    <cdr:sp macro="" textlink="">
      <cdr:nvSpPr>
        <cdr:cNvPr id="9230" name="Text Box 1038"/>
        <cdr:cNvSpPr txBox="1">
          <a:spLocks xmlns:a="http://schemas.openxmlformats.org/drawingml/2006/main" noChangeArrowheads="1"/>
        </cdr:cNvSpPr>
      </cdr:nvSpPr>
      <cdr:spPr bwMode="auto">
        <a:xfrm xmlns:a="http://schemas.openxmlformats.org/drawingml/2006/main">
          <a:off x="4177301" y="3344187"/>
          <a:ext cx="214550"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8</a:t>
          </a:r>
        </a:p>
      </cdr:txBody>
    </cdr:sp>
  </cdr:relSizeAnchor>
  <cdr:relSizeAnchor xmlns:cdr="http://schemas.openxmlformats.org/drawingml/2006/chartDrawing">
    <cdr:from>
      <cdr:x>0.41625</cdr:x>
      <cdr:y>0.57275</cdr:y>
    </cdr:from>
    <cdr:to>
      <cdr:x>0.44675</cdr:x>
      <cdr:y>0.6055</cdr:y>
    </cdr:to>
    <cdr:sp macro="" textlink="">
      <cdr:nvSpPr>
        <cdr:cNvPr id="9231" name="Text Box 1039"/>
        <cdr:cNvSpPr txBox="1">
          <a:spLocks xmlns:a="http://schemas.openxmlformats.org/drawingml/2006/main" noChangeArrowheads="1"/>
        </cdr:cNvSpPr>
      </cdr:nvSpPr>
      <cdr:spPr bwMode="auto">
        <a:xfrm xmlns:a="http://schemas.openxmlformats.org/drawingml/2006/main">
          <a:off x="3572268" y="3344187"/>
          <a:ext cx="261752" cy="191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6</a:t>
          </a:r>
        </a:p>
      </cdr:txBody>
    </cdr:sp>
  </cdr:relSizeAnchor>
  <cdr:relSizeAnchor xmlns:cdr="http://schemas.openxmlformats.org/drawingml/2006/chartDrawing">
    <cdr:from>
      <cdr:x>0.3885</cdr:x>
      <cdr:y>0.43475</cdr:y>
    </cdr:from>
    <cdr:to>
      <cdr:x>0.427</cdr:x>
      <cdr:y>0.47875</cdr:y>
    </cdr:to>
    <cdr:sp macro="" textlink="">
      <cdr:nvSpPr>
        <cdr:cNvPr id="9232" name="Text Box 1040"/>
        <cdr:cNvSpPr txBox="1">
          <a:spLocks xmlns:a="http://schemas.openxmlformats.org/drawingml/2006/main" noChangeArrowheads="1"/>
        </cdr:cNvSpPr>
      </cdr:nvSpPr>
      <cdr:spPr bwMode="auto">
        <a:xfrm xmlns:a="http://schemas.openxmlformats.org/drawingml/2006/main">
          <a:off x="3334117" y="2538429"/>
          <a:ext cx="330408" cy="2569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5</a:t>
          </a:r>
        </a:p>
      </cdr:txBody>
    </cdr:sp>
  </cdr:relSizeAnchor>
  <cdr:relSizeAnchor xmlns:cdr="http://schemas.openxmlformats.org/drawingml/2006/chartDrawing">
    <cdr:from>
      <cdr:x>0.7025</cdr:x>
      <cdr:y>0.95925</cdr:y>
    </cdr:from>
    <cdr:to>
      <cdr:x>0.996</cdr:x>
      <cdr:y>0.99025</cdr:y>
    </cdr:to>
    <cdr:sp macro="" textlink="">
      <cdr:nvSpPr>
        <cdr:cNvPr id="9233" name="Text Box 1041"/>
        <cdr:cNvSpPr txBox="1">
          <a:spLocks xmlns:a="http://schemas.openxmlformats.org/drawingml/2006/main" noChangeArrowheads="1"/>
        </cdr:cNvSpPr>
      </cdr:nvSpPr>
      <cdr:spPr bwMode="auto">
        <a:xfrm xmlns:a="http://schemas.openxmlformats.org/drawingml/2006/main">
          <a:off x="6028873" y="5600893"/>
          <a:ext cx="2518824"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0.2575</cdr:x>
      <cdr:y>0.74125</cdr:y>
    </cdr:from>
    <cdr:to>
      <cdr:x>0.7615</cdr:x>
      <cdr:y>0.88425</cdr:y>
    </cdr:to>
    <cdr:sp macro="" textlink="">
      <cdr:nvSpPr>
        <cdr:cNvPr id="9234" name="Text Box 1042"/>
        <cdr:cNvSpPr txBox="1">
          <a:spLocks xmlns:a="http://schemas.openxmlformats.org/drawingml/2006/main" noChangeArrowheads="1"/>
        </cdr:cNvSpPr>
      </cdr:nvSpPr>
      <cdr:spPr bwMode="auto">
        <a:xfrm xmlns:a="http://schemas.openxmlformats.org/drawingml/2006/main">
          <a:off x="2209871" y="4328029"/>
          <a:ext cx="4325341" cy="83495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             2   110WPB           3   123WPB                  4   Fremantle        </a:t>
          </a:r>
        </a:p>
        <a:p xmlns:a="http://schemas.openxmlformats.org/drawingml/2006/main">
          <a:pPr algn="l" rtl="0">
            <a:defRPr sz="1000"/>
          </a:pPr>
          <a:r>
            <a:rPr lang="en-US" sz="1000" b="1" i="0" u="none" strike="noStrike" baseline="0">
              <a:solidFill>
                <a:srgbClr val="993300"/>
              </a:solidFill>
              <a:latin typeface="Arial"/>
              <a:cs typeface="Arial"/>
            </a:rPr>
            <a:t>  5   Stanflex      6   Damen 4207    7   Philipines LPC       8   Damen 4708   </a:t>
          </a:r>
        </a:p>
        <a:p xmlns:a="http://schemas.openxmlformats.org/drawingml/2006/main">
          <a:pPr algn="l" rtl="0">
            <a:defRPr sz="1000"/>
          </a:pPr>
          <a:r>
            <a:rPr lang="en-US" sz="1000" b="1" i="0" u="none" strike="noStrike" baseline="0">
              <a:solidFill>
                <a:srgbClr val="993300"/>
              </a:solidFill>
              <a:latin typeface="Arial"/>
              <a:cs typeface="Arial"/>
            </a:rPr>
            <a:t>  9   Cyclone    10   Armidale         </a:t>
          </a:r>
          <a:r>
            <a:rPr lang="en-US" sz="1000" b="1" i="0" u="none" strike="noStrike" baseline="0">
              <a:solidFill>
                <a:srgbClr val="808000"/>
              </a:solidFill>
              <a:latin typeface="Arial"/>
              <a:cs typeface="Arial"/>
            </a:rPr>
            <a:t>11   Helsinki                12   Rauma</a:t>
          </a:r>
        </a:p>
        <a:p xmlns:a="http://schemas.openxmlformats.org/drawingml/2006/main">
          <a:pPr algn="l" rtl="0">
            <a:defRPr sz="1000"/>
          </a:pPr>
          <a:r>
            <a:rPr lang="en-US" sz="1000" b="1" i="0" u="none" strike="noStrike" baseline="0">
              <a:solidFill>
                <a:srgbClr val="808000"/>
              </a:solidFill>
              <a:latin typeface="Arial"/>
              <a:cs typeface="Arial"/>
            </a:rPr>
            <a:t>13   Hamina     14   Ramadan        </a:t>
          </a: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0.82275</cdr:x>
      <cdr:y>0.6955</cdr:y>
    </cdr:from>
    <cdr:to>
      <cdr:x>0.86825</cdr:x>
      <cdr:y>0.72475</cdr:y>
    </cdr:to>
    <cdr:sp macro="" textlink="">
      <cdr:nvSpPr>
        <cdr:cNvPr id="9235" name="Text Box 1043"/>
        <cdr:cNvSpPr txBox="1">
          <a:spLocks xmlns:a="http://schemas.openxmlformats.org/drawingml/2006/main" noChangeArrowheads="1"/>
        </cdr:cNvSpPr>
      </cdr:nvSpPr>
      <cdr:spPr bwMode="auto">
        <a:xfrm xmlns:a="http://schemas.openxmlformats.org/drawingml/2006/main">
          <a:off x="7060861" y="4060903"/>
          <a:ext cx="390482" cy="17078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0.7405</cdr:y>
    </cdr:from>
    <cdr:to>
      <cdr:x>0.869</cdr:x>
      <cdr:y>0.7715</cdr:y>
    </cdr:to>
    <cdr:sp macro="" textlink="">
      <cdr:nvSpPr>
        <cdr:cNvPr id="9236" name="Text Box 1044"/>
        <cdr:cNvSpPr txBox="1">
          <a:spLocks xmlns:a="http://schemas.openxmlformats.org/drawingml/2006/main" noChangeArrowheads="1"/>
        </cdr:cNvSpPr>
      </cdr:nvSpPr>
      <cdr:spPr bwMode="auto">
        <a:xfrm xmlns:a="http://schemas.openxmlformats.org/drawingml/2006/main">
          <a:off x="7069443" y="4323650"/>
          <a:ext cx="388337" cy="18100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0.78125</cdr:y>
    </cdr:from>
    <cdr:to>
      <cdr:x>0.86825</cdr:x>
      <cdr:y>0.81225</cdr:y>
    </cdr:to>
    <cdr:sp macro="" textlink="">
      <cdr:nvSpPr>
        <cdr:cNvPr id="9237" name="Text Box 1045"/>
        <cdr:cNvSpPr txBox="1">
          <a:spLocks xmlns:a="http://schemas.openxmlformats.org/drawingml/2006/main" noChangeArrowheads="1"/>
        </cdr:cNvSpPr>
      </cdr:nvSpPr>
      <cdr:spPr bwMode="auto">
        <a:xfrm xmlns:a="http://schemas.openxmlformats.org/drawingml/2006/main">
          <a:off x="7069443" y="4561582"/>
          <a:ext cx="381900" cy="18100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0.8155</cdr:y>
    </cdr:from>
    <cdr:to>
      <cdr:x>0.869</cdr:x>
      <cdr:y>0.858</cdr:y>
    </cdr:to>
    <cdr:sp macro="" textlink="">
      <cdr:nvSpPr>
        <cdr:cNvPr id="9238" name="Text Box 1046"/>
        <cdr:cNvSpPr txBox="1">
          <a:spLocks xmlns:a="http://schemas.openxmlformats.org/drawingml/2006/main" noChangeArrowheads="1"/>
        </cdr:cNvSpPr>
      </cdr:nvSpPr>
      <cdr:spPr bwMode="auto">
        <a:xfrm xmlns:a="http://schemas.openxmlformats.org/drawingml/2006/main">
          <a:off x="7069443" y="4761562"/>
          <a:ext cx="388337"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0.82375</cdr:x>
      <cdr:y>0.86375</cdr:y>
    </cdr:from>
    <cdr:to>
      <cdr:x>0.869</cdr:x>
      <cdr:y>0.895</cdr:y>
    </cdr:to>
    <cdr:sp macro="" textlink="">
      <cdr:nvSpPr>
        <cdr:cNvPr id="9239" name="Text Box 1047"/>
        <cdr:cNvSpPr txBox="1">
          <a:spLocks xmlns:a="http://schemas.openxmlformats.org/drawingml/2006/main" noChangeArrowheads="1"/>
        </cdr:cNvSpPr>
      </cdr:nvSpPr>
      <cdr:spPr bwMode="auto">
        <a:xfrm xmlns:a="http://schemas.openxmlformats.org/drawingml/2006/main">
          <a:off x="7069443" y="5043285"/>
          <a:ext cx="388337"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0.809</cdr:x>
      <cdr:y>0.04475</cdr:y>
    </cdr:from>
    <cdr:to>
      <cdr:x>0.90975</cdr:x>
      <cdr:y>0.12825</cdr:y>
    </cdr:to>
    <cdr:sp macro="" textlink="">
      <cdr:nvSpPr>
        <cdr:cNvPr id="11265" name="Text Box 1"/>
        <cdr:cNvSpPr txBox="1">
          <a:spLocks xmlns:a="http://schemas.openxmlformats.org/drawingml/2006/main" noChangeArrowheads="1"/>
        </cdr:cNvSpPr>
      </cdr:nvSpPr>
      <cdr:spPr bwMode="auto">
        <a:xfrm xmlns:a="http://schemas.openxmlformats.org/drawingml/2006/main">
          <a:off x="6942858" y="261287"/>
          <a:ext cx="864639" cy="4875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0.60875</cdr:x>
      <cdr:y>0.0785</cdr:y>
    </cdr:from>
    <cdr:to>
      <cdr:x>0.757</cdr:x>
      <cdr:y>0.38652</cdr:y>
    </cdr:to>
    <cdr:sp macro="" textlink="">
      <cdr:nvSpPr>
        <cdr:cNvPr id="11266" name="Text Box 2"/>
        <cdr:cNvSpPr txBox="1">
          <a:spLocks xmlns:a="http://schemas.openxmlformats.org/drawingml/2006/main" noChangeArrowheads="1"/>
        </cdr:cNvSpPr>
      </cdr:nvSpPr>
      <cdr:spPr bwMode="auto">
        <a:xfrm xmlns:a="http://schemas.openxmlformats.org/drawingml/2006/main">
          <a:off x="5281929" y="494190"/>
          <a:ext cx="1286318" cy="193914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0.2885</cdr:x>
      <cdr:y>0.75675</cdr:y>
    </cdr:from>
    <cdr:to>
      <cdr:x>0.3255</cdr:x>
      <cdr:y>0.78775</cdr:y>
    </cdr:to>
    <cdr:sp macro="" textlink="">
      <cdr:nvSpPr>
        <cdr:cNvPr id="11267" name="Text Box 3"/>
        <cdr:cNvSpPr txBox="1">
          <a:spLocks xmlns:a="http://schemas.openxmlformats.org/drawingml/2006/main" noChangeArrowheads="1"/>
        </cdr:cNvSpPr>
      </cdr:nvSpPr>
      <cdr:spPr bwMode="auto">
        <a:xfrm xmlns:a="http://schemas.openxmlformats.org/drawingml/2006/main">
          <a:off x="2475914" y="4418531"/>
          <a:ext cx="317535"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0.3565</cdr:x>
      <cdr:y>0.51325</cdr:y>
    </cdr:from>
    <cdr:to>
      <cdr:x>0.3715</cdr:x>
      <cdr:y>0.5425</cdr:y>
    </cdr:to>
    <cdr:sp macro="" textlink="">
      <cdr:nvSpPr>
        <cdr:cNvPr id="11268" name="Text Box 4"/>
        <cdr:cNvSpPr txBox="1">
          <a:spLocks xmlns:a="http://schemas.openxmlformats.org/drawingml/2006/main" noChangeArrowheads="1"/>
        </cdr:cNvSpPr>
      </cdr:nvSpPr>
      <cdr:spPr bwMode="auto">
        <a:xfrm xmlns:a="http://schemas.openxmlformats.org/drawingml/2006/main">
          <a:off x="3059492" y="2996777"/>
          <a:ext cx="128730" cy="170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0.381</cdr:x>
      <cdr:y>0.59825</cdr:y>
    </cdr:from>
    <cdr:to>
      <cdr:x>0.403</cdr:x>
      <cdr:y>0.6325</cdr:y>
    </cdr:to>
    <cdr:sp macro="" textlink="">
      <cdr:nvSpPr>
        <cdr:cNvPr id="11269" name="Text Box 5"/>
        <cdr:cNvSpPr txBox="1">
          <a:spLocks xmlns:a="http://schemas.openxmlformats.org/drawingml/2006/main" noChangeArrowheads="1"/>
        </cdr:cNvSpPr>
      </cdr:nvSpPr>
      <cdr:spPr bwMode="auto">
        <a:xfrm xmlns:a="http://schemas.openxmlformats.org/drawingml/2006/main">
          <a:off x="3269752" y="3493077"/>
          <a:ext cx="188804" cy="1999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0.31325</cdr:x>
      <cdr:y>0.62025</cdr:y>
    </cdr:from>
    <cdr:to>
      <cdr:x>0.344</cdr:x>
      <cdr:y>0.648</cdr:y>
    </cdr:to>
    <cdr:sp macro="" textlink="">
      <cdr:nvSpPr>
        <cdr:cNvPr id="11270" name="Text Box 6"/>
        <cdr:cNvSpPr txBox="1">
          <a:spLocks xmlns:a="http://schemas.openxmlformats.org/drawingml/2006/main" noChangeArrowheads="1"/>
        </cdr:cNvSpPr>
      </cdr:nvSpPr>
      <cdr:spPr bwMode="auto">
        <a:xfrm xmlns:a="http://schemas.openxmlformats.org/drawingml/2006/main">
          <a:off x="2688319" y="3621531"/>
          <a:ext cx="263898" cy="162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0.46075</cdr:x>
      <cdr:y>0.71175</cdr:y>
    </cdr:from>
    <cdr:to>
      <cdr:x>0.4785</cdr:x>
      <cdr:y>0.7395</cdr:y>
    </cdr:to>
    <cdr:sp macro="" textlink="">
      <cdr:nvSpPr>
        <cdr:cNvPr id="11272" name="Text Box 8"/>
        <cdr:cNvSpPr txBox="1">
          <a:spLocks xmlns:a="http://schemas.openxmlformats.org/drawingml/2006/main" noChangeArrowheads="1"/>
        </cdr:cNvSpPr>
      </cdr:nvSpPr>
      <cdr:spPr bwMode="auto">
        <a:xfrm xmlns:a="http://schemas.openxmlformats.org/drawingml/2006/main">
          <a:off x="3954168" y="4155784"/>
          <a:ext cx="152331" cy="1620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0.50125</cdr:x>
      <cdr:y>0.71825</cdr:y>
    </cdr:from>
    <cdr:to>
      <cdr:x>0.53825</cdr:x>
      <cdr:y>0.74925</cdr:y>
    </cdr:to>
    <cdr:sp macro="" textlink="">
      <cdr:nvSpPr>
        <cdr:cNvPr id="11273" name="Text Box 9"/>
        <cdr:cNvSpPr txBox="1">
          <a:spLocks xmlns:a="http://schemas.openxmlformats.org/drawingml/2006/main" noChangeArrowheads="1"/>
        </cdr:cNvSpPr>
      </cdr:nvSpPr>
      <cdr:spPr bwMode="auto">
        <a:xfrm xmlns:a="http://schemas.openxmlformats.org/drawingml/2006/main">
          <a:off x="4301740" y="4193736"/>
          <a:ext cx="317535"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0.41675</cdr:x>
      <cdr:y>0.72725</cdr:y>
    </cdr:from>
    <cdr:to>
      <cdr:x>0.44225</cdr:x>
      <cdr:y>0.75675</cdr:y>
    </cdr:to>
    <cdr:sp macro="" textlink="">
      <cdr:nvSpPr>
        <cdr:cNvPr id="11274" name="Text Box 10"/>
        <cdr:cNvSpPr txBox="1">
          <a:spLocks xmlns:a="http://schemas.openxmlformats.org/drawingml/2006/main" noChangeArrowheads="1"/>
        </cdr:cNvSpPr>
      </cdr:nvSpPr>
      <cdr:spPr bwMode="auto">
        <a:xfrm xmlns:a="http://schemas.openxmlformats.org/drawingml/2006/main">
          <a:off x="3576559" y="4246285"/>
          <a:ext cx="218842"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0.521</cdr:x>
      <cdr:y>0.6325</cdr:y>
    </cdr:from>
    <cdr:to>
      <cdr:x>0.56025</cdr:x>
      <cdr:y>0.6635</cdr:y>
    </cdr:to>
    <cdr:sp macro="" textlink="">
      <cdr:nvSpPr>
        <cdr:cNvPr id="11275" name="Text Box 11"/>
        <cdr:cNvSpPr txBox="1">
          <a:spLocks xmlns:a="http://schemas.openxmlformats.org/drawingml/2006/main" noChangeArrowheads="1"/>
        </cdr:cNvSpPr>
      </cdr:nvSpPr>
      <cdr:spPr bwMode="auto">
        <a:xfrm xmlns:a="http://schemas.openxmlformats.org/drawingml/2006/main">
          <a:off x="4471235" y="3693057"/>
          <a:ext cx="336845"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0.37975</cdr:x>
      <cdr:y>0.6325</cdr:y>
    </cdr:from>
    <cdr:to>
      <cdr:x>0.412</cdr:x>
      <cdr:y>0.6635</cdr:y>
    </cdr:to>
    <cdr:sp macro="" textlink="">
      <cdr:nvSpPr>
        <cdr:cNvPr id="11276" name="Text Box 12"/>
        <cdr:cNvSpPr txBox="1">
          <a:spLocks xmlns:a="http://schemas.openxmlformats.org/drawingml/2006/main" noChangeArrowheads="1"/>
        </cdr:cNvSpPr>
      </cdr:nvSpPr>
      <cdr:spPr bwMode="auto">
        <a:xfrm xmlns:a="http://schemas.openxmlformats.org/drawingml/2006/main">
          <a:off x="3259024" y="3693057"/>
          <a:ext cx="276770"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0.34325</cdr:x>
      <cdr:y>0.58925</cdr:y>
    </cdr:from>
    <cdr:to>
      <cdr:x>0.3605</cdr:x>
      <cdr:y>0.62025</cdr:y>
    </cdr:to>
    <cdr:sp macro="" textlink="">
      <cdr:nvSpPr>
        <cdr:cNvPr id="11277" name="Text Box 13"/>
        <cdr:cNvSpPr txBox="1">
          <a:spLocks xmlns:a="http://schemas.openxmlformats.org/drawingml/2006/main" noChangeArrowheads="1"/>
        </cdr:cNvSpPr>
      </cdr:nvSpPr>
      <cdr:spPr bwMode="auto">
        <a:xfrm xmlns:a="http://schemas.openxmlformats.org/drawingml/2006/main">
          <a:off x="2945780" y="3440528"/>
          <a:ext cx="148040"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0.3565</cdr:x>
      <cdr:y>0.72575</cdr:y>
    </cdr:from>
    <cdr:to>
      <cdr:x>0.38875</cdr:x>
      <cdr:y>0.75675</cdr:y>
    </cdr:to>
    <cdr:sp macro="" textlink="">
      <cdr:nvSpPr>
        <cdr:cNvPr id="11282" name="Text Box 18"/>
        <cdr:cNvSpPr txBox="1">
          <a:spLocks xmlns:a="http://schemas.openxmlformats.org/drawingml/2006/main" noChangeArrowheads="1"/>
        </cdr:cNvSpPr>
      </cdr:nvSpPr>
      <cdr:spPr bwMode="auto">
        <a:xfrm xmlns:a="http://schemas.openxmlformats.org/drawingml/2006/main">
          <a:off x="3059492" y="4237527"/>
          <a:ext cx="276770"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0.6995</cdr:x>
      <cdr:y>0.95925</cdr:y>
    </cdr:from>
    <cdr:to>
      <cdr:x>0.992</cdr:x>
      <cdr:y>0.99025</cdr:y>
    </cdr:to>
    <cdr:sp macro="" textlink="">
      <cdr:nvSpPr>
        <cdr:cNvPr id="11283" name="Text Box 19"/>
        <cdr:cNvSpPr txBox="1">
          <a:spLocks xmlns:a="http://schemas.openxmlformats.org/drawingml/2006/main" noChangeArrowheads="1"/>
        </cdr:cNvSpPr>
      </cdr:nvSpPr>
      <cdr:spPr bwMode="auto">
        <a:xfrm xmlns:a="http://schemas.openxmlformats.org/drawingml/2006/main">
          <a:off x="6003126" y="5600893"/>
          <a:ext cx="2510243"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0.80675</cdr:x>
      <cdr:y>0.68475</cdr:y>
    </cdr:from>
    <cdr:to>
      <cdr:x>0.852</cdr:x>
      <cdr:y>0.71425</cdr:y>
    </cdr:to>
    <cdr:sp macro="" textlink="">
      <cdr:nvSpPr>
        <cdr:cNvPr id="11284" name="Text Box 20"/>
        <cdr:cNvSpPr txBox="1">
          <a:spLocks xmlns:a="http://schemas.openxmlformats.org/drawingml/2006/main" noChangeArrowheads="1"/>
        </cdr:cNvSpPr>
      </cdr:nvSpPr>
      <cdr:spPr bwMode="auto">
        <a:xfrm xmlns:a="http://schemas.openxmlformats.org/drawingml/2006/main">
          <a:off x="6923549" y="3998135"/>
          <a:ext cx="388336" cy="17224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0.8075</cdr:x>
      <cdr:y>0.72975</cdr:y>
    </cdr:from>
    <cdr:to>
      <cdr:x>0.85275</cdr:x>
      <cdr:y>0.76075</cdr:y>
    </cdr:to>
    <cdr:sp macro="" textlink="">
      <cdr:nvSpPr>
        <cdr:cNvPr id="11285" name="Text Box 21"/>
        <cdr:cNvSpPr txBox="1">
          <a:spLocks xmlns:a="http://schemas.openxmlformats.org/drawingml/2006/main" noChangeArrowheads="1"/>
        </cdr:cNvSpPr>
      </cdr:nvSpPr>
      <cdr:spPr bwMode="auto">
        <a:xfrm xmlns:a="http://schemas.openxmlformats.org/drawingml/2006/main">
          <a:off x="6929985" y="4260883"/>
          <a:ext cx="388337" cy="18100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0.8075</cdr:x>
      <cdr:y>0.7705</cdr:y>
    </cdr:from>
    <cdr:to>
      <cdr:x>0.85175</cdr:x>
      <cdr:y>0.80175</cdr:y>
    </cdr:to>
    <cdr:sp macro="" textlink="">
      <cdr:nvSpPr>
        <cdr:cNvPr id="11286" name="Text Box 22"/>
        <cdr:cNvSpPr txBox="1">
          <a:spLocks xmlns:a="http://schemas.openxmlformats.org/drawingml/2006/main" noChangeArrowheads="1"/>
        </cdr:cNvSpPr>
      </cdr:nvSpPr>
      <cdr:spPr bwMode="auto">
        <a:xfrm xmlns:a="http://schemas.openxmlformats.org/drawingml/2006/main">
          <a:off x="6929985" y="4498815"/>
          <a:ext cx="379755"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0.8075</cdr:x>
      <cdr:y>0.805</cdr:y>
    </cdr:from>
    <cdr:to>
      <cdr:x>0.85275</cdr:x>
      <cdr:y>0.8475</cdr:y>
    </cdr:to>
    <cdr:sp macro="" textlink="">
      <cdr:nvSpPr>
        <cdr:cNvPr id="11287" name="Text Box 23"/>
        <cdr:cNvSpPr txBox="1">
          <a:spLocks xmlns:a="http://schemas.openxmlformats.org/drawingml/2006/main" noChangeArrowheads="1"/>
        </cdr:cNvSpPr>
      </cdr:nvSpPr>
      <cdr:spPr bwMode="auto">
        <a:xfrm xmlns:a="http://schemas.openxmlformats.org/drawingml/2006/main">
          <a:off x="6929985" y="4700254"/>
          <a:ext cx="388337"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0.80675</cdr:x>
      <cdr:y>0.854</cdr:y>
    </cdr:from>
    <cdr:to>
      <cdr:x>0.852</cdr:x>
      <cdr:y>0.885</cdr:y>
    </cdr:to>
    <cdr:sp macro="" textlink="">
      <cdr:nvSpPr>
        <cdr:cNvPr id="11288" name="Text Box 24"/>
        <cdr:cNvSpPr txBox="1">
          <a:spLocks xmlns:a="http://schemas.openxmlformats.org/drawingml/2006/main" noChangeArrowheads="1"/>
        </cdr:cNvSpPr>
      </cdr:nvSpPr>
      <cdr:spPr bwMode="auto">
        <a:xfrm xmlns:a="http://schemas.openxmlformats.org/drawingml/2006/main">
          <a:off x="6923549" y="4986357"/>
          <a:ext cx="388336" cy="18100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0.80925</cdr:x>
      <cdr:y>0.0465</cdr:y>
    </cdr:from>
    <cdr:to>
      <cdr:x>0.91</cdr:x>
      <cdr:y>0.12925</cdr:y>
    </cdr:to>
    <cdr:sp macro="" textlink="">
      <cdr:nvSpPr>
        <cdr:cNvPr id="13313" name="Text Box 1025"/>
        <cdr:cNvSpPr txBox="1">
          <a:spLocks xmlns:a="http://schemas.openxmlformats.org/drawingml/2006/main" noChangeArrowheads="1"/>
        </cdr:cNvSpPr>
      </cdr:nvSpPr>
      <cdr:spPr bwMode="auto">
        <a:xfrm xmlns:a="http://schemas.openxmlformats.org/drawingml/2006/main">
          <a:off x="6945004" y="271505"/>
          <a:ext cx="864639" cy="4831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0.07125</cdr:x>
      <cdr:y>0.07525</cdr:y>
    </cdr:from>
    <cdr:to>
      <cdr:x>0.2185</cdr:x>
      <cdr:y>0.36525</cdr:y>
    </cdr:to>
    <cdr:sp macro="" textlink="">
      <cdr:nvSpPr>
        <cdr:cNvPr id="13314" name="Text Box 1026"/>
        <cdr:cNvSpPr txBox="1">
          <a:spLocks xmlns:a="http://schemas.openxmlformats.org/drawingml/2006/main" noChangeArrowheads="1"/>
        </cdr:cNvSpPr>
      </cdr:nvSpPr>
      <cdr:spPr bwMode="auto">
        <a:xfrm xmlns:a="http://schemas.openxmlformats.org/drawingml/2006/main">
          <a:off x="618213" y="473731"/>
          <a:ext cx="1277642" cy="18256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0.295</cdr:x>
      <cdr:y>0.74625</cdr:y>
    </cdr:from>
    <cdr:to>
      <cdr:x>0.331</cdr:x>
      <cdr:y>0.77675</cdr:y>
    </cdr:to>
    <cdr:sp macro="" textlink="">
      <cdr:nvSpPr>
        <cdr:cNvPr id="13315" name="Text Box 1027"/>
        <cdr:cNvSpPr txBox="1">
          <a:spLocks xmlns:a="http://schemas.openxmlformats.org/drawingml/2006/main" noChangeArrowheads="1"/>
        </cdr:cNvSpPr>
      </cdr:nvSpPr>
      <cdr:spPr bwMode="auto">
        <a:xfrm xmlns:a="http://schemas.openxmlformats.org/drawingml/2006/main">
          <a:off x="2531697" y="4357223"/>
          <a:ext cx="308953"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0.349</cdr:x>
      <cdr:y>0.6455</cdr:y>
    </cdr:from>
    <cdr:to>
      <cdr:x>0.3645</cdr:x>
      <cdr:y>0.67575</cdr:y>
    </cdr:to>
    <cdr:sp macro="" textlink="">
      <cdr:nvSpPr>
        <cdr:cNvPr id="13316" name="Text Box 1028"/>
        <cdr:cNvSpPr txBox="1">
          <a:spLocks xmlns:a="http://schemas.openxmlformats.org/drawingml/2006/main" noChangeArrowheads="1"/>
        </cdr:cNvSpPr>
      </cdr:nvSpPr>
      <cdr:spPr bwMode="auto">
        <a:xfrm xmlns:a="http://schemas.openxmlformats.org/drawingml/2006/main">
          <a:off x="2995127" y="3768962"/>
          <a:ext cx="133021" cy="1766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0.35325</cdr:x>
      <cdr:y>0.6035</cdr:y>
    </cdr:from>
    <cdr:to>
      <cdr:x>0.3755</cdr:x>
      <cdr:y>0.629</cdr:y>
    </cdr:to>
    <cdr:sp macro="" textlink="">
      <cdr:nvSpPr>
        <cdr:cNvPr id="13317" name="Text Box 1029"/>
        <cdr:cNvSpPr txBox="1">
          <a:spLocks xmlns:a="http://schemas.openxmlformats.org/drawingml/2006/main" noChangeArrowheads="1"/>
        </cdr:cNvSpPr>
      </cdr:nvSpPr>
      <cdr:spPr bwMode="auto">
        <a:xfrm xmlns:a="http://schemas.openxmlformats.org/drawingml/2006/main">
          <a:off x="3031600" y="3523731"/>
          <a:ext cx="190950" cy="1488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0.322</cdr:x>
      <cdr:y>0.54125</cdr:y>
    </cdr:from>
    <cdr:to>
      <cdr:x>0.35325</cdr:x>
      <cdr:y>0.56825</cdr:y>
    </cdr:to>
    <cdr:sp macro="" textlink="">
      <cdr:nvSpPr>
        <cdr:cNvPr id="13318" name="Text Box 1030"/>
        <cdr:cNvSpPr txBox="1">
          <a:spLocks xmlns:a="http://schemas.openxmlformats.org/drawingml/2006/main" noChangeArrowheads="1"/>
        </cdr:cNvSpPr>
      </cdr:nvSpPr>
      <cdr:spPr bwMode="auto">
        <a:xfrm xmlns:a="http://schemas.openxmlformats.org/drawingml/2006/main">
          <a:off x="2763412" y="3160264"/>
          <a:ext cx="268188" cy="1576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0.43325</cdr:x>
      <cdr:y>0.661</cdr:y>
    </cdr:from>
    <cdr:to>
      <cdr:x>0.45125</cdr:x>
      <cdr:y>0.689</cdr:y>
    </cdr:to>
    <cdr:sp macro="" textlink="">
      <cdr:nvSpPr>
        <cdr:cNvPr id="13319" name="Text Box 1031"/>
        <cdr:cNvSpPr txBox="1">
          <a:spLocks xmlns:a="http://schemas.openxmlformats.org/drawingml/2006/main" noChangeArrowheads="1"/>
        </cdr:cNvSpPr>
      </cdr:nvSpPr>
      <cdr:spPr bwMode="auto">
        <a:xfrm xmlns:a="http://schemas.openxmlformats.org/drawingml/2006/main">
          <a:off x="3718162" y="3859463"/>
          <a:ext cx="154477"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0.51575</cdr:x>
      <cdr:y>0.464</cdr:y>
    </cdr:from>
    <cdr:to>
      <cdr:x>0.5465</cdr:x>
      <cdr:y>0.496</cdr:y>
    </cdr:to>
    <cdr:sp macro="" textlink="">
      <cdr:nvSpPr>
        <cdr:cNvPr id="13320" name="Text Box 1032"/>
        <cdr:cNvSpPr txBox="1">
          <a:spLocks xmlns:a="http://schemas.openxmlformats.org/drawingml/2006/main" noChangeArrowheads="1"/>
        </cdr:cNvSpPr>
      </cdr:nvSpPr>
      <cdr:spPr bwMode="auto">
        <a:xfrm xmlns:a="http://schemas.openxmlformats.org/drawingml/2006/main">
          <a:off x="4426179" y="2709215"/>
          <a:ext cx="263898" cy="186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0.3825</cdr:x>
      <cdr:y>0.6085</cdr:y>
    </cdr:from>
    <cdr:to>
      <cdr:x>0.4075</cdr:x>
      <cdr:y>0.638</cdr:y>
    </cdr:to>
    <cdr:sp macro="" textlink="">
      <cdr:nvSpPr>
        <cdr:cNvPr id="13321" name="Text Box 1033"/>
        <cdr:cNvSpPr txBox="1">
          <a:spLocks xmlns:a="http://schemas.openxmlformats.org/drawingml/2006/main" noChangeArrowheads="1"/>
        </cdr:cNvSpPr>
      </cdr:nvSpPr>
      <cdr:spPr bwMode="auto">
        <a:xfrm xmlns:a="http://schemas.openxmlformats.org/drawingml/2006/main">
          <a:off x="3282625" y="3552925"/>
          <a:ext cx="214550" cy="1722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0.37475</cdr:x>
      <cdr:y>0.689</cdr:y>
    </cdr:from>
    <cdr:to>
      <cdr:x>0.4075</cdr:x>
      <cdr:y>0.72</cdr:y>
    </cdr:to>
    <cdr:sp macro="" textlink="">
      <cdr:nvSpPr>
        <cdr:cNvPr id="13322" name="Text Box 1034"/>
        <cdr:cNvSpPr txBox="1">
          <a:spLocks xmlns:a="http://schemas.openxmlformats.org/drawingml/2006/main" noChangeArrowheads="1"/>
        </cdr:cNvSpPr>
      </cdr:nvSpPr>
      <cdr:spPr bwMode="auto">
        <a:xfrm xmlns:a="http://schemas.openxmlformats.org/drawingml/2006/main">
          <a:off x="3216114" y="4022950"/>
          <a:ext cx="281061"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0.349</cdr:x>
      <cdr:y>0.689</cdr:y>
    </cdr:from>
    <cdr:to>
      <cdr:x>0.36725</cdr:x>
      <cdr:y>0.72</cdr:y>
    </cdr:to>
    <cdr:sp macro="" textlink="">
      <cdr:nvSpPr>
        <cdr:cNvPr id="13323" name="Text Box 1035"/>
        <cdr:cNvSpPr txBox="1">
          <a:spLocks xmlns:a="http://schemas.openxmlformats.org/drawingml/2006/main" noChangeArrowheads="1"/>
        </cdr:cNvSpPr>
      </cdr:nvSpPr>
      <cdr:spPr bwMode="auto">
        <a:xfrm xmlns:a="http://schemas.openxmlformats.org/drawingml/2006/main">
          <a:off x="2995127" y="4022950"/>
          <a:ext cx="156622"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0.37475</cdr:x>
      <cdr:y>0.6685</cdr:y>
    </cdr:from>
    <cdr:to>
      <cdr:x>0.4075</cdr:x>
      <cdr:y>0.6995</cdr:y>
    </cdr:to>
    <cdr:sp macro="" textlink="">
      <cdr:nvSpPr>
        <cdr:cNvPr id="13324" name="Text Box 1036"/>
        <cdr:cNvSpPr txBox="1">
          <a:spLocks xmlns:a="http://schemas.openxmlformats.org/drawingml/2006/main" noChangeArrowheads="1"/>
        </cdr:cNvSpPr>
      </cdr:nvSpPr>
      <cdr:spPr bwMode="auto">
        <a:xfrm xmlns:a="http://schemas.openxmlformats.org/drawingml/2006/main">
          <a:off x="3216114" y="3903255"/>
          <a:ext cx="281061" cy="1810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0.534</cdr:x>
      <cdr:y>0.6175</cdr:y>
    </cdr:from>
    <cdr:to>
      <cdr:x>0.55975</cdr:x>
      <cdr:y>0.647</cdr:y>
    </cdr:to>
    <cdr:sp macro="" textlink="">
      <cdr:nvSpPr>
        <cdr:cNvPr id="13325" name="Text Box 1037"/>
        <cdr:cNvSpPr txBox="1">
          <a:spLocks xmlns:a="http://schemas.openxmlformats.org/drawingml/2006/main" noChangeArrowheads="1"/>
        </cdr:cNvSpPr>
      </cdr:nvSpPr>
      <cdr:spPr bwMode="auto">
        <a:xfrm xmlns:a="http://schemas.openxmlformats.org/drawingml/2006/main">
          <a:off x="4582801" y="3605474"/>
          <a:ext cx="220987" cy="1722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0.707</cdr:x>
      <cdr:y>0.9605</cdr:y>
    </cdr:from>
    <cdr:to>
      <cdr:x>1</cdr:x>
      <cdr:y>0.9915</cdr:y>
    </cdr:to>
    <cdr:sp macro="" textlink="">
      <cdr:nvSpPr>
        <cdr:cNvPr id="13326" name="Text Box 1038"/>
        <cdr:cNvSpPr txBox="1">
          <a:spLocks xmlns:a="http://schemas.openxmlformats.org/drawingml/2006/main" noChangeArrowheads="1"/>
        </cdr:cNvSpPr>
      </cdr:nvSpPr>
      <cdr:spPr bwMode="auto">
        <a:xfrm xmlns:a="http://schemas.openxmlformats.org/drawingml/2006/main">
          <a:off x="6067492" y="5608191"/>
          <a:ext cx="251453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0.812</cdr:x>
      <cdr:y>0.689</cdr:y>
    </cdr:from>
    <cdr:to>
      <cdr:x>0.857</cdr:x>
      <cdr:y>0.7185</cdr:y>
    </cdr:to>
    <cdr:sp macro="" textlink="">
      <cdr:nvSpPr>
        <cdr:cNvPr id="13327" name="Text Box 1039"/>
        <cdr:cNvSpPr txBox="1">
          <a:spLocks xmlns:a="http://schemas.openxmlformats.org/drawingml/2006/main" noChangeArrowheads="1"/>
        </cdr:cNvSpPr>
      </cdr:nvSpPr>
      <cdr:spPr bwMode="auto">
        <a:xfrm xmlns:a="http://schemas.openxmlformats.org/drawingml/2006/main">
          <a:off x="6968604" y="4022950"/>
          <a:ext cx="386191" cy="17224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0.81275</cdr:x>
      <cdr:y>0.734</cdr:y>
    </cdr:from>
    <cdr:to>
      <cdr:x>0.85825</cdr:x>
      <cdr:y>0.76525</cdr:y>
    </cdr:to>
    <cdr:sp macro="" textlink="">
      <cdr:nvSpPr>
        <cdr:cNvPr id="13328" name="Text Box 1040"/>
        <cdr:cNvSpPr txBox="1">
          <a:spLocks xmlns:a="http://schemas.openxmlformats.org/drawingml/2006/main" noChangeArrowheads="1"/>
        </cdr:cNvSpPr>
      </cdr:nvSpPr>
      <cdr:spPr bwMode="auto">
        <a:xfrm xmlns:a="http://schemas.openxmlformats.org/drawingml/2006/main">
          <a:off x="6975041" y="4285698"/>
          <a:ext cx="39048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0.81275</cdr:x>
      <cdr:y>0.7735</cdr:y>
    </cdr:from>
    <cdr:to>
      <cdr:x>0.857</cdr:x>
      <cdr:y>0.8045</cdr:y>
    </cdr:to>
    <cdr:sp macro="" textlink="">
      <cdr:nvSpPr>
        <cdr:cNvPr id="13329" name="Text Box 1041"/>
        <cdr:cNvSpPr txBox="1">
          <a:spLocks xmlns:a="http://schemas.openxmlformats.org/drawingml/2006/main" noChangeArrowheads="1"/>
        </cdr:cNvSpPr>
      </cdr:nvSpPr>
      <cdr:spPr bwMode="auto">
        <a:xfrm xmlns:a="http://schemas.openxmlformats.org/drawingml/2006/main">
          <a:off x="6975041" y="4516331"/>
          <a:ext cx="379754" cy="18100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0.81275</cdr:x>
      <cdr:y>0.808</cdr:y>
    </cdr:from>
    <cdr:to>
      <cdr:x>0.85825</cdr:x>
      <cdr:y>0.8505</cdr:y>
    </cdr:to>
    <cdr:sp macro="" textlink="">
      <cdr:nvSpPr>
        <cdr:cNvPr id="13330" name="Text Box 1042"/>
        <cdr:cNvSpPr txBox="1">
          <a:spLocks xmlns:a="http://schemas.openxmlformats.org/drawingml/2006/main" noChangeArrowheads="1"/>
        </cdr:cNvSpPr>
      </cdr:nvSpPr>
      <cdr:spPr bwMode="auto">
        <a:xfrm xmlns:a="http://schemas.openxmlformats.org/drawingml/2006/main">
          <a:off x="6975041" y="4717771"/>
          <a:ext cx="390482"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0.812</cdr:x>
      <cdr:y>0.857</cdr:y>
    </cdr:from>
    <cdr:to>
      <cdr:x>0.857</cdr:x>
      <cdr:y>0.88825</cdr:y>
    </cdr:to>
    <cdr:sp macro="" textlink="">
      <cdr:nvSpPr>
        <cdr:cNvPr id="13331" name="Text Box 1043"/>
        <cdr:cNvSpPr txBox="1">
          <a:spLocks xmlns:a="http://schemas.openxmlformats.org/drawingml/2006/main" noChangeArrowheads="1"/>
        </cdr:cNvSpPr>
      </cdr:nvSpPr>
      <cdr:spPr bwMode="auto">
        <a:xfrm xmlns:a="http://schemas.openxmlformats.org/drawingml/2006/main">
          <a:off x="6968604" y="5003873"/>
          <a:ext cx="386191"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0.8095</cdr:x>
      <cdr:y>0.03125</cdr:y>
    </cdr:from>
    <cdr:to>
      <cdr:x>0.91025</cdr:x>
      <cdr:y>0.11425</cdr:y>
    </cdr:to>
    <cdr:sp macro="" textlink="">
      <cdr:nvSpPr>
        <cdr:cNvPr id="15361" name="Text Box 1"/>
        <cdr:cNvSpPr txBox="1">
          <a:spLocks xmlns:a="http://schemas.openxmlformats.org/drawingml/2006/main" noChangeArrowheads="1"/>
        </cdr:cNvSpPr>
      </cdr:nvSpPr>
      <cdr:spPr bwMode="auto">
        <a:xfrm xmlns:a="http://schemas.openxmlformats.org/drawingml/2006/main">
          <a:off x="6947149" y="182463"/>
          <a:ext cx="864639" cy="4846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0.08175</cdr:x>
      <cdr:y>0.0815</cdr:y>
    </cdr:from>
    <cdr:to>
      <cdr:x>0.22975</cdr:x>
      <cdr:y>0.37707</cdr:y>
    </cdr:to>
    <cdr:sp macro="" textlink="">
      <cdr:nvSpPr>
        <cdr:cNvPr id="15362" name="Text Box 2"/>
        <cdr:cNvSpPr txBox="1">
          <a:spLocks xmlns:a="http://schemas.openxmlformats.org/drawingml/2006/main" noChangeArrowheads="1"/>
        </cdr:cNvSpPr>
      </cdr:nvSpPr>
      <cdr:spPr bwMode="auto">
        <a:xfrm xmlns:a="http://schemas.openxmlformats.org/drawingml/2006/main">
          <a:off x="709319" y="513078"/>
          <a:ext cx="1284148" cy="186073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0.3</cdr:x>
      <cdr:y>0.68675</cdr:y>
    </cdr:from>
    <cdr:to>
      <cdr:x>0.335</cdr:x>
      <cdr:y>0.717</cdr:y>
    </cdr:to>
    <cdr:sp macro="" textlink="">
      <cdr:nvSpPr>
        <cdr:cNvPr id="15363" name="Text Box 3"/>
        <cdr:cNvSpPr txBox="1">
          <a:spLocks xmlns:a="http://schemas.openxmlformats.org/drawingml/2006/main" noChangeArrowheads="1"/>
        </cdr:cNvSpPr>
      </cdr:nvSpPr>
      <cdr:spPr bwMode="auto">
        <a:xfrm xmlns:a="http://schemas.openxmlformats.org/drawingml/2006/main">
          <a:off x="2574608" y="4009813"/>
          <a:ext cx="300370" cy="1766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0.35575</cdr:x>
      <cdr:y>0.67525</cdr:y>
    </cdr:from>
    <cdr:to>
      <cdr:x>0.37075</cdr:x>
      <cdr:y>0.704</cdr:y>
    </cdr:to>
    <cdr:sp macro="" textlink="">
      <cdr:nvSpPr>
        <cdr:cNvPr id="15364" name="Text Box 4"/>
        <cdr:cNvSpPr txBox="1">
          <a:spLocks xmlns:a="http://schemas.openxmlformats.org/drawingml/2006/main" noChangeArrowheads="1"/>
        </cdr:cNvSpPr>
      </cdr:nvSpPr>
      <cdr:spPr bwMode="auto">
        <a:xfrm xmlns:a="http://schemas.openxmlformats.org/drawingml/2006/main">
          <a:off x="3053055" y="3942667"/>
          <a:ext cx="128731" cy="167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0.353</cdr:x>
      <cdr:y>0.56325</cdr:y>
    </cdr:from>
    <cdr:to>
      <cdr:x>0.3755</cdr:x>
      <cdr:y>0.5885</cdr:y>
    </cdr:to>
    <cdr:sp macro="" textlink="">
      <cdr:nvSpPr>
        <cdr:cNvPr id="15365" name="Text Box 5"/>
        <cdr:cNvSpPr txBox="1">
          <a:spLocks xmlns:a="http://schemas.openxmlformats.org/drawingml/2006/main" noChangeArrowheads="1"/>
        </cdr:cNvSpPr>
      </cdr:nvSpPr>
      <cdr:spPr bwMode="auto">
        <a:xfrm xmlns:a="http://schemas.openxmlformats.org/drawingml/2006/main">
          <a:off x="3029455" y="3288718"/>
          <a:ext cx="193095" cy="1474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0.3295</cdr:x>
      <cdr:y>0.496</cdr:y>
    </cdr:from>
    <cdr:to>
      <cdr:x>0.35975</cdr:x>
      <cdr:y>0.52375</cdr:y>
    </cdr:to>
    <cdr:sp macro="" textlink="">
      <cdr:nvSpPr>
        <cdr:cNvPr id="15366" name="Text Box 6"/>
        <cdr:cNvSpPr txBox="1">
          <a:spLocks xmlns:a="http://schemas.openxmlformats.org/drawingml/2006/main" noChangeArrowheads="1"/>
        </cdr:cNvSpPr>
      </cdr:nvSpPr>
      <cdr:spPr bwMode="auto">
        <a:xfrm xmlns:a="http://schemas.openxmlformats.org/drawingml/2006/main">
          <a:off x="2827777" y="2896057"/>
          <a:ext cx="259606" cy="162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0.44925</cdr:x>
      <cdr:y>0.6165</cdr:y>
    </cdr:from>
    <cdr:to>
      <cdr:x>0.467</cdr:x>
      <cdr:y>0.64425</cdr:y>
    </cdr:to>
    <cdr:sp macro="" textlink="">
      <cdr:nvSpPr>
        <cdr:cNvPr id="15367" name="Text Box 7"/>
        <cdr:cNvSpPr txBox="1">
          <a:spLocks xmlns:a="http://schemas.openxmlformats.org/drawingml/2006/main" noChangeArrowheads="1"/>
        </cdr:cNvSpPr>
      </cdr:nvSpPr>
      <cdr:spPr bwMode="auto">
        <a:xfrm xmlns:a="http://schemas.openxmlformats.org/drawingml/2006/main">
          <a:off x="3855475" y="3599636"/>
          <a:ext cx="152331" cy="1620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0.5195</cdr:x>
      <cdr:y>0.35175</cdr:y>
    </cdr:from>
    <cdr:to>
      <cdr:x>0.54975</cdr:x>
      <cdr:y>0.383</cdr:y>
    </cdr:to>
    <cdr:sp macro="" textlink="">
      <cdr:nvSpPr>
        <cdr:cNvPr id="15368" name="Text Box 8"/>
        <cdr:cNvSpPr txBox="1">
          <a:spLocks xmlns:a="http://schemas.openxmlformats.org/drawingml/2006/main" noChangeArrowheads="1"/>
        </cdr:cNvSpPr>
      </cdr:nvSpPr>
      <cdr:spPr bwMode="auto">
        <a:xfrm xmlns:a="http://schemas.openxmlformats.org/drawingml/2006/main">
          <a:off x="4458362" y="2053807"/>
          <a:ext cx="259606"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0.3865</cdr:x>
      <cdr:y>0.53375</cdr:y>
    </cdr:from>
    <cdr:to>
      <cdr:x>0.41075</cdr:x>
      <cdr:y>0.56225</cdr:y>
    </cdr:to>
    <cdr:sp macro="" textlink="">
      <cdr:nvSpPr>
        <cdr:cNvPr id="15369" name="Text Box 9"/>
        <cdr:cNvSpPr txBox="1">
          <a:spLocks xmlns:a="http://schemas.openxmlformats.org/drawingml/2006/main" noChangeArrowheads="1"/>
        </cdr:cNvSpPr>
      </cdr:nvSpPr>
      <cdr:spPr bwMode="auto">
        <a:xfrm xmlns:a="http://schemas.openxmlformats.org/drawingml/2006/main">
          <a:off x="3316953" y="3116473"/>
          <a:ext cx="208114" cy="1664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0.379</cdr:x>
      <cdr:y>0.65725</cdr:y>
    </cdr:from>
    <cdr:to>
      <cdr:x>0.41075</cdr:x>
      <cdr:y>0.69</cdr:y>
    </cdr:to>
    <cdr:sp macro="" textlink="">
      <cdr:nvSpPr>
        <cdr:cNvPr id="15370" name="Text Box 10"/>
        <cdr:cNvSpPr txBox="1">
          <a:spLocks xmlns:a="http://schemas.openxmlformats.org/drawingml/2006/main" noChangeArrowheads="1"/>
        </cdr:cNvSpPr>
      </cdr:nvSpPr>
      <cdr:spPr bwMode="auto">
        <a:xfrm xmlns:a="http://schemas.openxmlformats.org/drawingml/2006/main">
          <a:off x="3252587" y="3837568"/>
          <a:ext cx="272480" cy="191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0.33425</cdr:x>
      <cdr:y>0.66725</cdr:y>
    </cdr:from>
    <cdr:to>
      <cdr:x>0.353</cdr:x>
      <cdr:y>0.70075</cdr:y>
    </cdr:to>
    <cdr:sp macro="" textlink="">
      <cdr:nvSpPr>
        <cdr:cNvPr id="15371" name="Text Box 11"/>
        <cdr:cNvSpPr txBox="1">
          <a:spLocks xmlns:a="http://schemas.openxmlformats.org/drawingml/2006/main" noChangeArrowheads="1"/>
        </cdr:cNvSpPr>
      </cdr:nvSpPr>
      <cdr:spPr bwMode="auto">
        <a:xfrm xmlns:a="http://schemas.openxmlformats.org/drawingml/2006/main">
          <a:off x="2868542" y="3895956"/>
          <a:ext cx="160913" cy="195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0.379</cdr:x>
      <cdr:y>0.6255</cdr:y>
    </cdr:from>
    <cdr:to>
      <cdr:x>0.41075</cdr:x>
      <cdr:y>0.6565</cdr:y>
    </cdr:to>
    <cdr:sp macro="" textlink="">
      <cdr:nvSpPr>
        <cdr:cNvPr id="15372" name="Text Box 12"/>
        <cdr:cNvSpPr txBox="1">
          <a:spLocks xmlns:a="http://schemas.openxmlformats.org/drawingml/2006/main" noChangeArrowheads="1"/>
        </cdr:cNvSpPr>
      </cdr:nvSpPr>
      <cdr:spPr bwMode="auto">
        <a:xfrm xmlns:a="http://schemas.openxmlformats.org/drawingml/2006/main">
          <a:off x="3252587" y="3652185"/>
          <a:ext cx="272480"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0.53925</cdr:x>
      <cdr:y>0.54525</cdr:y>
    </cdr:from>
    <cdr:to>
      <cdr:x>0.56475</cdr:x>
      <cdr:y>0.5745</cdr:y>
    </cdr:to>
    <cdr:sp macro="" textlink="">
      <cdr:nvSpPr>
        <cdr:cNvPr id="15373" name="Text Box 13"/>
        <cdr:cNvSpPr txBox="1">
          <a:spLocks xmlns:a="http://schemas.openxmlformats.org/drawingml/2006/main" noChangeArrowheads="1"/>
        </cdr:cNvSpPr>
      </cdr:nvSpPr>
      <cdr:spPr bwMode="auto">
        <a:xfrm xmlns:a="http://schemas.openxmlformats.org/drawingml/2006/main">
          <a:off x="4627857" y="3183619"/>
          <a:ext cx="218842" cy="170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0.70175</cdr:x>
      <cdr:y>0.96175</cdr:y>
    </cdr:from>
    <cdr:to>
      <cdr:x>0.99475</cdr:x>
      <cdr:y>0.99275</cdr:y>
    </cdr:to>
    <cdr:sp macro="" textlink="">
      <cdr:nvSpPr>
        <cdr:cNvPr id="15374" name="Text Box 14"/>
        <cdr:cNvSpPr txBox="1">
          <a:spLocks xmlns:a="http://schemas.openxmlformats.org/drawingml/2006/main" noChangeArrowheads="1"/>
        </cdr:cNvSpPr>
      </cdr:nvSpPr>
      <cdr:spPr bwMode="auto">
        <a:xfrm xmlns:a="http://schemas.openxmlformats.org/drawingml/2006/main">
          <a:off x="6022436" y="5615490"/>
          <a:ext cx="2514533" cy="1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0.8125</cdr:x>
      <cdr:y>0.68275</cdr:y>
    </cdr:from>
    <cdr:to>
      <cdr:x>0.85775</cdr:x>
      <cdr:y>0.71225</cdr:y>
    </cdr:to>
    <cdr:sp macro="" textlink="">
      <cdr:nvSpPr>
        <cdr:cNvPr id="15375" name="Text Box 15"/>
        <cdr:cNvSpPr txBox="1">
          <a:spLocks xmlns:a="http://schemas.openxmlformats.org/drawingml/2006/main" noChangeArrowheads="1"/>
        </cdr:cNvSpPr>
      </cdr:nvSpPr>
      <cdr:spPr bwMode="auto">
        <a:xfrm xmlns:a="http://schemas.openxmlformats.org/drawingml/2006/main">
          <a:off x="6972895" y="3986458"/>
          <a:ext cx="388337"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0.81325</cdr:x>
      <cdr:y>0.72775</cdr:y>
    </cdr:from>
    <cdr:to>
      <cdr:x>0.8585</cdr:x>
      <cdr:y>0.759</cdr:y>
    </cdr:to>
    <cdr:sp macro="" textlink="">
      <cdr:nvSpPr>
        <cdr:cNvPr id="15376" name="Text Box 16"/>
        <cdr:cNvSpPr txBox="1">
          <a:spLocks xmlns:a="http://schemas.openxmlformats.org/drawingml/2006/main" noChangeArrowheads="1"/>
        </cdr:cNvSpPr>
      </cdr:nvSpPr>
      <cdr:spPr bwMode="auto">
        <a:xfrm xmlns:a="http://schemas.openxmlformats.org/drawingml/2006/main">
          <a:off x="6979332" y="4249205"/>
          <a:ext cx="388336"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0.81325</cdr:x>
      <cdr:y>0.7745</cdr:y>
    </cdr:from>
    <cdr:to>
      <cdr:x>0.8575</cdr:x>
      <cdr:y>0.8055</cdr:y>
    </cdr:to>
    <cdr:sp macro="" textlink="">
      <cdr:nvSpPr>
        <cdr:cNvPr id="15377" name="Text Box 17"/>
        <cdr:cNvSpPr txBox="1">
          <a:spLocks xmlns:a="http://schemas.openxmlformats.org/drawingml/2006/main" noChangeArrowheads="1"/>
        </cdr:cNvSpPr>
      </cdr:nvSpPr>
      <cdr:spPr bwMode="auto">
        <a:xfrm xmlns:a="http://schemas.openxmlformats.org/drawingml/2006/main">
          <a:off x="6979332" y="4522170"/>
          <a:ext cx="379754" cy="18100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0.81325</cdr:x>
      <cdr:y>0.8105</cdr:y>
    </cdr:from>
    <cdr:to>
      <cdr:x>0.8585</cdr:x>
      <cdr:y>0.853</cdr:y>
    </cdr:to>
    <cdr:sp macro="" textlink="">
      <cdr:nvSpPr>
        <cdr:cNvPr id="15378" name="Text Box 18"/>
        <cdr:cNvSpPr txBox="1">
          <a:spLocks xmlns:a="http://schemas.openxmlformats.org/drawingml/2006/main" noChangeArrowheads="1"/>
        </cdr:cNvSpPr>
      </cdr:nvSpPr>
      <cdr:spPr bwMode="auto">
        <a:xfrm xmlns:a="http://schemas.openxmlformats.org/drawingml/2006/main">
          <a:off x="6979332" y="4732368"/>
          <a:ext cx="388336" cy="2481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0.81475</cdr:x>
      <cdr:y>0.86375</cdr:y>
    </cdr:from>
    <cdr:to>
      <cdr:x>0.858</cdr:x>
      <cdr:y>0.895</cdr:y>
    </cdr:to>
    <cdr:sp macro="" textlink="">
      <cdr:nvSpPr>
        <cdr:cNvPr id="15379" name="Text Box 19"/>
        <cdr:cNvSpPr txBox="1">
          <a:spLocks xmlns:a="http://schemas.openxmlformats.org/drawingml/2006/main" noChangeArrowheads="1"/>
        </cdr:cNvSpPr>
      </cdr:nvSpPr>
      <cdr:spPr bwMode="auto">
        <a:xfrm xmlns:a="http://schemas.openxmlformats.org/drawingml/2006/main">
          <a:off x="6992205" y="5043285"/>
          <a:ext cx="371172" cy="18246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8587383" cy="584150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0.81825</cdr:x>
      <cdr:y>0.06775</cdr:y>
    </cdr:from>
    <cdr:to>
      <cdr:x>0.8965</cdr:x>
      <cdr:y>0.12625</cdr:y>
    </cdr:to>
    <cdr:sp macro="" textlink="">
      <cdr:nvSpPr>
        <cdr:cNvPr id="17409" name="Text Box 2049"/>
        <cdr:cNvSpPr txBox="1">
          <a:spLocks xmlns:a="http://schemas.openxmlformats.org/drawingml/2006/main" noChangeArrowheads="1"/>
        </cdr:cNvSpPr>
      </cdr:nvSpPr>
      <cdr:spPr bwMode="auto">
        <a:xfrm xmlns:a="http://schemas.openxmlformats.org/drawingml/2006/main">
          <a:off x="7022242" y="395580"/>
          <a:ext cx="671543" cy="341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sz="1400" b="1" i="0" u="none" strike="noStrike" baseline="0">
              <a:solidFill>
                <a:srgbClr val="000000"/>
              </a:solidFill>
              <a:latin typeface="Arial"/>
              <a:cs typeface="Arial"/>
            </a:rPr>
            <a:t>Key</a:t>
          </a:r>
        </a:p>
      </cdr:txBody>
    </cdr:sp>
  </cdr:relSizeAnchor>
  <cdr:relSizeAnchor xmlns:cdr="http://schemas.openxmlformats.org/drawingml/2006/chartDrawing">
    <cdr:from>
      <cdr:x>0.09725</cdr:x>
      <cdr:y>0.08175</cdr:y>
    </cdr:from>
    <cdr:to>
      <cdr:x>0.2465</cdr:x>
      <cdr:y>0.49936</cdr:y>
    </cdr:to>
    <cdr:sp macro="" textlink="">
      <cdr:nvSpPr>
        <cdr:cNvPr id="17425" name="Text Box 2065"/>
        <cdr:cNvSpPr txBox="1">
          <a:spLocks xmlns:a="http://schemas.openxmlformats.org/drawingml/2006/main" noChangeArrowheads="1"/>
        </cdr:cNvSpPr>
      </cdr:nvSpPr>
      <cdr:spPr bwMode="auto">
        <a:xfrm xmlns:a="http://schemas.openxmlformats.org/drawingml/2006/main">
          <a:off x="835123" y="477543"/>
          <a:ext cx="1281667" cy="243948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6350">
          <a:solidFill>
            <a:schemeClr val="tx1"/>
          </a:solidFill>
          <a:miter lim="800000"/>
          <a:headEnd/>
          <a:tailEn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1" i="0" u="sng" strike="noStrike" baseline="0">
              <a:solidFill>
                <a:srgbClr val="000000"/>
              </a:solidFill>
              <a:latin typeface="Arial"/>
              <a:cs typeface="Arial"/>
            </a:rPr>
            <a:t> Vessels of Interest</a:t>
          </a:r>
          <a:endParaRPr lang="en-US" sz="1000" b="1" i="0" u="none" strike="noStrike" baseline="0">
            <a:solidFill>
              <a:srgbClr val="993300"/>
            </a:solidFill>
            <a:latin typeface="Arial"/>
            <a:cs typeface="Arial"/>
          </a:endParaRPr>
        </a:p>
        <a:p xmlns:a="http://schemas.openxmlformats.org/drawingml/2006/main">
          <a:pPr algn="l" rtl="0">
            <a:defRPr sz="1000"/>
          </a:pPr>
          <a:r>
            <a:rPr lang="en-US" sz="1000" b="1" i="0" u="none" strike="noStrike" baseline="0">
              <a:solidFill>
                <a:srgbClr val="993300"/>
              </a:solidFill>
              <a:latin typeface="Arial"/>
              <a:cs typeface="Arial"/>
            </a:rPr>
            <a:t>  1   Bay</a:t>
          </a:r>
        </a:p>
        <a:p xmlns:a="http://schemas.openxmlformats.org/drawingml/2006/main">
          <a:pPr algn="l" rtl="0">
            <a:defRPr sz="1000"/>
          </a:pPr>
          <a:r>
            <a:rPr lang="en-US" sz="1000" b="1" i="0" u="none" strike="noStrike" baseline="0">
              <a:solidFill>
                <a:srgbClr val="993300"/>
              </a:solidFill>
              <a:latin typeface="Arial"/>
              <a:cs typeface="Arial"/>
            </a:rPr>
            <a:t>  2   110WPB</a:t>
          </a:r>
        </a:p>
        <a:p xmlns:a="http://schemas.openxmlformats.org/drawingml/2006/main">
          <a:pPr algn="l" rtl="0">
            <a:defRPr sz="1000"/>
          </a:pPr>
          <a:r>
            <a:rPr lang="en-US" sz="1000" b="1" i="0" u="none" strike="noStrike" baseline="0">
              <a:solidFill>
                <a:srgbClr val="993300"/>
              </a:solidFill>
              <a:latin typeface="Arial"/>
              <a:cs typeface="Arial"/>
            </a:rPr>
            <a:t>  3   123WPB</a:t>
          </a:r>
        </a:p>
        <a:p xmlns:a="http://schemas.openxmlformats.org/drawingml/2006/main">
          <a:pPr algn="l" rtl="0">
            <a:defRPr sz="1000"/>
          </a:pPr>
          <a:r>
            <a:rPr lang="en-US" sz="1000" b="1" i="0" u="none" strike="noStrike" baseline="0">
              <a:solidFill>
                <a:srgbClr val="993300"/>
              </a:solidFill>
              <a:latin typeface="Arial"/>
              <a:cs typeface="Arial"/>
            </a:rPr>
            <a:t>  4   Fremantle</a:t>
          </a:r>
        </a:p>
        <a:p xmlns:a="http://schemas.openxmlformats.org/drawingml/2006/main">
          <a:pPr algn="l" rtl="0">
            <a:defRPr sz="1000"/>
          </a:pPr>
          <a:r>
            <a:rPr lang="en-US" sz="1000" b="1" i="0" u="none" strike="noStrike" baseline="0">
              <a:solidFill>
                <a:srgbClr val="993300"/>
              </a:solidFill>
              <a:latin typeface="Arial"/>
              <a:cs typeface="Arial"/>
            </a:rPr>
            <a:t>  5   Stanflex</a:t>
          </a:r>
        </a:p>
        <a:p xmlns:a="http://schemas.openxmlformats.org/drawingml/2006/main">
          <a:pPr algn="l" rtl="0">
            <a:defRPr sz="1000"/>
          </a:pPr>
          <a:r>
            <a:rPr lang="en-US" sz="1000" b="1" i="0" u="none" strike="noStrike" baseline="0">
              <a:solidFill>
                <a:srgbClr val="993300"/>
              </a:solidFill>
              <a:latin typeface="Arial"/>
              <a:cs typeface="Arial"/>
            </a:rPr>
            <a:t>  6   Damen 4207</a:t>
          </a:r>
        </a:p>
        <a:p xmlns:a="http://schemas.openxmlformats.org/drawingml/2006/main">
          <a:pPr algn="l" rtl="0">
            <a:defRPr sz="1000"/>
          </a:pPr>
          <a:r>
            <a:rPr lang="en-US" sz="1000" b="1" i="0" u="none" strike="noStrike" baseline="0">
              <a:solidFill>
                <a:srgbClr val="993300"/>
              </a:solidFill>
              <a:latin typeface="Arial"/>
              <a:cs typeface="Arial"/>
            </a:rPr>
            <a:t>  7   Philipines LPC</a:t>
          </a:r>
        </a:p>
        <a:p xmlns:a="http://schemas.openxmlformats.org/drawingml/2006/main">
          <a:pPr algn="l" rtl="0">
            <a:defRPr sz="1000"/>
          </a:pPr>
          <a:r>
            <a:rPr lang="en-US" sz="1000" b="1" i="0" u="none" strike="noStrike" baseline="0">
              <a:solidFill>
                <a:srgbClr val="993300"/>
              </a:solidFill>
              <a:latin typeface="Arial"/>
              <a:cs typeface="Arial"/>
            </a:rPr>
            <a:t>  8   Damen 4708</a:t>
          </a:r>
        </a:p>
        <a:p xmlns:a="http://schemas.openxmlformats.org/drawingml/2006/main">
          <a:pPr algn="l" rtl="0">
            <a:defRPr sz="1000"/>
          </a:pPr>
          <a:r>
            <a:rPr lang="en-US" sz="1000" b="1" i="0" u="none" strike="noStrike" baseline="0">
              <a:solidFill>
                <a:srgbClr val="993300"/>
              </a:solidFill>
              <a:latin typeface="Arial"/>
              <a:cs typeface="Arial"/>
            </a:rPr>
            <a:t>  9   Cyclone</a:t>
          </a:r>
        </a:p>
        <a:p xmlns:a="http://schemas.openxmlformats.org/drawingml/2006/main">
          <a:pPr algn="l" rtl="0">
            <a:defRPr sz="1000"/>
          </a:pPr>
          <a:r>
            <a:rPr lang="en-US" sz="1000" b="1" i="0" u="none" strike="noStrike" baseline="0">
              <a:solidFill>
                <a:srgbClr val="993300"/>
              </a:solidFill>
              <a:latin typeface="Arial"/>
              <a:cs typeface="Arial"/>
            </a:rPr>
            <a:t>10   Armidale</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808000"/>
              </a:solidFill>
              <a:latin typeface="Arial"/>
              <a:cs typeface="Arial"/>
            </a:rPr>
            <a:t>11   Helsinki</a:t>
          </a:r>
        </a:p>
        <a:p xmlns:a="http://schemas.openxmlformats.org/drawingml/2006/main">
          <a:pPr algn="l" rtl="0">
            <a:defRPr sz="1000"/>
          </a:pPr>
          <a:r>
            <a:rPr lang="en-US" sz="1000" b="1" i="0" u="none" strike="noStrike" baseline="0">
              <a:solidFill>
                <a:srgbClr val="808000"/>
              </a:solidFill>
              <a:latin typeface="Arial"/>
              <a:cs typeface="Arial"/>
            </a:rPr>
            <a:t>12   Rauma</a:t>
          </a:r>
        </a:p>
        <a:p xmlns:a="http://schemas.openxmlformats.org/drawingml/2006/main">
          <a:pPr algn="l" rtl="0">
            <a:defRPr sz="1000"/>
          </a:pPr>
          <a:r>
            <a:rPr lang="en-US" sz="1000" b="1" i="0" u="none" strike="noStrike" baseline="0">
              <a:solidFill>
                <a:srgbClr val="808000"/>
              </a:solidFill>
              <a:latin typeface="Arial"/>
              <a:cs typeface="Arial"/>
            </a:rPr>
            <a:t>13   Hamina</a:t>
          </a:r>
        </a:p>
        <a:p xmlns:a="http://schemas.openxmlformats.org/drawingml/2006/main">
          <a:pPr algn="l" rtl="0">
            <a:defRPr sz="1000"/>
          </a:pPr>
          <a:r>
            <a:rPr lang="en-US" sz="1000" b="1" i="0" u="none" strike="noStrike" baseline="0">
              <a:solidFill>
                <a:srgbClr val="808000"/>
              </a:solidFill>
              <a:latin typeface="Arial"/>
              <a:cs typeface="Arial"/>
            </a:rPr>
            <a:t>14   Ramadan</a:t>
          </a:r>
          <a:endParaRPr lang="en-US" sz="1000" b="0" i="0" u="none" strike="noStrike" baseline="0">
            <a:solidFill>
              <a:srgbClr val="000000"/>
            </a:solidFill>
            <a:latin typeface="Arial"/>
            <a:cs typeface="Arial"/>
          </a:endParaRPr>
        </a:p>
        <a:p xmlns:a="http://schemas.openxmlformats.org/drawingml/2006/main">
          <a:pPr algn="l" rtl="0">
            <a:defRPr sz="1000"/>
          </a:pPr>
          <a:r>
            <a:rPr lang="en-US" sz="1000" b="1" i="0" u="none" strike="noStrike" baseline="0">
              <a:solidFill>
                <a:srgbClr val="FF0000"/>
              </a:solidFill>
              <a:latin typeface="Arial"/>
              <a:cs typeface="Arial"/>
            </a:rPr>
            <a:t>15   Murbarraz</a:t>
          </a:r>
        </a:p>
      </cdr:txBody>
    </cdr:sp>
  </cdr:relSizeAnchor>
  <cdr:relSizeAnchor xmlns:cdr="http://schemas.openxmlformats.org/drawingml/2006/chartDrawing">
    <cdr:from>
      <cdr:x>0.30625</cdr:x>
      <cdr:y>0.66325</cdr:y>
    </cdr:from>
    <cdr:to>
      <cdr:x>0.34425</cdr:x>
      <cdr:y>0.69475</cdr:y>
    </cdr:to>
    <cdr:sp macro="" textlink="">
      <cdr:nvSpPr>
        <cdr:cNvPr id="17426" name="Text Box 2066"/>
        <cdr:cNvSpPr txBox="1">
          <a:spLocks xmlns:a="http://schemas.openxmlformats.org/drawingml/2006/main" noChangeArrowheads="1"/>
        </cdr:cNvSpPr>
      </cdr:nvSpPr>
      <cdr:spPr bwMode="auto">
        <a:xfrm xmlns:a="http://schemas.openxmlformats.org/drawingml/2006/main">
          <a:off x="2628245" y="3872601"/>
          <a:ext cx="326117" cy="183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10</a:t>
          </a:r>
        </a:p>
      </cdr:txBody>
    </cdr:sp>
  </cdr:relSizeAnchor>
  <cdr:relSizeAnchor xmlns:cdr="http://schemas.openxmlformats.org/drawingml/2006/chartDrawing">
    <cdr:from>
      <cdr:x>0.36175</cdr:x>
      <cdr:y>0.65175</cdr:y>
    </cdr:from>
    <cdr:to>
      <cdr:x>0.3765</cdr:x>
      <cdr:y>0.6815</cdr:y>
    </cdr:to>
    <cdr:sp macro="" textlink="">
      <cdr:nvSpPr>
        <cdr:cNvPr id="17427" name="Text Box 2067"/>
        <cdr:cNvSpPr txBox="1">
          <a:spLocks xmlns:a="http://schemas.openxmlformats.org/drawingml/2006/main" noChangeArrowheads="1"/>
        </cdr:cNvSpPr>
      </cdr:nvSpPr>
      <cdr:spPr bwMode="auto">
        <a:xfrm xmlns:a="http://schemas.openxmlformats.org/drawingml/2006/main">
          <a:off x="3104548" y="3805454"/>
          <a:ext cx="126584" cy="173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2</a:t>
          </a:r>
        </a:p>
      </cdr:txBody>
    </cdr:sp>
  </cdr:relSizeAnchor>
  <cdr:relSizeAnchor xmlns:cdr="http://schemas.openxmlformats.org/drawingml/2006/chartDrawing">
    <cdr:from>
      <cdr:x>0.3885</cdr:x>
      <cdr:y>0.66325</cdr:y>
    </cdr:from>
    <cdr:to>
      <cdr:x>0.4105</cdr:x>
      <cdr:y>0.697</cdr:y>
    </cdr:to>
    <cdr:sp macro="" textlink="">
      <cdr:nvSpPr>
        <cdr:cNvPr id="17428" name="Text Box 2068"/>
        <cdr:cNvSpPr txBox="1">
          <a:spLocks xmlns:a="http://schemas.openxmlformats.org/drawingml/2006/main" noChangeArrowheads="1"/>
        </cdr:cNvSpPr>
      </cdr:nvSpPr>
      <cdr:spPr bwMode="auto">
        <a:xfrm xmlns:a="http://schemas.openxmlformats.org/drawingml/2006/main">
          <a:off x="3334117" y="3872601"/>
          <a:ext cx="188804" cy="1970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4</a:t>
          </a:r>
        </a:p>
      </cdr:txBody>
    </cdr:sp>
  </cdr:relSizeAnchor>
  <cdr:relSizeAnchor xmlns:cdr="http://schemas.openxmlformats.org/drawingml/2006/chartDrawing">
    <cdr:from>
      <cdr:x>0.33825</cdr:x>
      <cdr:y>0.7655</cdr:y>
    </cdr:from>
    <cdr:to>
      <cdr:x>0.36975</cdr:x>
      <cdr:y>0.7935</cdr:y>
    </cdr:to>
    <cdr:sp macro="" textlink="">
      <cdr:nvSpPr>
        <cdr:cNvPr id="17429" name="Text Box 2069"/>
        <cdr:cNvSpPr txBox="1">
          <a:spLocks xmlns:a="http://schemas.openxmlformats.org/drawingml/2006/main" noChangeArrowheads="1"/>
        </cdr:cNvSpPr>
      </cdr:nvSpPr>
      <cdr:spPr bwMode="auto">
        <a:xfrm xmlns:a="http://schemas.openxmlformats.org/drawingml/2006/main">
          <a:off x="2902870" y="4469621"/>
          <a:ext cx="270334"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7</a:t>
          </a:r>
        </a:p>
      </cdr:txBody>
    </cdr:sp>
  </cdr:relSizeAnchor>
  <cdr:relSizeAnchor xmlns:cdr="http://schemas.openxmlformats.org/drawingml/2006/chartDrawing">
    <cdr:from>
      <cdr:x>0.361</cdr:x>
      <cdr:y>0.62475</cdr:y>
    </cdr:from>
    <cdr:to>
      <cdr:x>0.39125</cdr:x>
      <cdr:y>0.651</cdr:y>
    </cdr:to>
    <cdr:sp macro="" textlink="">
      <cdr:nvSpPr>
        <cdr:cNvPr id="17430" name="Text Box 2070"/>
        <cdr:cNvSpPr txBox="1">
          <a:spLocks xmlns:a="http://schemas.openxmlformats.org/drawingml/2006/main" noChangeArrowheads="1"/>
        </cdr:cNvSpPr>
      </cdr:nvSpPr>
      <cdr:spPr bwMode="auto">
        <a:xfrm xmlns:a="http://schemas.openxmlformats.org/drawingml/2006/main">
          <a:off x="3098111" y="3647806"/>
          <a:ext cx="259606" cy="1532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12</a:t>
          </a:r>
        </a:p>
      </cdr:txBody>
    </cdr:sp>
  </cdr:relSizeAnchor>
  <cdr:relSizeAnchor xmlns:cdr="http://schemas.openxmlformats.org/drawingml/2006/chartDrawing">
    <cdr:from>
      <cdr:x>0.454</cdr:x>
      <cdr:y>0.45825</cdr:y>
    </cdr:from>
    <cdr:to>
      <cdr:x>0.47275</cdr:x>
      <cdr:y>0.48625</cdr:y>
    </cdr:to>
    <cdr:sp macro="" textlink="">
      <cdr:nvSpPr>
        <cdr:cNvPr id="17431" name="Text Box 2071"/>
        <cdr:cNvSpPr txBox="1">
          <a:spLocks xmlns:a="http://schemas.openxmlformats.org/drawingml/2006/main" noChangeArrowheads="1"/>
        </cdr:cNvSpPr>
      </cdr:nvSpPr>
      <cdr:spPr bwMode="auto">
        <a:xfrm xmlns:a="http://schemas.openxmlformats.org/drawingml/2006/main">
          <a:off x="3896239" y="2675642"/>
          <a:ext cx="160913"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9</a:t>
          </a:r>
        </a:p>
      </cdr:txBody>
    </cdr:sp>
  </cdr:relSizeAnchor>
  <cdr:relSizeAnchor xmlns:cdr="http://schemas.openxmlformats.org/drawingml/2006/chartDrawing">
    <cdr:from>
      <cdr:x>0.5385</cdr:x>
      <cdr:y>0.3675</cdr:y>
    </cdr:from>
    <cdr:to>
      <cdr:x>0.57375</cdr:x>
      <cdr:y>0.399</cdr:y>
    </cdr:to>
    <cdr:sp macro="" textlink="">
      <cdr:nvSpPr>
        <cdr:cNvPr id="17432" name="Text Box 2072"/>
        <cdr:cNvSpPr txBox="1">
          <a:spLocks xmlns:a="http://schemas.openxmlformats.org/drawingml/2006/main" noChangeArrowheads="1"/>
        </cdr:cNvSpPr>
      </cdr:nvSpPr>
      <cdr:spPr bwMode="auto">
        <a:xfrm xmlns:a="http://schemas.openxmlformats.org/drawingml/2006/main">
          <a:off x="4621420" y="2145768"/>
          <a:ext cx="302517" cy="183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14</a:t>
          </a:r>
        </a:p>
      </cdr:txBody>
    </cdr:sp>
  </cdr:relSizeAnchor>
  <cdr:relSizeAnchor xmlns:cdr="http://schemas.openxmlformats.org/drawingml/2006/chartDrawing">
    <cdr:from>
      <cdr:x>0.43325</cdr:x>
      <cdr:y>0.63375</cdr:y>
    </cdr:from>
    <cdr:to>
      <cdr:x>0.45875</cdr:x>
      <cdr:y>0.6625</cdr:y>
    </cdr:to>
    <cdr:sp macro="" textlink="">
      <cdr:nvSpPr>
        <cdr:cNvPr id="17433" name="Text Box 2073"/>
        <cdr:cNvSpPr txBox="1">
          <a:spLocks xmlns:a="http://schemas.openxmlformats.org/drawingml/2006/main" noChangeArrowheads="1"/>
        </cdr:cNvSpPr>
      </cdr:nvSpPr>
      <cdr:spPr bwMode="auto">
        <a:xfrm xmlns:a="http://schemas.openxmlformats.org/drawingml/2006/main">
          <a:off x="3718162" y="3700355"/>
          <a:ext cx="218842" cy="167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13</a:t>
          </a:r>
        </a:p>
      </cdr:txBody>
    </cdr:sp>
  </cdr:relSizeAnchor>
  <cdr:relSizeAnchor xmlns:cdr="http://schemas.openxmlformats.org/drawingml/2006/chartDrawing">
    <cdr:from>
      <cdr:x>0.51775</cdr:x>
      <cdr:y>0.55125</cdr:y>
    </cdr:from>
    <cdr:to>
      <cdr:x>0.5565</cdr:x>
      <cdr:y>0.5825</cdr:y>
    </cdr:to>
    <cdr:sp macro="" textlink="">
      <cdr:nvSpPr>
        <cdr:cNvPr id="17434" name="Text Box 2074"/>
        <cdr:cNvSpPr txBox="1">
          <a:spLocks xmlns:a="http://schemas.openxmlformats.org/drawingml/2006/main" noChangeArrowheads="1"/>
        </cdr:cNvSpPr>
      </cdr:nvSpPr>
      <cdr:spPr bwMode="auto">
        <a:xfrm xmlns:a="http://schemas.openxmlformats.org/drawingml/2006/main">
          <a:off x="4443343" y="3218652"/>
          <a:ext cx="332554" cy="1824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FF0000"/>
              </a:solidFill>
              <a:latin typeface="Arial"/>
              <a:cs typeface="Arial"/>
            </a:rPr>
            <a:t>15</a:t>
          </a:r>
        </a:p>
      </cdr:txBody>
    </cdr:sp>
  </cdr:relSizeAnchor>
  <cdr:relSizeAnchor xmlns:cdr="http://schemas.openxmlformats.org/drawingml/2006/chartDrawing">
    <cdr:from>
      <cdr:x>0.35625</cdr:x>
      <cdr:y>0.543</cdr:y>
    </cdr:from>
    <cdr:to>
      <cdr:x>0.3885</cdr:x>
      <cdr:y>0.5745</cdr:y>
    </cdr:to>
    <cdr:sp macro="" textlink="">
      <cdr:nvSpPr>
        <cdr:cNvPr id="17435" name="Text Box 2075"/>
        <cdr:cNvSpPr txBox="1">
          <a:spLocks xmlns:a="http://schemas.openxmlformats.org/drawingml/2006/main" noChangeArrowheads="1"/>
        </cdr:cNvSpPr>
      </cdr:nvSpPr>
      <cdr:spPr bwMode="auto">
        <a:xfrm xmlns:a="http://schemas.openxmlformats.org/drawingml/2006/main">
          <a:off x="3057346" y="3170482"/>
          <a:ext cx="276771" cy="183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808000"/>
              </a:solidFill>
              <a:latin typeface="Arial"/>
              <a:cs typeface="Arial"/>
            </a:rPr>
            <a:t>11</a:t>
          </a:r>
        </a:p>
      </cdr:txBody>
    </cdr:sp>
  </cdr:relSizeAnchor>
  <cdr:relSizeAnchor xmlns:cdr="http://schemas.openxmlformats.org/drawingml/2006/chartDrawing">
    <cdr:from>
      <cdr:x>0.34425</cdr:x>
      <cdr:y>0.66325</cdr:y>
    </cdr:from>
    <cdr:to>
      <cdr:x>0.361</cdr:x>
      <cdr:y>0.69375</cdr:y>
    </cdr:to>
    <cdr:sp macro="" textlink="">
      <cdr:nvSpPr>
        <cdr:cNvPr id="17436" name="Text Box 2076"/>
        <cdr:cNvSpPr txBox="1">
          <a:spLocks xmlns:a="http://schemas.openxmlformats.org/drawingml/2006/main" noChangeArrowheads="1"/>
        </cdr:cNvSpPr>
      </cdr:nvSpPr>
      <cdr:spPr bwMode="auto">
        <a:xfrm xmlns:a="http://schemas.openxmlformats.org/drawingml/2006/main">
          <a:off x="2954362" y="3872601"/>
          <a:ext cx="143749" cy="1780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3</a:t>
          </a:r>
        </a:p>
      </cdr:txBody>
    </cdr:sp>
  </cdr:relSizeAnchor>
  <cdr:relSizeAnchor xmlns:cdr="http://schemas.openxmlformats.org/drawingml/2006/chartDrawing">
    <cdr:from>
      <cdr:x>0.36175</cdr:x>
      <cdr:y>0.787</cdr:y>
    </cdr:from>
    <cdr:to>
      <cdr:x>0.3845</cdr:x>
      <cdr:y>0.815</cdr:y>
    </cdr:to>
    <cdr:sp macro="" textlink="">
      <cdr:nvSpPr>
        <cdr:cNvPr id="17437" name="Text Box 2077"/>
        <cdr:cNvSpPr txBox="1">
          <a:spLocks xmlns:a="http://schemas.openxmlformats.org/drawingml/2006/main" noChangeArrowheads="1"/>
        </cdr:cNvSpPr>
      </cdr:nvSpPr>
      <cdr:spPr bwMode="auto">
        <a:xfrm xmlns:a="http://schemas.openxmlformats.org/drawingml/2006/main">
          <a:off x="3104548" y="4595155"/>
          <a:ext cx="195241" cy="1634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1</a:t>
          </a:r>
        </a:p>
      </cdr:txBody>
    </cdr:sp>
  </cdr:relSizeAnchor>
  <cdr:relSizeAnchor xmlns:cdr="http://schemas.openxmlformats.org/drawingml/2006/chartDrawing">
    <cdr:from>
      <cdr:x>0.2975</cdr:x>
      <cdr:y>0.63775</cdr:y>
    </cdr:from>
    <cdr:to>
      <cdr:x>0.323</cdr:x>
      <cdr:y>0.67</cdr:y>
    </cdr:to>
    <cdr:sp macro="" textlink="">
      <cdr:nvSpPr>
        <cdr:cNvPr id="17438" name="Text Box 2078"/>
        <cdr:cNvSpPr txBox="1">
          <a:spLocks xmlns:a="http://schemas.openxmlformats.org/drawingml/2006/main" noChangeArrowheads="1"/>
        </cdr:cNvSpPr>
      </cdr:nvSpPr>
      <cdr:spPr bwMode="auto">
        <a:xfrm xmlns:a="http://schemas.openxmlformats.org/drawingml/2006/main">
          <a:off x="2553152" y="3723711"/>
          <a:ext cx="218842" cy="1883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8</a:t>
          </a:r>
        </a:p>
      </cdr:txBody>
    </cdr:sp>
  </cdr:relSizeAnchor>
  <cdr:relSizeAnchor xmlns:cdr="http://schemas.openxmlformats.org/drawingml/2006/chartDrawing">
    <cdr:from>
      <cdr:x>0.26675</cdr:x>
      <cdr:y>0.71025</cdr:y>
    </cdr:from>
    <cdr:to>
      <cdr:x>0.29675</cdr:x>
      <cdr:y>0.7425</cdr:y>
    </cdr:to>
    <cdr:sp macro="" textlink="">
      <cdr:nvSpPr>
        <cdr:cNvPr id="17439" name="Text Box 2079"/>
        <cdr:cNvSpPr txBox="1">
          <a:spLocks xmlns:a="http://schemas.openxmlformats.org/drawingml/2006/main" noChangeArrowheads="1"/>
        </cdr:cNvSpPr>
      </cdr:nvSpPr>
      <cdr:spPr bwMode="auto">
        <a:xfrm xmlns:a="http://schemas.openxmlformats.org/drawingml/2006/main">
          <a:off x="2289255" y="4147025"/>
          <a:ext cx="257461" cy="1883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6</a:t>
          </a:r>
        </a:p>
      </cdr:txBody>
    </cdr:sp>
  </cdr:relSizeAnchor>
  <cdr:relSizeAnchor xmlns:cdr="http://schemas.openxmlformats.org/drawingml/2006/chartDrawing">
    <cdr:from>
      <cdr:x>0.1055</cdr:x>
      <cdr:y>0.70375</cdr:y>
    </cdr:from>
    <cdr:to>
      <cdr:x>0.2005</cdr:x>
      <cdr:y>0.7655</cdr:y>
    </cdr:to>
    <cdr:sp macro="" textlink="">
      <cdr:nvSpPr>
        <cdr:cNvPr id="17440" name="Text Box 2080"/>
        <cdr:cNvSpPr txBox="1">
          <a:spLocks xmlns:a="http://schemas.openxmlformats.org/drawingml/2006/main" noChangeArrowheads="1"/>
        </cdr:cNvSpPr>
      </cdr:nvSpPr>
      <cdr:spPr bwMode="auto">
        <a:xfrm xmlns:a="http://schemas.openxmlformats.org/drawingml/2006/main">
          <a:off x="905404" y="4109073"/>
          <a:ext cx="815292" cy="3605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993300"/>
              </a:solidFill>
              <a:latin typeface="Arial"/>
              <a:cs typeface="Arial"/>
            </a:rPr>
            <a:t>5 (Steel/GRP)</a:t>
          </a:r>
        </a:p>
      </cdr:txBody>
    </cdr:sp>
  </cdr:relSizeAnchor>
  <cdr:relSizeAnchor xmlns:cdr="http://schemas.openxmlformats.org/drawingml/2006/chartDrawing">
    <cdr:from>
      <cdr:x>0.201</cdr:x>
      <cdr:y>0.70375</cdr:y>
    </cdr:from>
    <cdr:to>
      <cdr:x>0.2205</cdr:x>
      <cdr:y>0.75475</cdr:y>
    </cdr:to>
    <cdr:sp macro="" textlink="">
      <cdr:nvSpPr>
        <cdr:cNvPr id="17441" name="Oval 2081"/>
        <cdr:cNvSpPr>
          <a:spLocks xmlns:a="http://schemas.openxmlformats.org/drawingml/2006/main" noChangeArrowheads="1"/>
        </cdr:cNvSpPr>
      </cdr:nvSpPr>
      <cdr:spPr bwMode="auto">
        <a:xfrm xmlns:a="http://schemas.openxmlformats.org/drawingml/2006/main">
          <a:off x="1724987" y="4109073"/>
          <a:ext cx="167350" cy="297780"/>
        </a:xfrm>
        <a:prstGeom xmlns:a="http://schemas.openxmlformats.org/drawingml/2006/main" prst="ellips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0.69775</cdr:x>
      <cdr:y>0.96025</cdr:y>
    </cdr:from>
    <cdr:to>
      <cdr:x>0.99025</cdr:x>
      <cdr:y>0.9915</cdr:y>
    </cdr:to>
    <cdr:sp macro="" textlink="">
      <cdr:nvSpPr>
        <cdr:cNvPr id="17442" name="Text Box 2082"/>
        <cdr:cNvSpPr txBox="1">
          <a:spLocks xmlns:a="http://schemas.openxmlformats.org/drawingml/2006/main" noChangeArrowheads="1"/>
        </cdr:cNvSpPr>
      </cdr:nvSpPr>
      <cdr:spPr bwMode="auto">
        <a:xfrm xmlns:a="http://schemas.openxmlformats.org/drawingml/2006/main">
          <a:off x="5988108" y="5606732"/>
          <a:ext cx="2510242" cy="182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1" i="0" u="none" strike="noStrike" baseline="0">
              <a:solidFill>
                <a:srgbClr val="000000"/>
              </a:solidFill>
              <a:latin typeface="Arial"/>
              <a:cs typeface="Arial"/>
            </a:rPr>
            <a:t>Vessels of Interest shown as solid points</a:t>
          </a:r>
        </a:p>
      </cdr:txBody>
    </cdr:sp>
  </cdr:relSizeAnchor>
  <cdr:relSizeAnchor xmlns:cdr="http://schemas.openxmlformats.org/drawingml/2006/chartDrawing">
    <cdr:from>
      <cdr:x>0.82075</cdr:x>
      <cdr:y>0.68975</cdr:y>
    </cdr:from>
    <cdr:to>
      <cdr:x>0.866</cdr:x>
      <cdr:y>0.71925</cdr:y>
    </cdr:to>
    <cdr:sp macro="" textlink="">
      <cdr:nvSpPr>
        <cdr:cNvPr id="17443" name="Text Box 2083"/>
        <cdr:cNvSpPr txBox="1">
          <a:spLocks xmlns:a="http://schemas.openxmlformats.org/drawingml/2006/main" noChangeArrowheads="1"/>
        </cdr:cNvSpPr>
      </cdr:nvSpPr>
      <cdr:spPr bwMode="auto">
        <a:xfrm xmlns:a="http://schemas.openxmlformats.org/drawingml/2006/main">
          <a:off x="7043697" y="4027330"/>
          <a:ext cx="388337" cy="1722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0.735</cdr:y>
    </cdr:from>
    <cdr:to>
      <cdr:x>0.86675</cdr:x>
      <cdr:y>0.7655</cdr:y>
    </cdr:to>
    <cdr:sp macro="" textlink="">
      <cdr:nvSpPr>
        <cdr:cNvPr id="17444" name="Text Box 2084"/>
        <cdr:cNvSpPr txBox="1">
          <a:spLocks xmlns:a="http://schemas.openxmlformats.org/drawingml/2006/main" noChangeArrowheads="1"/>
        </cdr:cNvSpPr>
      </cdr:nvSpPr>
      <cdr:spPr bwMode="auto">
        <a:xfrm xmlns:a="http://schemas.openxmlformats.org/drawingml/2006/main">
          <a:off x="7050134" y="4291536"/>
          <a:ext cx="388336" cy="17808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0.7755</cdr:y>
    </cdr:from>
    <cdr:to>
      <cdr:x>0.86575</cdr:x>
      <cdr:y>0.80575</cdr:y>
    </cdr:to>
    <cdr:sp macro="" textlink="">
      <cdr:nvSpPr>
        <cdr:cNvPr id="17445" name="Text Box 2085"/>
        <cdr:cNvSpPr txBox="1">
          <a:spLocks xmlns:a="http://schemas.openxmlformats.org/drawingml/2006/main" noChangeArrowheads="1"/>
        </cdr:cNvSpPr>
      </cdr:nvSpPr>
      <cdr:spPr bwMode="auto">
        <a:xfrm xmlns:a="http://schemas.openxmlformats.org/drawingml/2006/main">
          <a:off x="7050134" y="4528009"/>
          <a:ext cx="379754" cy="17662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0.81</cdr:y>
    </cdr:from>
    <cdr:to>
      <cdr:x>0.86675</cdr:x>
      <cdr:y>0.85275</cdr:y>
    </cdr:to>
    <cdr:sp macro="" textlink="">
      <cdr:nvSpPr>
        <cdr:cNvPr id="17446" name="Text Box 2086"/>
        <cdr:cNvSpPr txBox="1">
          <a:spLocks xmlns:a="http://schemas.openxmlformats.org/drawingml/2006/main" noChangeArrowheads="1"/>
        </cdr:cNvSpPr>
      </cdr:nvSpPr>
      <cdr:spPr bwMode="auto">
        <a:xfrm xmlns:a="http://schemas.openxmlformats.org/drawingml/2006/main">
          <a:off x="7050134" y="4729448"/>
          <a:ext cx="388336" cy="2496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dr:relSizeAnchor xmlns:cdr="http://schemas.openxmlformats.org/drawingml/2006/chartDrawing">
    <cdr:from>
      <cdr:x>0.8215</cdr:x>
      <cdr:y>0.8585</cdr:y>
    </cdr:from>
    <cdr:to>
      <cdr:x>0.86675</cdr:x>
      <cdr:y>0.89</cdr:y>
    </cdr:to>
    <cdr:sp macro="" textlink="">
      <cdr:nvSpPr>
        <cdr:cNvPr id="17447" name="Text Box 2087"/>
        <cdr:cNvSpPr txBox="1">
          <a:spLocks xmlns:a="http://schemas.openxmlformats.org/drawingml/2006/main" noChangeArrowheads="1"/>
        </cdr:cNvSpPr>
      </cdr:nvSpPr>
      <cdr:spPr bwMode="auto">
        <a:xfrm xmlns:a="http://schemas.openxmlformats.org/drawingml/2006/main">
          <a:off x="7050134" y="5012631"/>
          <a:ext cx="388336" cy="18392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000" b="0" i="0" u="none" strike="noStrike" baseline="0">
              <a:solidFill>
                <a:srgbClr val="000000"/>
              </a:solidFill>
              <a:latin typeface="Arial"/>
              <a:cs typeface="Arial"/>
            </a:rPr>
            <a:t>Trend</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xdr:colOff>
      <xdr:row>0</xdr:row>
      <xdr:rowOff>13335</xdr:rowOff>
    </xdr:from>
    <xdr:to>
      <xdr:col>13</xdr:col>
      <xdr:colOff>396875</xdr:colOff>
      <xdr:row>30</xdr:row>
      <xdr:rowOff>192405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hyperlink" Target="mailto:2375@14" TargetMode="External"/><Relationship Id="rId13" Type="http://schemas.openxmlformats.org/officeDocument/2006/relationships/hyperlink" Target="mailto:550@32" TargetMode="External"/><Relationship Id="rId18" Type="http://schemas.openxmlformats.org/officeDocument/2006/relationships/hyperlink" Target="mailto:950@15" TargetMode="External"/><Relationship Id="rId26" Type="http://schemas.openxmlformats.org/officeDocument/2006/relationships/hyperlink" Target="mailto:2100@13" TargetMode="External"/><Relationship Id="rId39" Type="http://schemas.openxmlformats.org/officeDocument/2006/relationships/hyperlink" Target="mailto:4500@12" TargetMode="External"/><Relationship Id="rId3" Type="http://schemas.openxmlformats.org/officeDocument/2006/relationships/hyperlink" Target="mailto:450@27" TargetMode="External"/><Relationship Id="rId21" Type="http://schemas.openxmlformats.org/officeDocument/2006/relationships/hyperlink" Target="mailto:800@30" TargetMode="External"/><Relationship Id="rId34" Type="http://schemas.openxmlformats.org/officeDocument/2006/relationships/hyperlink" Target="mailto:300@28" TargetMode="External"/><Relationship Id="rId42" Type="http://schemas.openxmlformats.org/officeDocument/2006/relationships/vmlDrawing" Target="../drawings/vmlDrawing1.vml"/><Relationship Id="rId7" Type="http://schemas.openxmlformats.org/officeDocument/2006/relationships/hyperlink" Target="mailto:2400@12" TargetMode="External"/><Relationship Id="rId12" Type="http://schemas.openxmlformats.org/officeDocument/2006/relationships/hyperlink" Target="mailto:300@28" TargetMode="External"/><Relationship Id="rId17" Type="http://schemas.openxmlformats.org/officeDocument/2006/relationships/hyperlink" Target="mailto:1700@15" TargetMode="External"/><Relationship Id="rId25" Type="http://schemas.openxmlformats.org/officeDocument/2006/relationships/hyperlink" Target="mailto:4500@14" TargetMode="External"/><Relationship Id="rId33" Type="http://schemas.openxmlformats.org/officeDocument/2006/relationships/hyperlink" Target="mailto:180@16" TargetMode="External"/><Relationship Id="rId38" Type="http://schemas.openxmlformats.org/officeDocument/2006/relationships/hyperlink" Target="mailto:2000@12" TargetMode="External"/><Relationship Id="rId2" Type="http://schemas.openxmlformats.org/officeDocument/2006/relationships/hyperlink" Target="mailto:2300@14" TargetMode="External"/><Relationship Id="rId16" Type="http://schemas.openxmlformats.org/officeDocument/2006/relationships/hyperlink" Target="mailto:1100@18" TargetMode="External"/><Relationship Id="rId20" Type="http://schemas.openxmlformats.org/officeDocument/2006/relationships/hyperlink" Target="mailto:500@38" TargetMode="External"/><Relationship Id="rId29" Type="http://schemas.openxmlformats.org/officeDocument/2006/relationships/hyperlink" Target="mailto:2400@12" TargetMode="External"/><Relationship Id="rId41" Type="http://schemas.openxmlformats.org/officeDocument/2006/relationships/printerSettings" Target="../printerSettings/printerSettings9.bin"/><Relationship Id="rId1" Type="http://schemas.openxmlformats.org/officeDocument/2006/relationships/hyperlink" Target="mailto:1500@15" TargetMode="External"/><Relationship Id="rId6" Type="http://schemas.openxmlformats.org/officeDocument/2006/relationships/hyperlink" Target="mailto:2400@12" TargetMode="External"/><Relationship Id="rId11" Type="http://schemas.openxmlformats.org/officeDocument/2006/relationships/hyperlink" Target="mailto:180@16" TargetMode="External"/><Relationship Id="rId24" Type="http://schemas.openxmlformats.org/officeDocument/2006/relationships/hyperlink" Target="mailto:4500@12" TargetMode="External"/><Relationship Id="rId32" Type="http://schemas.openxmlformats.org/officeDocument/2006/relationships/hyperlink" Target="mailto:2000@15" TargetMode="External"/><Relationship Id="rId37" Type="http://schemas.openxmlformats.org/officeDocument/2006/relationships/hyperlink" Target="mailto:4500@12" TargetMode="External"/><Relationship Id="rId40" Type="http://schemas.openxmlformats.org/officeDocument/2006/relationships/hyperlink" Target="mailto:850@25" TargetMode="External"/><Relationship Id="rId5" Type="http://schemas.openxmlformats.org/officeDocument/2006/relationships/hyperlink" Target="mailto:2000@12" TargetMode="External"/><Relationship Id="rId15" Type="http://schemas.openxmlformats.org/officeDocument/2006/relationships/hyperlink" Target="mailto:2000@14" TargetMode="External"/><Relationship Id="rId23" Type="http://schemas.openxmlformats.org/officeDocument/2006/relationships/hyperlink" Target="mailto:2000@12" TargetMode="External"/><Relationship Id="rId28" Type="http://schemas.openxmlformats.org/officeDocument/2006/relationships/hyperlink" Target="mailto:2000@12" TargetMode="External"/><Relationship Id="rId36" Type="http://schemas.openxmlformats.org/officeDocument/2006/relationships/hyperlink" Target="mailto:500@38" TargetMode="External"/><Relationship Id="rId10" Type="http://schemas.openxmlformats.org/officeDocument/2006/relationships/hyperlink" Target="mailto:800@30" TargetMode="External"/><Relationship Id="rId19" Type="http://schemas.openxmlformats.org/officeDocument/2006/relationships/hyperlink" Target="mailto:2500@15" TargetMode="External"/><Relationship Id="rId31" Type="http://schemas.openxmlformats.org/officeDocument/2006/relationships/hyperlink" Target="mailto:2375@14" TargetMode="External"/><Relationship Id="rId4" Type="http://schemas.openxmlformats.org/officeDocument/2006/relationships/hyperlink" Target="mailto:1800@16" TargetMode="External"/><Relationship Id="rId9" Type="http://schemas.openxmlformats.org/officeDocument/2006/relationships/hyperlink" Target="mailto:2000@15" TargetMode="External"/><Relationship Id="rId14" Type="http://schemas.openxmlformats.org/officeDocument/2006/relationships/hyperlink" Target="mailto:1850@14" TargetMode="External"/><Relationship Id="rId22" Type="http://schemas.openxmlformats.org/officeDocument/2006/relationships/hyperlink" Target="mailto:4500@12" TargetMode="External"/><Relationship Id="rId27" Type="http://schemas.openxmlformats.org/officeDocument/2006/relationships/hyperlink" Target="mailto:450@27" TargetMode="External"/><Relationship Id="rId30" Type="http://schemas.openxmlformats.org/officeDocument/2006/relationships/hyperlink" Target="mailto:2400@12" TargetMode="External"/><Relationship Id="rId35" Type="http://schemas.openxmlformats.org/officeDocument/2006/relationships/hyperlink" Target="mailto:1100@18" TargetMode="External"/><Relationship Id="rId43"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1"/>
  <sheetViews>
    <sheetView topLeftCell="A46" workbookViewId="0">
      <selection activeCell="E79" sqref="E79"/>
    </sheetView>
  </sheetViews>
  <sheetFormatPr defaultColWidth="9" defaultRowHeight="15"/>
  <cols>
    <col min="1" max="1" width="4.875" style="322" customWidth="1"/>
    <col min="2" max="2" width="1.75" style="323" customWidth="1"/>
    <col min="3" max="3" width="9.625" style="322" customWidth="1"/>
    <col min="4" max="4" width="21.125" style="323" customWidth="1"/>
    <col min="5" max="6" width="7" style="323" customWidth="1"/>
    <col min="7" max="7" width="5.125" style="323" customWidth="1"/>
    <col min="8" max="8" width="7.875" style="323" customWidth="1"/>
    <col min="9" max="11" width="8.5" style="323" customWidth="1"/>
    <col min="12" max="12" width="31.5" style="322" customWidth="1"/>
    <col min="13" max="13" width="20.875" style="323" customWidth="1"/>
    <col min="14" max="14" width="9" style="322"/>
    <col min="15" max="15" width="9" style="324"/>
    <col min="16" max="16384" width="9" style="322"/>
  </cols>
  <sheetData>
    <row r="1" spans="1:15">
      <c r="A1" s="322" t="s">
        <v>0</v>
      </c>
      <c r="O1" s="324" t="s">
        <v>1</v>
      </c>
    </row>
    <row r="3" spans="1:15">
      <c r="A3" s="322" t="s">
        <v>2</v>
      </c>
      <c r="C3" s="322">
        <v>126</v>
      </c>
      <c r="L3" s="322" t="s">
        <v>3</v>
      </c>
    </row>
    <row r="18" spans="1:13">
      <c r="A18" s="322" t="s">
        <v>4</v>
      </c>
      <c r="L18" s="322" t="s">
        <v>5</v>
      </c>
      <c r="M18" s="323" t="s">
        <v>6</v>
      </c>
    </row>
    <row r="19" spans="1:13">
      <c r="B19" s="323" t="s">
        <v>7</v>
      </c>
      <c r="C19" s="322">
        <v>0.33</v>
      </c>
      <c r="D19" s="323" t="s">
        <v>8</v>
      </c>
      <c r="E19" s="323" t="s">
        <v>9</v>
      </c>
      <c r="F19" s="323">
        <v>0.82</v>
      </c>
      <c r="L19" s="326" t="s">
        <v>10</v>
      </c>
      <c r="M19" s="323" t="s">
        <v>6</v>
      </c>
    </row>
    <row r="20" spans="1:13">
      <c r="B20" s="323" t="s">
        <v>7</v>
      </c>
      <c r="C20" s="322">
        <v>0.5</v>
      </c>
      <c r="D20" s="323" t="s">
        <v>8</v>
      </c>
      <c r="E20" s="323" t="s">
        <v>9</v>
      </c>
      <c r="F20" s="323">
        <v>0.82</v>
      </c>
      <c r="L20" s="326" t="s">
        <v>11</v>
      </c>
      <c r="M20" s="323" t="s">
        <v>6</v>
      </c>
    </row>
    <row r="21" spans="1:13">
      <c r="A21" s="322" t="s">
        <v>12</v>
      </c>
      <c r="B21" s="323" t="s">
        <v>7</v>
      </c>
      <c r="C21" s="322">
        <v>0.23499999999999999</v>
      </c>
      <c r="D21" s="323" t="s">
        <v>13</v>
      </c>
      <c r="M21" s="323" t="s">
        <v>6</v>
      </c>
    </row>
    <row r="22" spans="1:13">
      <c r="A22" s="322" t="s">
        <v>14</v>
      </c>
      <c r="B22" s="323" t="s">
        <v>7</v>
      </c>
      <c r="C22" s="322">
        <v>8.6999999999999994E-2</v>
      </c>
      <c r="D22" s="323" t="s">
        <v>15</v>
      </c>
      <c r="E22" s="323" t="s">
        <v>16</v>
      </c>
      <c r="F22" s="323" t="s">
        <v>17</v>
      </c>
      <c r="G22" s="323">
        <v>5.4969999999999999</v>
      </c>
      <c r="H22" s="323" t="s">
        <v>18</v>
      </c>
      <c r="I22" s="323">
        <v>0.433</v>
      </c>
      <c r="J22" s="323" t="s">
        <v>15</v>
      </c>
      <c r="K22" s="323" t="s">
        <v>19</v>
      </c>
      <c r="M22" s="323" t="s">
        <v>6</v>
      </c>
    </row>
    <row r="38" spans="1:15">
      <c r="A38" s="322" t="s">
        <v>20</v>
      </c>
      <c r="B38" s="323" t="s">
        <v>7</v>
      </c>
      <c r="L38" s="322" t="s">
        <v>21</v>
      </c>
    </row>
    <row r="39" spans="1:15">
      <c r="A39" s="322" t="s">
        <v>22</v>
      </c>
      <c r="B39" s="323" t="s">
        <v>7</v>
      </c>
      <c r="C39" s="322">
        <v>0.01</v>
      </c>
      <c r="D39" s="323" t="s">
        <v>23</v>
      </c>
      <c r="L39" s="322" t="s">
        <v>24</v>
      </c>
    </row>
    <row r="41" spans="1:15">
      <c r="A41" s="322" t="s">
        <v>25</v>
      </c>
      <c r="B41" s="336" t="s">
        <v>7</v>
      </c>
      <c r="C41" s="322">
        <v>7.4999999999999997E-3</v>
      </c>
      <c r="D41" s="323" t="s">
        <v>26</v>
      </c>
      <c r="L41" s="327" t="s">
        <v>27</v>
      </c>
      <c r="M41" s="323" t="s">
        <v>28</v>
      </c>
      <c r="O41" s="324">
        <f>C41*2240/2204.6</f>
        <v>7.6204300099791348E-3</v>
      </c>
    </row>
    <row r="42" spans="1:15">
      <c r="A42" s="322" t="s">
        <v>29</v>
      </c>
      <c r="B42" s="336" t="s">
        <v>7</v>
      </c>
      <c r="C42" s="322">
        <v>3.8460000000000002E-4</v>
      </c>
      <c r="D42" s="323" t="s">
        <v>26</v>
      </c>
      <c r="L42" s="327" t="s">
        <v>30</v>
      </c>
      <c r="M42" s="323" t="s">
        <v>28</v>
      </c>
      <c r="O42" s="324">
        <f>C42*2240/2204.6</f>
        <v>3.9077565091173006E-4</v>
      </c>
    </row>
    <row r="43" spans="1:15">
      <c r="A43" s="322" t="s">
        <v>31</v>
      </c>
      <c r="B43" s="336" t="s">
        <v>7</v>
      </c>
      <c r="C43" s="322">
        <v>2.3999999999999998E-3</v>
      </c>
      <c r="D43" s="323" t="s">
        <v>26</v>
      </c>
      <c r="L43" s="327" t="s">
        <v>32</v>
      </c>
      <c r="M43" s="323" t="s">
        <v>28</v>
      </c>
      <c r="O43" s="324">
        <f>C43*2240/2204.6</f>
        <v>2.4385376031933227E-3</v>
      </c>
    </row>
    <row r="44" spans="1:15">
      <c r="A44" s="322" t="s">
        <v>33</v>
      </c>
      <c r="B44" s="336" t="s">
        <v>7</v>
      </c>
      <c r="C44" s="322">
        <v>3.3999999999999998E-3</v>
      </c>
      <c r="D44" s="323" t="s">
        <v>26</v>
      </c>
      <c r="E44" s="336" t="s">
        <v>34</v>
      </c>
      <c r="F44" s="323">
        <v>1.23E-2</v>
      </c>
      <c r="G44" s="323" t="s">
        <v>35</v>
      </c>
      <c r="L44" s="322" t="s">
        <v>36</v>
      </c>
      <c r="M44" s="323" t="s">
        <v>37</v>
      </c>
      <c r="O44" s="324">
        <f>C44*2240/2204.6</f>
        <v>3.4545949378572078E-3</v>
      </c>
    </row>
    <row r="45" spans="1:15">
      <c r="A45" s="322" t="s">
        <v>38</v>
      </c>
      <c r="B45" s="336" t="s">
        <v>7</v>
      </c>
      <c r="C45" s="322">
        <v>3.4599999999999999E-2</v>
      </c>
      <c r="D45" s="323" t="s">
        <v>33</v>
      </c>
      <c r="L45" s="322" t="s">
        <v>39</v>
      </c>
      <c r="M45" s="323" t="s">
        <v>40</v>
      </c>
    </row>
    <row r="46" spans="1:15">
      <c r="A46" s="322" t="s">
        <v>41</v>
      </c>
      <c r="B46" s="336" t="s">
        <v>7</v>
      </c>
      <c r="C46" s="322">
        <v>3.5000000000000001E-3</v>
      </c>
      <c r="D46" s="323" t="s">
        <v>26</v>
      </c>
      <c r="L46" s="327" t="s">
        <v>42</v>
      </c>
      <c r="M46" s="323" t="s">
        <v>28</v>
      </c>
      <c r="O46" s="324">
        <f>C46*2240/2204.6</f>
        <v>3.5562006713235964E-3</v>
      </c>
    </row>
    <row r="47" spans="1:15">
      <c r="A47" s="322" t="s">
        <v>43</v>
      </c>
      <c r="B47" s="336" t="s">
        <v>7</v>
      </c>
      <c r="C47" s="322">
        <v>7.4000000000000003E-3</v>
      </c>
      <c r="D47" s="323" t="s">
        <v>35</v>
      </c>
      <c r="L47" s="327" t="s">
        <v>44</v>
      </c>
      <c r="M47" s="323" t="s">
        <v>28</v>
      </c>
      <c r="O47" s="324">
        <f>C47*2240/2204.6*3.2808^3</f>
        <v>0.26551508723653477</v>
      </c>
    </row>
    <row r="48" spans="1:15">
      <c r="A48" s="322" t="s">
        <v>43</v>
      </c>
      <c r="B48" s="336" t="s">
        <v>7</v>
      </c>
      <c r="C48" s="322">
        <v>7.3899999999999999E-3</v>
      </c>
      <c r="D48" s="323" t="s">
        <v>35</v>
      </c>
      <c r="L48" s="327"/>
      <c r="M48" s="323" t="s">
        <v>45</v>
      </c>
      <c r="O48" s="324">
        <f>C48*2240/2204.6*3.2808^3</f>
        <v>0.26515628306459355</v>
      </c>
    </row>
    <row r="49" spans="1:15">
      <c r="A49" s="322" t="s">
        <v>46</v>
      </c>
      <c r="B49" s="336" t="s">
        <v>7</v>
      </c>
      <c r="C49" s="322">
        <v>2.6780000000000002E-2</v>
      </c>
      <c r="D49" s="323" t="s">
        <v>47</v>
      </c>
      <c r="L49" s="327" t="s">
        <v>48</v>
      </c>
      <c r="M49" s="323" t="s">
        <v>45</v>
      </c>
      <c r="O49" s="324">
        <f>C49*2240/2204.6</f>
        <v>2.7210015422298832E-2</v>
      </c>
    </row>
    <row r="50" spans="1:15">
      <c r="A50" s="322" t="s">
        <v>46</v>
      </c>
      <c r="B50" s="336" t="s">
        <v>7</v>
      </c>
      <c r="C50" s="322">
        <v>2.7E-2</v>
      </c>
      <c r="D50" s="323" t="s">
        <v>47</v>
      </c>
      <c r="L50" s="327"/>
      <c r="M50" s="323" t="s">
        <v>45</v>
      </c>
      <c r="O50" s="324">
        <f>C50*2240/2204.6</f>
        <v>2.7433548035924883E-2</v>
      </c>
    </row>
    <row r="51" spans="1:15">
      <c r="A51" s="322" t="s">
        <v>49</v>
      </c>
      <c r="B51" s="336" t="s">
        <v>7</v>
      </c>
      <c r="C51" s="322">
        <v>6.1000000000000004E-3</v>
      </c>
      <c r="D51" s="323" t="s">
        <v>26</v>
      </c>
      <c r="L51" s="322" t="s">
        <v>50</v>
      </c>
      <c r="M51" s="323" t="s">
        <v>40</v>
      </c>
      <c r="O51" s="324">
        <f>C51*2240/2204.6</f>
        <v>6.1979497414496971E-3</v>
      </c>
    </row>
    <row r="52" spans="1:15">
      <c r="A52" s="322" t="s">
        <v>51</v>
      </c>
      <c r="B52" s="336" t="s">
        <v>7</v>
      </c>
      <c r="C52" s="322">
        <v>2E-3</v>
      </c>
      <c r="D52" s="323" t="s">
        <v>26</v>
      </c>
      <c r="L52" s="322" t="s">
        <v>52</v>
      </c>
      <c r="M52" s="323" t="s">
        <v>28</v>
      </c>
      <c r="O52" s="324">
        <f>C52*2240/2204.6</f>
        <v>2.0321146693277697E-3</v>
      </c>
    </row>
    <row r="53" spans="1:15">
      <c r="A53" s="322" t="s">
        <v>53</v>
      </c>
      <c r="B53" s="336" t="s">
        <v>7</v>
      </c>
      <c r="C53" s="322">
        <v>1E-3</v>
      </c>
      <c r="D53" s="323" t="s">
        <v>26</v>
      </c>
      <c r="L53" s="322" t="s">
        <v>54</v>
      </c>
      <c r="M53" s="323" t="s">
        <v>28</v>
      </c>
      <c r="O53" s="324">
        <f>C53*2240/2204.6</f>
        <v>1.0160573346638848E-3</v>
      </c>
    </row>
    <row r="55" spans="1:15">
      <c r="A55" s="322" t="s">
        <v>55</v>
      </c>
      <c r="B55" s="336" t="s">
        <v>7</v>
      </c>
      <c r="C55" s="322">
        <v>2E-3</v>
      </c>
      <c r="D55" s="323" t="s">
        <v>35</v>
      </c>
      <c r="L55" s="322" t="s">
        <v>56</v>
      </c>
      <c r="M55" s="323" t="s">
        <v>28</v>
      </c>
      <c r="O55" s="324">
        <f>C55*2240/2204.6*3.2808^3</f>
        <v>7.1760834388252662E-2</v>
      </c>
    </row>
    <row r="56" spans="1:15">
      <c r="A56" s="322" t="s">
        <v>55</v>
      </c>
      <c r="B56" s="336" t="s">
        <v>7</v>
      </c>
      <c r="C56" s="322">
        <v>0.02</v>
      </c>
      <c r="D56" s="323" t="s">
        <v>47</v>
      </c>
      <c r="M56" s="323" t="s">
        <v>45</v>
      </c>
      <c r="O56" s="324">
        <f>C56*2240/2204.6</f>
        <v>2.0321146693277694E-2</v>
      </c>
    </row>
    <row r="57" spans="1:15">
      <c r="A57" s="322" t="s">
        <v>57</v>
      </c>
      <c r="B57" s="336" t="s">
        <v>7</v>
      </c>
      <c r="C57" s="322">
        <v>0.01</v>
      </c>
      <c r="D57" s="323" t="s">
        <v>35</v>
      </c>
      <c r="L57" s="322" t="s">
        <v>58</v>
      </c>
      <c r="M57" s="323" t="s">
        <v>28</v>
      </c>
      <c r="O57" s="324">
        <f>C57*2240/2204.6*3.2808^3</f>
        <v>0.35880417194126324</v>
      </c>
    </row>
    <row r="58" spans="1:15">
      <c r="A58" s="322" t="s">
        <v>57</v>
      </c>
      <c r="B58" s="336" t="s">
        <v>7</v>
      </c>
      <c r="C58" s="322">
        <v>2.8000000000000001E-2</v>
      </c>
      <c r="D58" s="323" t="s">
        <v>47</v>
      </c>
      <c r="M58" s="323" t="s">
        <v>45</v>
      </c>
      <c r="O58" s="324">
        <f>C58*2240/2204.6</f>
        <v>2.8449605370588771E-2</v>
      </c>
    </row>
    <row r="59" spans="1:15">
      <c r="A59" s="322" t="s">
        <v>59</v>
      </c>
      <c r="B59" s="336" t="s">
        <v>7</v>
      </c>
      <c r="C59" s="322">
        <v>8.0000000000000002E-3</v>
      </c>
      <c r="D59" s="323" t="s">
        <v>35</v>
      </c>
      <c r="L59" s="322" t="s">
        <v>60</v>
      </c>
      <c r="M59" s="323" t="s">
        <v>28</v>
      </c>
      <c r="O59" s="324">
        <f t="shared" ref="O59:O61" si="0">C59*2240/2204.6*3.2808^3</f>
        <v>0.28704333755301065</v>
      </c>
    </row>
    <row r="60" spans="1:15">
      <c r="A60" s="322" t="s">
        <v>61</v>
      </c>
      <c r="B60" s="336" t="s">
        <v>7</v>
      </c>
      <c r="C60" s="325">
        <v>2.5000000000000001E-2</v>
      </c>
      <c r="D60" s="323" t="s">
        <v>35</v>
      </c>
      <c r="E60" s="323" t="s">
        <v>34</v>
      </c>
      <c r="F60" s="323">
        <v>7.0000000000000007E-2</v>
      </c>
      <c r="G60" s="325" t="s">
        <v>62</v>
      </c>
      <c r="H60" s="336" t="s">
        <v>34</v>
      </c>
      <c r="I60" s="323">
        <v>0.1</v>
      </c>
      <c r="J60" s="322"/>
      <c r="K60" s="322"/>
      <c r="L60" s="327" t="s">
        <v>63</v>
      </c>
      <c r="M60" s="323" t="s">
        <v>28</v>
      </c>
      <c r="O60" s="324">
        <f t="shared" si="0"/>
        <v>0.89701042985315804</v>
      </c>
    </row>
    <row r="61" spans="1:15">
      <c r="A61" s="322" t="s">
        <v>61</v>
      </c>
      <c r="B61" s="336" t="s">
        <v>7</v>
      </c>
      <c r="C61" s="325">
        <v>2.5000000000000001E-2</v>
      </c>
      <c r="D61" s="323" t="s">
        <v>35</v>
      </c>
      <c r="E61" s="323" t="s">
        <v>34</v>
      </c>
      <c r="F61" s="323">
        <v>0.7</v>
      </c>
      <c r="G61" s="325" t="s">
        <v>47</v>
      </c>
      <c r="H61" s="336" t="s">
        <v>34</v>
      </c>
      <c r="I61" s="323">
        <v>0.4</v>
      </c>
      <c r="J61" s="322"/>
      <c r="K61" s="322"/>
      <c r="M61" s="323" t="s">
        <v>45</v>
      </c>
      <c r="O61" s="324">
        <f t="shared" si="0"/>
        <v>0.89701042985315804</v>
      </c>
    </row>
    <row r="62" spans="1:15">
      <c r="A62" s="322" t="s">
        <v>64</v>
      </c>
      <c r="B62" s="336" t="s">
        <v>7</v>
      </c>
      <c r="C62" s="322">
        <v>8.3000000000000001E-3</v>
      </c>
      <c r="D62" s="336" t="s">
        <v>62</v>
      </c>
      <c r="L62" s="322" t="s">
        <v>65</v>
      </c>
      <c r="M62" s="323" t="s">
        <v>28</v>
      </c>
    </row>
    <row r="63" spans="1:15">
      <c r="A63" s="322" t="s">
        <v>66</v>
      </c>
      <c r="B63" s="336" t="s">
        <v>7</v>
      </c>
      <c r="C63" s="322">
        <v>7.0000000000000001E-3</v>
      </c>
      <c r="D63" s="336" t="s">
        <v>35</v>
      </c>
      <c r="L63" s="322" t="s">
        <v>67</v>
      </c>
      <c r="M63" s="323" t="s">
        <v>28</v>
      </c>
      <c r="O63" s="324">
        <f t="shared" ref="O63:O68" si="1">C63*2240/2204.6*3.2808^3</f>
        <v>0.25116292035888427</v>
      </c>
    </row>
    <row r="64" spans="1:15">
      <c r="A64" s="322" t="s">
        <v>68</v>
      </c>
      <c r="B64" s="336" t="s">
        <v>7</v>
      </c>
      <c r="C64" s="322">
        <f>0.4*10^-3</f>
        <v>4.0000000000000002E-4</v>
      </c>
      <c r="D64" s="336" t="s">
        <v>35</v>
      </c>
      <c r="L64" s="322" t="s">
        <v>69</v>
      </c>
      <c r="O64" s="324">
        <f t="shared" si="1"/>
        <v>1.435216687765053E-2</v>
      </c>
    </row>
    <row r="65" spans="1:15">
      <c r="A65" s="322" t="s">
        <v>70</v>
      </c>
      <c r="B65" s="336" t="s">
        <v>7</v>
      </c>
      <c r="C65" s="322">
        <v>2E-3</v>
      </c>
      <c r="D65" s="336" t="s">
        <v>35</v>
      </c>
      <c r="L65" s="322" t="s">
        <v>71</v>
      </c>
      <c r="M65" s="323" t="s">
        <v>72</v>
      </c>
      <c r="O65" s="324">
        <f t="shared" si="1"/>
        <v>7.1760834388252662E-2</v>
      </c>
    </row>
    <row r="66" spans="1:15">
      <c r="A66" s="322" t="s">
        <v>73</v>
      </c>
      <c r="B66" s="336" t="s">
        <v>7</v>
      </c>
      <c r="C66" s="322">
        <f>1.15*10^-5</f>
        <v>1.15E-5</v>
      </c>
      <c r="D66" s="336" t="s">
        <v>74</v>
      </c>
      <c r="L66" s="322" t="s">
        <v>75</v>
      </c>
      <c r="M66" s="323" t="s">
        <v>28</v>
      </c>
      <c r="O66" s="324">
        <f>C66*2240/2204.6*3.2808^2</f>
        <v>1.2576956770679493E-4</v>
      </c>
    </row>
    <row r="67" spans="1:15">
      <c r="A67" s="322" t="s">
        <v>76</v>
      </c>
      <c r="B67" s="336" t="s">
        <v>7</v>
      </c>
      <c r="C67" s="322">
        <v>1.4E-2</v>
      </c>
      <c r="D67" s="336" t="s">
        <v>35</v>
      </c>
      <c r="L67" s="322" t="s">
        <v>77</v>
      </c>
      <c r="M67" s="323" t="s">
        <v>28</v>
      </c>
      <c r="O67" s="324">
        <f t="shared" si="1"/>
        <v>0.50232584071776853</v>
      </c>
    </row>
    <row r="68" spans="1:15">
      <c r="A68" s="322" t="s">
        <v>78</v>
      </c>
      <c r="B68" s="336" t="s">
        <v>7</v>
      </c>
      <c r="C68" s="322">
        <v>4.4999999999999997E-3</v>
      </c>
      <c r="D68" s="336" t="s">
        <v>35</v>
      </c>
      <c r="L68" s="322" t="s">
        <v>79</v>
      </c>
      <c r="M68" s="323" t="s">
        <v>28</v>
      </c>
      <c r="O68" s="324">
        <f t="shared" si="1"/>
        <v>0.16146187737356846</v>
      </c>
    </row>
    <row r="69" spans="1:15">
      <c r="A69" s="322" t="s">
        <v>80</v>
      </c>
      <c r="B69" s="336" t="s">
        <v>7</v>
      </c>
      <c r="C69" s="322">
        <v>5.3999999999999999E-2</v>
      </c>
      <c r="D69" s="336" t="s">
        <v>62</v>
      </c>
      <c r="L69" s="322" t="s">
        <v>81</v>
      </c>
      <c r="M69" s="323" t="s">
        <v>28</v>
      </c>
    </row>
    <row r="70" spans="1:15">
      <c r="A70" s="322" t="s">
        <v>80</v>
      </c>
      <c r="B70" s="336" t="s">
        <v>7</v>
      </c>
      <c r="C70" s="322">
        <v>3.5999999999999997E-2</v>
      </c>
      <c r="D70" s="323" t="s">
        <v>47</v>
      </c>
      <c r="E70" s="323" t="s">
        <v>82</v>
      </c>
      <c r="F70" s="323">
        <v>1.1045</v>
      </c>
      <c r="M70" s="323" t="s">
        <v>45</v>
      </c>
    </row>
    <row r="71" spans="1:15">
      <c r="A71" s="322" t="s">
        <v>83</v>
      </c>
      <c r="B71" s="336" t="s">
        <v>7</v>
      </c>
      <c r="C71" s="322">
        <v>0.04</v>
      </c>
      <c r="D71" s="336" t="s">
        <v>84</v>
      </c>
      <c r="L71" s="322" t="s">
        <v>85</v>
      </c>
      <c r="M71" s="323" t="s">
        <v>28</v>
      </c>
    </row>
    <row r="72" spans="1:15">
      <c r="A72" s="322" t="s">
        <v>86</v>
      </c>
      <c r="B72" s="336" t="s">
        <v>7</v>
      </c>
      <c r="C72" s="322">
        <v>0.03</v>
      </c>
      <c r="D72" s="336" t="s">
        <v>62</v>
      </c>
      <c r="L72" s="322" t="s">
        <v>87</v>
      </c>
      <c r="M72" s="323" t="s">
        <v>28</v>
      </c>
    </row>
    <row r="73" spans="1:15">
      <c r="A73" s="322" t="s">
        <v>86</v>
      </c>
      <c r="B73" s="336" t="s">
        <v>7</v>
      </c>
      <c r="C73" s="322">
        <v>3.0769999999999999E-2</v>
      </c>
      <c r="D73" s="323" t="s">
        <v>47</v>
      </c>
      <c r="M73" s="323" t="s">
        <v>45</v>
      </c>
    </row>
    <row r="74" spans="1:15">
      <c r="A74" s="322" t="s">
        <v>88</v>
      </c>
      <c r="B74" s="336" t="s">
        <v>7</v>
      </c>
      <c r="C74" s="322">
        <v>0.05</v>
      </c>
      <c r="D74" s="336" t="s">
        <v>89</v>
      </c>
      <c r="L74" s="322" t="s">
        <v>90</v>
      </c>
      <c r="M74" s="323" t="s">
        <v>28</v>
      </c>
    </row>
    <row r="75" spans="1:15">
      <c r="A75" s="322" t="s">
        <v>91</v>
      </c>
      <c r="B75" s="336" t="s">
        <v>7</v>
      </c>
      <c r="C75" s="322">
        <v>4.9000000000000002E-2</v>
      </c>
      <c r="D75" s="336" t="s">
        <v>92</v>
      </c>
      <c r="L75" s="322" t="s">
        <v>93</v>
      </c>
      <c r="M75" s="323" t="s">
        <v>28</v>
      </c>
    </row>
    <row r="76" spans="1:15">
      <c r="A76" s="322" t="s">
        <v>94</v>
      </c>
      <c r="B76" s="336" t="s">
        <v>7</v>
      </c>
      <c r="C76" s="322">
        <v>2.4400000000000002E-2</v>
      </c>
      <c r="D76" s="336" t="s">
        <v>35</v>
      </c>
      <c r="L76" s="322" t="s">
        <v>95</v>
      </c>
      <c r="M76" s="323" t="s">
        <v>28</v>
      </c>
      <c r="O76" s="324">
        <f t="shared" ref="O76:O86" si="2">C76*2240/2204.6*3.2808^3</f>
        <v>0.87548217953668239</v>
      </c>
    </row>
    <row r="77" spans="1:15">
      <c r="A77" s="322" t="s">
        <v>96</v>
      </c>
      <c r="B77" s="336" t="s">
        <v>7</v>
      </c>
      <c r="C77" s="322">
        <v>2.7E-2</v>
      </c>
      <c r="D77" s="336" t="s">
        <v>35</v>
      </c>
      <c r="L77" s="322" t="s">
        <v>97</v>
      </c>
      <c r="M77" s="323" t="s">
        <v>28</v>
      </c>
      <c r="O77" s="324">
        <f t="shared" si="2"/>
        <v>0.96877126424141069</v>
      </c>
    </row>
    <row r="78" spans="1:15">
      <c r="A78" s="328" t="s">
        <v>98</v>
      </c>
      <c r="B78" s="336" t="s">
        <v>7</v>
      </c>
      <c r="C78" s="329">
        <v>2.5000000000000001E-2</v>
      </c>
      <c r="D78" s="330" t="s">
        <v>35</v>
      </c>
      <c r="E78" s="337" t="s">
        <v>34</v>
      </c>
      <c r="F78" s="330">
        <v>1</v>
      </c>
      <c r="M78" s="323" t="s">
        <v>45</v>
      </c>
      <c r="O78" s="324">
        <f t="shared" si="2"/>
        <v>0.89701042985315804</v>
      </c>
    </row>
    <row r="79" spans="1:15">
      <c r="A79" s="322" t="s">
        <v>99</v>
      </c>
      <c r="B79" s="336" t="s">
        <v>7</v>
      </c>
      <c r="C79" s="322">
        <v>7.4999999999999997E-3</v>
      </c>
      <c r="D79" s="323" t="s">
        <v>35</v>
      </c>
      <c r="L79" s="322" t="s">
        <v>100</v>
      </c>
      <c r="M79" s="323" t="s">
        <v>101</v>
      </c>
      <c r="O79" s="324">
        <f t="shared" si="2"/>
        <v>0.26910312895594746</v>
      </c>
    </row>
    <row r="80" spans="1:15">
      <c r="A80" s="322" t="s">
        <v>102</v>
      </c>
      <c r="B80" s="336" t="s">
        <v>7</v>
      </c>
      <c r="C80" s="322">
        <v>7.9000000000000008E-3</v>
      </c>
      <c r="D80" s="323" t="s">
        <v>35</v>
      </c>
      <c r="L80" s="322" t="s">
        <v>103</v>
      </c>
      <c r="M80" s="323" t="s">
        <v>104</v>
      </c>
      <c r="O80" s="324">
        <f t="shared" si="2"/>
        <v>0.28345529583359796</v>
      </c>
    </row>
    <row r="81" spans="1:15">
      <c r="A81" s="322" t="s">
        <v>105</v>
      </c>
      <c r="B81" s="336" t="s">
        <v>7</v>
      </c>
      <c r="C81" s="322">
        <f>6.25*10^-3</f>
        <v>6.2500000000000003E-3</v>
      </c>
      <c r="D81" s="323" t="s">
        <v>35</v>
      </c>
      <c r="L81" s="322" t="s">
        <v>106</v>
      </c>
      <c r="M81" s="323" t="s">
        <v>28</v>
      </c>
      <c r="O81" s="324">
        <f t="shared" si="2"/>
        <v>0.22425260746328951</v>
      </c>
    </row>
    <row r="82" spans="1:15">
      <c r="A82" s="322" t="s">
        <v>107</v>
      </c>
      <c r="B82" s="336" t="s">
        <v>7</v>
      </c>
      <c r="C82" s="322">
        <f>6.25*10^-3</f>
        <v>6.2500000000000003E-3</v>
      </c>
      <c r="D82" s="323" t="s">
        <v>35</v>
      </c>
      <c r="L82" s="322" t="s">
        <v>108</v>
      </c>
      <c r="M82" s="323" t="s">
        <v>28</v>
      </c>
      <c r="O82" s="324">
        <f t="shared" si="2"/>
        <v>0.22425260746328951</v>
      </c>
    </row>
    <row r="83" spans="1:15">
      <c r="A83" s="322" t="s">
        <v>109</v>
      </c>
      <c r="B83" s="336" t="s">
        <v>7</v>
      </c>
      <c r="C83" s="322">
        <v>0.01</v>
      </c>
      <c r="D83" s="323" t="s">
        <v>35</v>
      </c>
      <c r="L83" s="322" t="s">
        <v>110</v>
      </c>
      <c r="M83" s="323" t="s">
        <v>28</v>
      </c>
      <c r="O83" s="324">
        <f t="shared" si="2"/>
        <v>0.35880417194126324</v>
      </c>
    </row>
    <row r="84" spans="1:15">
      <c r="A84" s="322" t="s">
        <v>109</v>
      </c>
      <c r="B84" s="336" t="s">
        <v>7</v>
      </c>
      <c r="C84" s="322">
        <v>8.5000000000000006E-3</v>
      </c>
      <c r="D84" s="323" t="s">
        <v>35</v>
      </c>
      <c r="M84" s="323" t="s">
        <v>45</v>
      </c>
      <c r="O84" s="324">
        <f t="shared" si="2"/>
        <v>0.30498354615007378</v>
      </c>
    </row>
    <row r="85" spans="1:15">
      <c r="A85" s="322" t="s">
        <v>111</v>
      </c>
      <c r="B85" s="336" t="s">
        <v>7</v>
      </c>
      <c r="C85" s="322">
        <v>0.01</v>
      </c>
      <c r="D85" s="323" t="s">
        <v>35</v>
      </c>
      <c r="L85" s="322" t="s">
        <v>112</v>
      </c>
      <c r="M85" s="323" t="s">
        <v>28</v>
      </c>
      <c r="O85" s="324">
        <f t="shared" si="2"/>
        <v>0.35880417194126324</v>
      </c>
    </row>
    <row r="86" spans="1:15">
      <c r="A86" s="322" t="s">
        <v>111</v>
      </c>
      <c r="B86" s="336" t="s">
        <v>7</v>
      </c>
      <c r="C86" s="322">
        <v>1.0000000000000001E-5</v>
      </c>
      <c r="D86" s="323" t="s">
        <v>35</v>
      </c>
      <c r="M86" s="323" t="s">
        <v>45</v>
      </c>
      <c r="O86" s="324">
        <f t="shared" si="2"/>
        <v>3.5880417194126331E-4</v>
      </c>
    </row>
    <row r="87" spans="1:15">
      <c r="A87" s="322" t="s">
        <v>113</v>
      </c>
      <c r="B87" s="336" t="s">
        <v>7</v>
      </c>
      <c r="C87" s="322">
        <v>1.4999999999999999E-2</v>
      </c>
      <c r="D87" s="323" t="s">
        <v>62</v>
      </c>
      <c r="L87" s="322" t="s">
        <v>114</v>
      </c>
      <c r="M87" s="323" t="s">
        <v>28</v>
      </c>
    </row>
    <row r="88" spans="1:15">
      <c r="A88" s="322" t="s">
        <v>113</v>
      </c>
      <c r="B88" s="336" t="s">
        <v>7</v>
      </c>
      <c r="C88" s="322">
        <v>1.4999999999999999E-2</v>
      </c>
      <c r="D88" s="323" t="s">
        <v>47</v>
      </c>
      <c r="M88" s="323" t="s">
        <v>45</v>
      </c>
    </row>
    <row r="89" spans="1:15">
      <c r="A89" s="322" t="s">
        <v>115</v>
      </c>
      <c r="B89" s="336" t="s">
        <v>7</v>
      </c>
      <c r="C89" s="322">
        <v>0.04</v>
      </c>
      <c r="D89" s="323" t="s">
        <v>62</v>
      </c>
      <c r="L89" s="322" t="s">
        <v>116</v>
      </c>
      <c r="M89" s="323" t="s">
        <v>28</v>
      </c>
    </row>
    <row r="90" spans="1:15">
      <c r="A90" s="322" t="s">
        <v>115</v>
      </c>
      <c r="B90" s="336" t="s">
        <v>7</v>
      </c>
      <c r="C90" s="322">
        <v>0.04</v>
      </c>
      <c r="D90" s="323" t="s">
        <v>35</v>
      </c>
      <c r="M90" s="323" t="s">
        <v>45</v>
      </c>
      <c r="O90" s="324">
        <f t="shared" ref="O90" si="3">C90*2240/2204.6*3.2808^3</f>
        <v>1.435216687765053</v>
      </c>
    </row>
    <row r="91" spans="1:15">
      <c r="A91" s="322" t="s">
        <v>117</v>
      </c>
      <c r="B91" s="336" t="s">
        <v>7</v>
      </c>
      <c r="C91" s="322">
        <v>1.77E-2</v>
      </c>
      <c r="D91" s="323" t="s">
        <v>118</v>
      </c>
      <c r="L91" s="322" t="s">
        <v>119</v>
      </c>
      <c r="M91" s="323" t="s">
        <v>28</v>
      </c>
    </row>
    <row r="92" spans="1:15">
      <c r="A92" s="322" t="s">
        <v>120</v>
      </c>
      <c r="B92" s="336" t="s">
        <v>7</v>
      </c>
      <c r="C92" s="322">
        <f>5.6*10^-3</f>
        <v>5.5999999999999999E-3</v>
      </c>
      <c r="D92" s="323" t="s">
        <v>118</v>
      </c>
      <c r="L92" s="322" t="s">
        <v>121</v>
      </c>
      <c r="M92" s="323" t="s">
        <v>28</v>
      </c>
    </row>
    <row r="94" spans="1:15">
      <c r="A94" s="322" t="s">
        <v>122</v>
      </c>
      <c r="B94" s="336" t="s">
        <v>7</v>
      </c>
      <c r="C94" s="322">
        <f>4.42*10^-5</f>
        <v>4.4200000000000004E-5</v>
      </c>
      <c r="D94" s="323" t="s">
        <v>74</v>
      </c>
      <c r="L94" s="322" t="s">
        <v>123</v>
      </c>
      <c r="M94" s="323" t="s">
        <v>124</v>
      </c>
    </row>
    <row r="95" spans="1:15">
      <c r="A95" s="322" t="s">
        <v>122</v>
      </c>
      <c r="B95" s="336" t="s">
        <v>7</v>
      </c>
      <c r="C95" s="322">
        <f>4.42*0.00001</f>
        <v>4.4200000000000004E-5</v>
      </c>
      <c r="D95" s="323" t="s">
        <v>74</v>
      </c>
      <c r="M95" s="323" t="s">
        <v>125</v>
      </c>
    </row>
    <row r="96" spans="1:15">
      <c r="A96" s="322" t="s">
        <v>126</v>
      </c>
      <c r="B96" s="336" t="s">
        <v>7</v>
      </c>
      <c r="C96" s="322">
        <f>1.2*10^-4</f>
        <v>1.2E-4</v>
      </c>
      <c r="D96" s="323" t="s">
        <v>74</v>
      </c>
      <c r="L96" s="322" t="s">
        <v>127</v>
      </c>
      <c r="M96" s="323" t="s">
        <v>124</v>
      </c>
    </row>
    <row r="97" spans="1:15">
      <c r="A97" s="322" t="s">
        <v>126</v>
      </c>
      <c r="B97" s="336" t="s">
        <v>7</v>
      </c>
      <c r="C97" s="331">
        <f>7.5*0.00001</f>
        <v>7.5000000000000007E-5</v>
      </c>
      <c r="D97" s="332" t="s">
        <v>74</v>
      </c>
      <c r="M97" s="323" t="s">
        <v>125</v>
      </c>
    </row>
    <row r="98" spans="1:15">
      <c r="A98" s="322" t="s">
        <v>128</v>
      </c>
      <c r="B98" s="336" t="s">
        <v>7</v>
      </c>
      <c r="C98" s="322">
        <f>1.15*10^-5</f>
        <v>1.15E-5</v>
      </c>
      <c r="D98" s="323" t="s">
        <v>74</v>
      </c>
      <c r="L98" s="322" t="s">
        <v>129</v>
      </c>
      <c r="M98" s="323" t="s">
        <v>40</v>
      </c>
    </row>
    <row r="99" spans="1:15">
      <c r="A99" s="322" t="s">
        <v>128</v>
      </c>
      <c r="B99" s="336" t="s">
        <v>7</v>
      </c>
      <c r="C99" s="322">
        <f>1.15*0.00001</f>
        <v>1.15E-5</v>
      </c>
      <c r="D99" s="323" t="s">
        <v>74</v>
      </c>
      <c r="M99" s="323" t="s">
        <v>125</v>
      </c>
    </row>
    <row r="100" spans="1:15">
      <c r="A100" s="322" t="s">
        <v>130</v>
      </c>
      <c r="B100" s="336" t="s">
        <v>7</v>
      </c>
      <c r="C100" s="322">
        <f>0.175*10^-1</f>
        <v>1.7499999999999998E-2</v>
      </c>
      <c r="D100" s="323" t="s">
        <v>35</v>
      </c>
      <c r="L100" s="322" t="s">
        <v>131</v>
      </c>
      <c r="M100" s="323" t="s">
        <v>132</v>
      </c>
      <c r="O100" s="324">
        <f t="shared" ref="O100:O106" si="4">C100*2240/2204.6*3.2808^3</f>
        <v>0.62790730089721059</v>
      </c>
    </row>
    <row r="101" spans="1:15">
      <c r="A101" s="322" t="s">
        <v>130</v>
      </c>
      <c r="B101" s="336" t="s">
        <v>7</v>
      </c>
      <c r="C101" s="331">
        <f>1.73*0.00001</f>
        <v>1.73E-5</v>
      </c>
      <c r="D101" s="332" t="s">
        <v>35</v>
      </c>
      <c r="M101" s="323" t="s">
        <v>125</v>
      </c>
    </row>
    <row r="102" spans="1:15">
      <c r="A102" s="322" t="s">
        <v>133</v>
      </c>
      <c r="B102" s="336" t="s">
        <v>7</v>
      </c>
      <c r="C102" s="322">
        <v>1.34E-2</v>
      </c>
      <c r="D102" s="323" t="s">
        <v>35</v>
      </c>
      <c r="L102" s="322" t="s">
        <v>134</v>
      </c>
      <c r="M102" s="323" t="s">
        <v>135</v>
      </c>
      <c r="O102" s="324">
        <f t="shared" si="4"/>
        <v>0.48079759040129277</v>
      </c>
    </row>
    <row r="103" spans="1:15">
      <c r="A103" s="322" t="s">
        <v>133</v>
      </c>
      <c r="B103" s="336" t="s">
        <v>7</v>
      </c>
      <c r="C103" s="322">
        <f>0.073*0.00001</f>
        <v>7.3E-7</v>
      </c>
      <c r="D103" s="323" t="s">
        <v>35</v>
      </c>
      <c r="E103" s="323" t="s">
        <v>34</v>
      </c>
      <c r="F103" s="323">
        <v>0.37</v>
      </c>
      <c r="M103" s="323" t="s">
        <v>125</v>
      </c>
    </row>
    <row r="104" spans="1:15">
      <c r="A104" s="322" t="s">
        <v>136</v>
      </c>
      <c r="B104" s="336" t="s">
        <v>7</v>
      </c>
      <c r="C104" s="322">
        <v>3.3E-3</v>
      </c>
      <c r="D104" s="323" t="s">
        <v>35</v>
      </c>
      <c r="E104" s="323" t="s">
        <v>34</v>
      </c>
      <c r="F104" s="323">
        <v>0.3</v>
      </c>
      <c r="L104" s="322" t="s">
        <v>137</v>
      </c>
      <c r="M104" s="323" t="s">
        <v>37</v>
      </c>
      <c r="O104" s="324">
        <f t="shared" si="4"/>
        <v>0.11840537674061688</v>
      </c>
    </row>
    <row r="105" spans="1:15">
      <c r="A105" s="322" t="s">
        <v>136</v>
      </c>
      <c r="B105" s="336" t="s">
        <v>7</v>
      </c>
      <c r="C105" s="331">
        <f>0.33*0.00001</f>
        <v>3.3000000000000006E-6</v>
      </c>
      <c r="D105" s="332" t="s">
        <v>35</v>
      </c>
      <c r="E105" s="332" t="s">
        <v>34</v>
      </c>
      <c r="F105" s="332">
        <v>0.3</v>
      </c>
      <c r="M105" s="323" t="s">
        <v>125</v>
      </c>
    </row>
    <row r="106" spans="1:15">
      <c r="A106" s="322" t="s">
        <v>138</v>
      </c>
      <c r="B106" s="336" t="s">
        <v>7</v>
      </c>
      <c r="C106" s="322">
        <f>2.86*10^-3</f>
        <v>2.8600000000000001E-3</v>
      </c>
      <c r="D106" s="323" t="s">
        <v>35</v>
      </c>
      <c r="E106" s="323" t="s">
        <v>34</v>
      </c>
      <c r="F106" s="323">
        <v>0.16</v>
      </c>
      <c r="L106" s="322" t="s">
        <v>139</v>
      </c>
      <c r="M106" s="323" t="s">
        <v>140</v>
      </c>
      <c r="O106" s="324">
        <f t="shared" si="4"/>
        <v>0.10261799317520129</v>
      </c>
    </row>
    <row r="107" spans="1:15">
      <c r="A107" s="322" t="s">
        <v>138</v>
      </c>
      <c r="B107" s="336" t="s">
        <v>7</v>
      </c>
      <c r="C107" s="331">
        <f>0.286*0.00001</f>
        <v>2.8600000000000001E-6</v>
      </c>
      <c r="D107" s="332" t="s">
        <v>35</v>
      </c>
      <c r="E107" s="332" t="s">
        <v>34</v>
      </c>
      <c r="F107" s="332">
        <v>0.16</v>
      </c>
      <c r="M107" s="323" t="s">
        <v>125</v>
      </c>
    </row>
    <row r="108" spans="1:15">
      <c r="A108" s="322" t="s">
        <v>141</v>
      </c>
      <c r="B108" s="336" t="s">
        <v>7</v>
      </c>
      <c r="C108" s="322">
        <v>4.8000000000000001E-2</v>
      </c>
      <c r="D108" s="323" t="s">
        <v>142</v>
      </c>
      <c r="L108" s="322" t="s">
        <v>143</v>
      </c>
      <c r="M108" s="323" t="s">
        <v>140</v>
      </c>
    </row>
    <row r="109" spans="1:15">
      <c r="A109" s="322" t="s">
        <v>141</v>
      </c>
      <c r="B109" s="336" t="s">
        <v>7</v>
      </c>
      <c r="C109" s="325">
        <v>1.0000000000000001E-5</v>
      </c>
      <c r="D109" s="323" t="s">
        <v>142</v>
      </c>
      <c r="E109" s="336" t="s">
        <v>34</v>
      </c>
      <c r="F109" s="323">
        <v>0.6</v>
      </c>
      <c r="M109" s="323" t="s">
        <v>45</v>
      </c>
    </row>
    <row r="110" spans="1:15">
      <c r="A110" s="322" t="s">
        <v>141</v>
      </c>
      <c r="B110" s="336" t="s">
        <v>7</v>
      </c>
      <c r="C110" s="325">
        <v>1.47E-5</v>
      </c>
      <c r="D110" s="323" t="s">
        <v>142</v>
      </c>
      <c r="E110" s="336" t="s">
        <v>34</v>
      </c>
      <c r="F110" s="323">
        <v>0.12</v>
      </c>
      <c r="M110" s="323" t="s">
        <v>125</v>
      </c>
    </row>
    <row r="111" spans="1:15">
      <c r="A111" s="322" t="s">
        <v>144</v>
      </c>
      <c r="B111" s="336" t="s">
        <v>7</v>
      </c>
      <c r="C111" s="325">
        <v>1.8499999999999999E-2</v>
      </c>
      <c r="D111" s="323" t="s">
        <v>35</v>
      </c>
      <c r="L111" s="322" t="s">
        <v>145</v>
      </c>
      <c r="M111" s="323" t="s">
        <v>140</v>
      </c>
      <c r="O111" s="324">
        <f t="shared" ref="O111:O117" si="5">C111*2240/2204.6*3.2808^3</f>
        <v>0.66378771809133696</v>
      </c>
    </row>
    <row r="112" spans="1:15">
      <c r="A112" s="322" t="s">
        <v>144</v>
      </c>
      <c r="B112" s="336" t="s">
        <v>7</v>
      </c>
      <c r="C112" s="333">
        <f>1.85*0.00001</f>
        <v>1.8500000000000002E-5</v>
      </c>
      <c r="D112" s="332" t="s">
        <v>35</v>
      </c>
      <c r="M112" s="323" t="s">
        <v>125</v>
      </c>
    </row>
    <row r="113" spans="1:15">
      <c r="A113" s="322" t="s">
        <v>146</v>
      </c>
      <c r="B113" s="336" t="s">
        <v>7</v>
      </c>
      <c r="C113" s="325">
        <v>3.2000000000000002E-3</v>
      </c>
      <c r="D113" s="323" t="s">
        <v>35</v>
      </c>
      <c r="L113" s="322" t="s">
        <v>147</v>
      </c>
      <c r="M113" s="323" t="s">
        <v>140</v>
      </c>
      <c r="O113" s="324">
        <f t="shared" si="5"/>
        <v>0.11481733502120424</v>
      </c>
    </row>
    <row r="114" spans="1:15">
      <c r="A114" s="322" t="s">
        <v>146</v>
      </c>
      <c r="B114" s="336" t="s">
        <v>7</v>
      </c>
      <c r="C114" s="333">
        <f>3.57*0.00001</f>
        <v>3.57E-5</v>
      </c>
      <c r="D114" s="332" t="s">
        <v>74</v>
      </c>
      <c r="M114" s="323" t="s">
        <v>125</v>
      </c>
    </row>
    <row r="115" spans="1:15">
      <c r="A115" s="322" t="s">
        <v>148</v>
      </c>
      <c r="B115" s="336" t="s">
        <v>7</v>
      </c>
      <c r="C115" s="325">
        <v>3.2000000000000001E-2</v>
      </c>
      <c r="D115" s="323" t="s">
        <v>35</v>
      </c>
      <c r="L115" s="322" t="s">
        <v>149</v>
      </c>
      <c r="M115" s="323" t="s">
        <v>140</v>
      </c>
      <c r="O115" s="324">
        <f t="shared" si="5"/>
        <v>1.1481733502120426</v>
      </c>
    </row>
    <row r="116" spans="1:15">
      <c r="A116" s="322" t="s">
        <v>148</v>
      </c>
      <c r="B116" s="336" t="s">
        <v>7</v>
      </c>
      <c r="C116" s="333">
        <f>1.412*0.00001</f>
        <v>1.412E-5</v>
      </c>
      <c r="D116" s="332" t="s">
        <v>35</v>
      </c>
      <c r="M116" s="323" t="s">
        <v>125</v>
      </c>
    </row>
    <row r="117" spans="1:15">
      <c r="A117" s="322" t="s">
        <v>150</v>
      </c>
      <c r="B117" s="336" t="s">
        <v>7</v>
      </c>
      <c r="C117" s="322">
        <v>3.5999999999999997E-2</v>
      </c>
      <c r="D117" s="323" t="s">
        <v>35</v>
      </c>
      <c r="L117" s="322" t="s">
        <v>151</v>
      </c>
      <c r="M117" s="323" t="s">
        <v>140</v>
      </c>
      <c r="O117" s="324">
        <f t="shared" si="5"/>
        <v>1.2916950189885477</v>
      </c>
    </row>
    <row r="118" spans="1:15">
      <c r="A118" s="322" t="s">
        <v>150</v>
      </c>
      <c r="B118" s="336" t="s">
        <v>7</v>
      </c>
      <c r="C118" s="322">
        <v>9.7999999999999997E-5</v>
      </c>
      <c r="D118" s="323" t="s">
        <v>152</v>
      </c>
      <c r="M118" s="323" t="s">
        <v>125</v>
      </c>
    </row>
    <row r="119" spans="1:15">
      <c r="A119" s="322" t="s">
        <v>153</v>
      </c>
      <c r="B119" s="336" t="s">
        <v>7</v>
      </c>
      <c r="C119" s="322" t="s">
        <v>154</v>
      </c>
      <c r="L119" s="322" t="s">
        <v>155</v>
      </c>
    </row>
    <row r="120" spans="1:15">
      <c r="A120" s="322" t="s">
        <v>156</v>
      </c>
      <c r="B120" s="336" t="s">
        <v>7</v>
      </c>
      <c r="C120" s="325">
        <v>2.7E-2</v>
      </c>
      <c r="D120" s="323" t="s">
        <v>35</v>
      </c>
      <c r="L120" s="322" t="s">
        <v>157</v>
      </c>
      <c r="M120" s="323" t="s">
        <v>140</v>
      </c>
    </row>
    <row r="121" spans="1:15">
      <c r="A121" s="322" t="s">
        <v>156</v>
      </c>
      <c r="B121" s="336" t="s">
        <v>7</v>
      </c>
      <c r="C121" s="322">
        <v>1.7999999999999999E-2</v>
      </c>
      <c r="D121" s="323" t="s">
        <v>35</v>
      </c>
      <c r="M121" s="323" t="s">
        <v>45</v>
      </c>
    </row>
    <row r="122" spans="1:15">
      <c r="A122" s="322" t="s">
        <v>156</v>
      </c>
      <c r="B122" s="336" t="s">
        <v>7</v>
      </c>
      <c r="C122" s="322">
        <v>1.5099999999999999E-5</v>
      </c>
      <c r="D122" s="323" t="s">
        <v>152</v>
      </c>
      <c r="M122" s="323" t="s">
        <v>125</v>
      </c>
    </row>
    <row r="123" spans="1:15">
      <c r="A123" s="322" t="s">
        <v>158</v>
      </c>
      <c r="B123" s="336" t="s">
        <v>7</v>
      </c>
      <c r="C123" s="322">
        <v>1.5900000000000001E-2</v>
      </c>
      <c r="D123" s="323" t="s">
        <v>62</v>
      </c>
      <c r="L123" s="322" t="s">
        <v>65</v>
      </c>
      <c r="M123" s="323" t="s">
        <v>140</v>
      </c>
    </row>
    <row r="124" spans="1:15">
      <c r="A124" s="322" t="s">
        <v>158</v>
      </c>
      <c r="B124" s="336" t="s">
        <v>7</v>
      </c>
      <c r="C124" s="322">
        <v>1.5900000000000001E-2</v>
      </c>
      <c r="D124" s="323" t="s">
        <v>47</v>
      </c>
      <c r="M124" s="323" t="s">
        <v>125</v>
      </c>
    </row>
    <row r="125" spans="1:15">
      <c r="A125" s="322" t="s">
        <v>159</v>
      </c>
      <c r="B125" s="336" t="s">
        <v>7</v>
      </c>
      <c r="C125" s="322">
        <v>0.32</v>
      </c>
      <c r="D125" s="323" t="s">
        <v>160</v>
      </c>
      <c r="L125" s="322" t="s">
        <v>161</v>
      </c>
      <c r="M125" s="323" t="s">
        <v>162</v>
      </c>
    </row>
    <row r="126" spans="1:15">
      <c r="A126" s="322" t="s">
        <v>159</v>
      </c>
      <c r="B126" s="336" t="s">
        <v>7</v>
      </c>
      <c r="C126" s="322">
        <v>0.375</v>
      </c>
      <c r="D126" s="323" t="s">
        <v>160</v>
      </c>
      <c r="M126" s="323" t="s">
        <v>125</v>
      </c>
    </row>
    <row r="127" spans="1:15">
      <c r="A127" s="322" t="s">
        <v>163</v>
      </c>
      <c r="B127" s="336" t="s">
        <v>7</v>
      </c>
      <c r="C127" s="322">
        <v>0.153</v>
      </c>
      <c r="D127" s="323" t="s">
        <v>164</v>
      </c>
      <c r="L127" s="322" t="s">
        <v>165</v>
      </c>
      <c r="M127" s="323" t="s">
        <v>140</v>
      </c>
    </row>
    <row r="128" spans="1:15">
      <c r="A128" s="322" t="s">
        <v>163</v>
      </c>
      <c r="B128" s="336" t="s">
        <v>7</v>
      </c>
      <c r="C128" s="322">
        <v>0.192</v>
      </c>
      <c r="D128" s="323" t="s">
        <v>164</v>
      </c>
      <c r="M128" s="323" t="s">
        <v>125</v>
      </c>
    </row>
    <row r="129" spans="1:13">
      <c r="A129" s="322" t="s">
        <v>166</v>
      </c>
      <c r="B129" s="336" t="s">
        <v>7</v>
      </c>
      <c r="C129" s="322">
        <v>8.3000000000000004E-2</v>
      </c>
      <c r="D129" s="323" t="s">
        <v>167</v>
      </c>
      <c r="L129" s="322" t="s">
        <v>168</v>
      </c>
      <c r="M129" s="323" t="s">
        <v>140</v>
      </c>
    </row>
    <row r="130" spans="1:13">
      <c r="A130" s="322" t="s">
        <v>166</v>
      </c>
      <c r="B130" s="336" t="s">
        <v>7</v>
      </c>
      <c r="C130" s="322">
        <v>14</v>
      </c>
      <c r="D130" s="323" t="s">
        <v>167</v>
      </c>
      <c r="M130" s="323" t="s">
        <v>125</v>
      </c>
    </row>
    <row r="131" spans="1:13">
      <c r="A131" s="322" t="s">
        <v>169</v>
      </c>
      <c r="B131" s="336" t="s">
        <v>7</v>
      </c>
      <c r="C131" s="322">
        <v>1.44E-2</v>
      </c>
      <c r="D131" s="323" t="s">
        <v>62</v>
      </c>
      <c r="L131" s="322" t="s">
        <v>170</v>
      </c>
      <c r="M131" s="323" t="s">
        <v>140</v>
      </c>
    </row>
    <row r="132" spans="1:13">
      <c r="A132" s="322" t="s">
        <v>169</v>
      </c>
      <c r="B132" s="336" t="s">
        <v>7</v>
      </c>
      <c r="C132" s="322">
        <v>1.444E-2</v>
      </c>
      <c r="D132" s="323" t="s">
        <v>47</v>
      </c>
      <c r="M132" s="323" t="s">
        <v>45</v>
      </c>
    </row>
    <row r="133" spans="1:13">
      <c r="A133" s="322" t="s">
        <v>169</v>
      </c>
      <c r="B133" s="336" t="s">
        <v>7</v>
      </c>
      <c r="C133" s="322">
        <v>2.35E-2</v>
      </c>
      <c r="D133" s="323" t="s">
        <v>47</v>
      </c>
      <c r="M133" s="323" t="s">
        <v>125</v>
      </c>
    </row>
    <row r="134" spans="1:13">
      <c r="A134" s="322" t="s">
        <v>171</v>
      </c>
      <c r="B134" s="336" t="s">
        <v>7</v>
      </c>
      <c r="C134" s="322">
        <v>0</v>
      </c>
      <c r="D134" s="323" t="s">
        <v>62</v>
      </c>
      <c r="E134" s="323" t="s">
        <v>34</v>
      </c>
      <c r="F134" s="323">
        <v>0</v>
      </c>
      <c r="L134" s="322" t="s">
        <v>172</v>
      </c>
      <c r="M134" s="323" t="s">
        <v>28</v>
      </c>
    </row>
    <row r="135" spans="1:13">
      <c r="A135" s="322" t="s">
        <v>173</v>
      </c>
      <c r="B135" s="336" t="s">
        <v>7</v>
      </c>
      <c r="C135" s="322">
        <v>3.5000000000000003E-2</v>
      </c>
      <c r="D135" s="323" t="s">
        <v>62</v>
      </c>
      <c r="E135" s="323" t="s">
        <v>34</v>
      </c>
      <c r="F135" s="323">
        <v>0.999</v>
      </c>
      <c r="L135" s="322" t="s">
        <v>174</v>
      </c>
      <c r="M135" s="323" t="s">
        <v>140</v>
      </c>
    </row>
    <row r="136" spans="1:13">
      <c r="A136" s="322" t="s">
        <v>173</v>
      </c>
      <c r="B136" s="336" t="s">
        <v>7</v>
      </c>
      <c r="C136" s="322">
        <v>8.5000000000000006E-2</v>
      </c>
      <c r="D136" s="323" t="s">
        <v>47</v>
      </c>
      <c r="M136" s="323" t="s">
        <v>45</v>
      </c>
    </row>
    <row r="137" spans="1:13">
      <c r="A137" s="322" t="s">
        <v>173</v>
      </c>
      <c r="B137" s="336" t="s">
        <v>7</v>
      </c>
      <c r="C137" s="322">
        <v>3.5499999999999997E-2</v>
      </c>
      <c r="D137" s="323" t="s">
        <v>47</v>
      </c>
      <c r="M137" s="323" t="s">
        <v>125</v>
      </c>
    </row>
    <row r="138" spans="1:13">
      <c r="A138" s="322" t="s">
        <v>175</v>
      </c>
      <c r="B138" s="336" t="s">
        <v>7</v>
      </c>
      <c r="C138" s="322">
        <v>5.0000000000000001E-3</v>
      </c>
      <c r="D138" s="323" t="s">
        <v>62</v>
      </c>
      <c r="L138" s="322" t="s">
        <v>176</v>
      </c>
      <c r="M138" s="323" t="s">
        <v>162</v>
      </c>
    </row>
    <row r="139" spans="1:13">
      <c r="A139" s="322" t="s">
        <v>175</v>
      </c>
      <c r="B139" s="336" t="s">
        <v>7</v>
      </c>
      <c r="C139" s="322">
        <v>7.4999999999999997E-3</v>
      </c>
      <c r="D139" s="323" t="s">
        <v>47</v>
      </c>
      <c r="M139" s="323" t="s">
        <v>45</v>
      </c>
    </row>
    <row r="140" spans="1:13">
      <c r="A140" s="322" t="s">
        <v>175</v>
      </c>
      <c r="B140" s="336" t="s">
        <v>7</v>
      </c>
      <c r="C140" s="322">
        <v>7.4999999999999997E-3</v>
      </c>
      <c r="D140" s="323" t="s">
        <v>47</v>
      </c>
      <c r="M140" s="323" t="s">
        <v>125</v>
      </c>
    </row>
    <row r="141" spans="1:13">
      <c r="A141" s="322" t="s">
        <v>177</v>
      </c>
      <c r="B141" s="336" t="s">
        <v>7</v>
      </c>
      <c r="C141" s="322">
        <v>4.0000000000000001E-3</v>
      </c>
      <c r="D141" s="323" t="s">
        <v>62</v>
      </c>
      <c r="L141" s="322" t="s">
        <v>178</v>
      </c>
      <c r="M141" s="323" t="s">
        <v>40</v>
      </c>
    </row>
    <row r="142" spans="1:13">
      <c r="A142" s="322" t="s">
        <v>177</v>
      </c>
      <c r="B142" s="336" t="s">
        <v>7</v>
      </c>
      <c r="C142" s="322">
        <v>4.0000000000000001E-3</v>
      </c>
      <c r="D142" s="323" t="s">
        <v>47</v>
      </c>
      <c r="M142" s="323" t="s">
        <v>125</v>
      </c>
    </row>
    <row r="143" spans="1:13">
      <c r="A143" s="322" t="s">
        <v>179</v>
      </c>
      <c r="B143" s="336" t="s">
        <v>7</v>
      </c>
      <c r="C143" s="322">
        <v>0.01</v>
      </c>
      <c r="D143" s="323" t="s">
        <v>62</v>
      </c>
      <c r="L143" s="322" t="s">
        <v>180</v>
      </c>
      <c r="M143" s="323" t="s">
        <v>124</v>
      </c>
    </row>
    <row r="144" spans="1:13">
      <c r="A144" s="322" t="s">
        <v>179</v>
      </c>
      <c r="B144" s="336" t="s">
        <v>7</v>
      </c>
      <c r="C144" s="322">
        <v>0.01</v>
      </c>
      <c r="D144" s="323" t="s">
        <v>47</v>
      </c>
      <c r="M144" s="323" t="s">
        <v>125</v>
      </c>
    </row>
    <row r="145" spans="1:14">
      <c r="A145" s="322" t="s">
        <v>181</v>
      </c>
      <c r="B145" s="336" t="s">
        <v>7</v>
      </c>
      <c r="C145" s="322">
        <v>3.3E-3</v>
      </c>
      <c r="D145" s="323" t="s">
        <v>62</v>
      </c>
      <c r="L145" s="322" t="s">
        <v>182</v>
      </c>
      <c r="M145" s="323" t="s">
        <v>40</v>
      </c>
    </row>
    <row r="146" spans="1:14">
      <c r="A146" s="322" t="s">
        <v>181</v>
      </c>
      <c r="B146" s="336" t="s">
        <v>7</v>
      </c>
      <c r="C146" s="322">
        <v>3.3E-3</v>
      </c>
      <c r="D146" s="323" t="s">
        <v>47</v>
      </c>
      <c r="M146" s="323" t="s">
        <v>125</v>
      </c>
    </row>
    <row r="147" spans="1:14">
      <c r="A147" s="322" t="s">
        <v>183</v>
      </c>
      <c r="B147" s="336" t="s">
        <v>7</v>
      </c>
      <c r="C147" s="322">
        <v>2.8330000000000001E-2</v>
      </c>
      <c r="D147" s="323" t="s">
        <v>62</v>
      </c>
      <c r="L147" s="322" t="s">
        <v>184</v>
      </c>
      <c r="M147" s="323" t="s">
        <v>28</v>
      </c>
    </row>
    <row r="148" spans="1:14">
      <c r="A148" s="322" t="s">
        <v>183</v>
      </c>
      <c r="B148" s="336" t="s">
        <v>7</v>
      </c>
      <c r="C148" s="322">
        <v>3.5499999999999997E-2</v>
      </c>
      <c r="D148" s="323" t="s">
        <v>47</v>
      </c>
      <c r="M148" s="323" t="s">
        <v>125</v>
      </c>
    </row>
    <row r="149" spans="1:14">
      <c r="A149" s="322" t="s">
        <v>185</v>
      </c>
      <c r="B149" s="336" t="s">
        <v>7</v>
      </c>
      <c r="C149" s="322">
        <f>2.5*10^-5</f>
        <v>2.5000000000000001E-5</v>
      </c>
      <c r="D149" s="323" t="s">
        <v>186</v>
      </c>
      <c r="L149" s="322" t="s">
        <v>187</v>
      </c>
      <c r="M149" s="323" t="s">
        <v>28</v>
      </c>
    </row>
    <row r="150" spans="1:14">
      <c r="A150" s="322" t="s">
        <v>185</v>
      </c>
      <c r="B150" s="336" t="s">
        <v>7</v>
      </c>
      <c r="C150" s="322">
        <v>1.6000000000000001E-3</v>
      </c>
      <c r="D150" s="323" t="s">
        <v>47</v>
      </c>
      <c r="M150" s="323" t="s">
        <v>125</v>
      </c>
    </row>
    <row r="151" spans="1:14">
      <c r="A151" s="322" t="s">
        <v>188</v>
      </c>
      <c r="B151" s="336" t="s">
        <v>7</v>
      </c>
      <c r="C151" s="322">
        <v>1.03E-2</v>
      </c>
      <c r="D151" s="323" t="s">
        <v>35</v>
      </c>
      <c r="L151" s="322" t="s">
        <v>189</v>
      </c>
      <c r="M151" s="323" t="s">
        <v>28</v>
      </c>
    </row>
    <row r="152" spans="1:14">
      <c r="A152" s="322" t="s">
        <v>188</v>
      </c>
      <c r="B152" s="336" t="s">
        <v>7</v>
      </c>
      <c r="C152" s="322">
        <v>2.3E-2</v>
      </c>
      <c r="D152" s="323" t="s">
        <v>47</v>
      </c>
      <c r="M152" s="323" t="s">
        <v>125</v>
      </c>
    </row>
    <row r="153" spans="1:14">
      <c r="A153" s="322" t="s">
        <v>190</v>
      </c>
      <c r="B153" s="336" t="s">
        <v>7</v>
      </c>
      <c r="C153" s="322">
        <v>3.3999999999999998E-3</v>
      </c>
      <c r="D153" s="323" t="s">
        <v>35</v>
      </c>
      <c r="E153" s="323" t="s">
        <v>34</v>
      </c>
      <c r="F153" s="323">
        <v>0.35</v>
      </c>
      <c r="L153" s="322" t="s">
        <v>191</v>
      </c>
      <c r="M153" s="323" t="s">
        <v>192</v>
      </c>
    </row>
    <row r="154" spans="1:14">
      <c r="A154" s="322" t="s">
        <v>190</v>
      </c>
      <c r="B154" s="336" t="s">
        <v>7</v>
      </c>
      <c r="C154" s="322">
        <v>2.1999999999999999E-2</v>
      </c>
      <c r="D154" s="323" t="s">
        <v>35</v>
      </c>
      <c r="M154" s="323" t="s">
        <v>45</v>
      </c>
    </row>
    <row r="155" spans="1:14">
      <c r="A155" s="322" t="s">
        <v>190</v>
      </c>
      <c r="B155" s="336" t="s">
        <v>7</v>
      </c>
      <c r="C155" s="322">
        <v>5.0999999999999997E-2</v>
      </c>
      <c r="D155" s="323" t="s">
        <v>47</v>
      </c>
      <c r="E155" s="323" t="s">
        <v>9</v>
      </c>
      <c r="F155" s="323" t="s">
        <v>35</v>
      </c>
      <c r="G155" s="323" t="s">
        <v>9</v>
      </c>
      <c r="H155" s="323">
        <v>9.9999999999999995E-7</v>
      </c>
      <c r="I155" s="323" t="s">
        <v>34</v>
      </c>
      <c r="J155" s="323">
        <v>0.35</v>
      </c>
      <c r="M155" s="323" t="s">
        <v>125</v>
      </c>
    </row>
    <row r="156" spans="1:14">
      <c r="A156" s="322" t="s">
        <v>193</v>
      </c>
      <c r="B156" s="336" t="s">
        <v>7</v>
      </c>
      <c r="C156" s="322">
        <v>1.6250000000000001E-2</v>
      </c>
      <c r="D156" s="323" t="s">
        <v>35</v>
      </c>
      <c r="L156" s="322" t="s">
        <v>194</v>
      </c>
      <c r="M156" s="323" t="s">
        <v>28</v>
      </c>
      <c r="N156" s="323"/>
    </row>
    <row r="157" spans="1:14">
      <c r="A157" s="322" t="s">
        <v>193</v>
      </c>
      <c r="B157" s="336" t="s">
        <v>7</v>
      </c>
      <c r="C157" s="322">
        <v>5.0000000000000001E-3</v>
      </c>
      <c r="D157" s="323" t="s">
        <v>47</v>
      </c>
      <c r="E157" s="323" t="s">
        <v>9</v>
      </c>
      <c r="F157" s="323" t="s">
        <v>35</v>
      </c>
      <c r="G157" s="323" t="s">
        <v>9</v>
      </c>
      <c r="H157" s="323">
        <v>9.9999999999999995E-7</v>
      </c>
      <c r="M157" s="323" t="s">
        <v>125</v>
      </c>
      <c r="N157" s="323"/>
    </row>
    <row r="158" spans="1:14">
      <c r="A158" s="322" t="s">
        <v>195</v>
      </c>
      <c r="B158" s="323" t="s">
        <v>7</v>
      </c>
      <c r="C158" s="322">
        <v>1.7000000000000001E-2</v>
      </c>
      <c r="D158" s="323" t="s">
        <v>62</v>
      </c>
      <c r="L158" s="322" t="s">
        <v>196</v>
      </c>
      <c r="M158" s="323" t="s">
        <v>28</v>
      </c>
      <c r="N158" s="323"/>
    </row>
    <row r="159" spans="1:14">
      <c r="A159" s="334" t="s">
        <v>195</v>
      </c>
      <c r="B159" s="338" t="s">
        <v>7</v>
      </c>
      <c r="C159" s="334">
        <v>2.4E-2</v>
      </c>
      <c r="D159" s="335" t="s">
        <v>35</v>
      </c>
      <c r="M159" s="323" t="s">
        <v>45</v>
      </c>
      <c r="N159" s="323"/>
    </row>
    <row r="160" spans="1:14">
      <c r="A160" s="334" t="s">
        <v>195</v>
      </c>
      <c r="B160" s="338" t="s">
        <v>7</v>
      </c>
      <c r="C160" s="334">
        <v>8.5000000000000006E-3</v>
      </c>
      <c r="D160" s="335" t="s">
        <v>197</v>
      </c>
      <c r="E160" s="335"/>
      <c r="F160" s="335"/>
      <c r="G160" s="335"/>
      <c r="H160" s="335"/>
      <c r="I160" s="335"/>
      <c r="J160" s="335"/>
      <c r="K160" s="335"/>
      <c r="L160" s="334"/>
      <c r="M160" s="323" t="s">
        <v>198</v>
      </c>
      <c r="N160" s="323"/>
    </row>
    <row r="161" spans="1:14">
      <c r="A161" s="334" t="s">
        <v>195</v>
      </c>
      <c r="B161" s="338" t="s">
        <v>7</v>
      </c>
      <c r="C161" s="334">
        <v>2.8500000000000001E-2</v>
      </c>
      <c r="D161" s="335" t="s">
        <v>47</v>
      </c>
      <c r="E161" s="335"/>
      <c r="F161" s="335"/>
      <c r="G161" s="335"/>
      <c r="H161" s="335"/>
      <c r="I161" s="335"/>
      <c r="J161" s="335"/>
      <c r="K161" s="335"/>
      <c r="L161" s="334"/>
      <c r="M161" s="323" t="s">
        <v>125</v>
      </c>
      <c r="N161" s="323"/>
    </row>
    <row r="162" spans="1:14">
      <c r="A162" s="322" t="s">
        <v>199</v>
      </c>
      <c r="B162" s="336" t="s">
        <v>7</v>
      </c>
      <c r="C162" s="322">
        <v>9.6000000000000002E-2</v>
      </c>
      <c r="D162" s="323" t="s">
        <v>62</v>
      </c>
      <c r="L162" s="322" t="s">
        <v>200</v>
      </c>
      <c r="M162" s="323" t="s">
        <v>28</v>
      </c>
      <c r="N162" s="323"/>
    </row>
    <row r="163" spans="1:14">
      <c r="A163" s="334" t="s">
        <v>199</v>
      </c>
      <c r="B163" s="338" t="s">
        <v>7</v>
      </c>
      <c r="C163" s="334">
        <v>0.192</v>
      </c>
      <c r="D163" s="335" t="s">
        <v>47</v>
      </c>
      <c r="M163" s="323" t="s">
        <v>28</v>
      </c>
      <c r="N163" s="323"/>
    </row>
    <row r="164" spans="1:14">
      <c r="A164" s="334" t="s">
        <v>199</v>
      </c>
      <c r="B164" s="338" t="s">
        <v>7</v>
      </c>
      <c r="C164" s="334">
        <v>2.8E-3</v>
      </c>
      <c r="D164" s="335" t="s">
        <v>201</v>
      </c>
      <c r="E164" s="323" t="s">
        <v>9</v>
      </c>
      <c r="F164" s="323" t="s">
        <v>47</v>
      </c>
      <c r="M164" s="323" t="s">
        <v>125</v>
      </c>
      <c r="N164" s="323"/>
    </row>
    <row r="165" spans="1:14">
      <c r="A165" s="322" t="s">
        <v>202</v>
      </c>
      <c r="B165" s="336" t="s">
        <v>7</v>
      </c>
      <c r="C165" s="322">
        <f>6.57*10^-4</f>
        <v>6.5700000000000003E-4</v>
      </c>
      <c r="D165" s="323" t="s">
        <v>203</v>
      </c>
      <c r="L165" s="322" t="s">
        <v>204</v>
      </c>
      <c r="M165" s="323" t="s">
        <v>28</v>
      </c>
      <c r="N165" s="323"/>
    </row>
    <row r="166" spans="1:14">
      <c r="A166" s="322" t="s">
        <v>202</v>
      </c>
      <c r="B166" s="336" t="s">
        <v>7</v>
      </c>
      <c r="C166" s="322">
        <v>0.05</v>
      </c>
      <c r="D166" s="323" t="s">
        <v>205</v>
      </c>
      <c r="M166" s="323" t="s">
        <v>40</v>
      </c>
      <c r="N166" s="323"/>
    </row>
    <row r="167" spans="1:14">
      <c r="A167" s="322" t="s">
        <v>202</v>
      </c>
      <c r="B167" s="336" t="s">
        <v>7</v>
      </c>
      <c r="C167" s="322">
        <v>0.05</v>
      </c>
      <c r="D167" s="323" t="s">
        <v>205</v>
      </c>
      <c r="M167" s="323" t="s">
        <v>125</v>
      </c>
      <c r="N167" s="323"/>
    </row>
    <row r="168" spans="1:14">
      <c r="A168" s="322" t="s">
        <v>206</v>
      </c>
      <c r="B168" s="336" t="s">
        <v>7</v>
      </c>
      <c r="C168" s="322">
        <f>6.667*10^-3</f>
        <v>6.6670000000000002E-3</v>
      </c>
      <c r="D168" s="323" t="s">
        <v>203</v>
      </c>
      <c r="L168" s="322" t="s">
        <v>207</v>
      </c>
      <c r="M168" s="323" t="s">
        <v>28</v>
      </c>
      <c r="N168" s="323"/>
    </row>
    <row r="169" spans="1:14">
      <c r="A169" s="322" t="s">
        <v>206</v>
      </c>
      <c r="B169" s="336" t="s">
        <v>7</v>
      </c>
      <c r="C169" s="322">
        <v>0.02</v>
      </c>
      <c r="D169" s="323" t="s">
        <v>203</v>
      </c>
      <c r="M169" s="323" t="s">
        <v>40</v>
      </c>
      <c r="N169" s="323"/>
    </row>
    <row r="170" spans="1:14">
      <c r="A170" s="322" t="s">
        <v>206</v>
      </c>
      <c r="B170" s="336" t="s">
        <v>7</v>
      </c>
      <c r="C170" s="322">
        <v>0.01</v>
      </c>
      <c r="D170" s="323" t="s">
        <v>203</v>
      </c>
      <c r="M170" s="323" t="s">
        <v>125</v>
      </c>
      <c r="N170" s="323"/>
    </row>
    <row r="171" spans="1:14">
      <c r="N171" s="323"/>
    </row>
    <row r="172" spans="1:14">
      <c r="A172" s="322" t="s">
        <v>35</v>
      </c>
      <c r="B172" s="336" t="s">
        <v>7</v>
      </c>
      <c r="C172" s="322" t="s">
        <v>208</v>
      </c>
      <c r="I172" s="323" t="s">
        <v>209</v>
      </c>
    </row>
    <row r="173" spans="1:14">
      <c r="A173" s="322" t="s">
        <v>47</v>
      </c>
      <c r="B173" s="336" t="s">
        <v>7</v>
      </c>
      <c r="C173" s="322" t="s">
        <v>210</v>
      </c>
    </row>
    <row r="174" spans="1:14">
      <c r="A174" s="322" t="s">
        <v>211</v>
      </c>
      <c r="B174" s="336" t="s">
        <v>7</v>
      </c>
      <c r="C174" s="322" t="s">
        <v>212</v>
      </c>
      <c r="F174" s="323" t="s">
        <v>213</v>
      </c>
      <c r="I174" s="323" t="s">
        <v>209</v>
      </c>
    </row>
    <row r="175" spans="1:14">
      <c r="A175" s="322" t="s">
        <v>142</v>
      </c>
      <c r="B175" s="336" t="s">
        <v>7</v>
      </c>
      <c r="C175" s="322" t="s">
        <v>214</v>
      </c>
      <c r="I175" s="323" t="s">
        <v>209</v>
      </c>
    </row>
    <row r="176" spans="1:14">
      <c r="A176" s="322" t="s">
        <v>160</v>
      </c>
      <c r="B176" s="336" t="s">
        <v>7</v>
      </c>
      <c r="C176" s="322" t="s">
        <v>215</v>
      </c>
    </row>
    <row r="177" spans="1:9">
      <c r="A177" s="322" t="s">
        <v>164</v>
      </c>
      <c r="B177" s="336" t="s">
        <v>7</v>
      </c>
      <c r="C177" s="322" t="s">
        <v>216</v>
      </c>
    </row>
    <row r="178" spans="1:9">
      <c r="A178" s="322" t="s">
        <v>167</v>
      </c>
      <c r="B178" s="336" t="s">
        <v>7</v>
      </c>
      <c r="C178" s="322" t="s">
        <v>217</v>
      </c>
    </row>
    <row r="179" spans="1:9">
      <c r="A179" s="322" t="s">
        <v>26</v>
      </c>
      <c r="B179" s="336" t="s">
        <v>7</v>
      </c>
      <c r="C179" s="322" t="s">
        <v>218</v>
      </c>
    </row>
    <row r="180" spans="1:9">
      <c r="A180" s="322" t="s">
        <v>186</v>
      </c>
      <c r="B180" s="323" t="s">
        <v>7</v>
      </c>
      <c r="C180" s="322" t="s">
        <v>219</v>
      </c>
    </row>
    <row r="181" spans="1:9">
      <c r="A181" s="322" t="s">
        <v>15</v>
      </c>
      <c r="B181" s="323" t="s">
        <v>7</v>
      </c>
      <c r="C181" s="322" t="s">
        <v>220</v>
      </c>
      <c r="I181" s="323" t="s">
        <v>221</v>
      </c>
    </row>
  </sheetData>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S13" sqref="S13"/>
    </sheetView>
  </sheetViews>
  <sheetFormatPr defaultColWidth="8.625" defaultRowHeight="15.75"/>
  <sheetData/>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S13" sqref="S13"/>
    </sheetView>
  </sheetViews>
  <sheetFormatPr defaultColWidth="8.625" defaultRowHeight="15.75"/>
  <sheetData/>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showRowColHeaders="0" zoomScale="109" zoomScaleNormal="109" workbookViewId="0">
      <selection activeCell="T19" sqref="T19"/>
    </sheetView>
  </sheetViews>
  <sheetFormatPr defaultColWidth="8.625" defaultRowHeight="15.75"/>
  <sheetData/>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showRowColHeaders="0" zoomScale="109" zoomScaleNormal="109" workbookViewId="0">
      <selection activeCell="S17" sqref="S17"/>
    </sheetView>
  </sheetViews>
  <sheetFormatPr defaultColWidth="8.625" defaultRowHeight="15.75"/>
  <sheetData/>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WW154"/>
  <sheetViews>
    <sheetView zoomScale="75" zoomScaleNormal="75" workbookViewId="0">
      <pane xSplit="1" ySplit="2" topLeftCell="B16" activePane="bottomRight" state="frozen"/>
      <selection pane="topRight"/>
      <selection pane="bottomLeft"/>
      <selection pane="bottomRight" activeCell="B36" sqref="B36"/>
    </sheetView>
  </sheetViews>
  <sheetFormatPr defaultColWidth="9" defaultRowHeight="12.75"/>
  <cols>
    <col min="1" max="1" width="43.75" style="119" customWidth="1"/>
    <col min="2" max="2" width="11" style="119" customWidth="1"/>
    <col min="3" max="3" width="13.75" style="119" customWidth="1"/>
    <col min="4" max="5" width="11" style="119" customWidth="1"/>
    <col min="6" max="6" width="13.75" style="119" customWidth="1"/>
    <col min="7" max="7" width="15.75" style="119" customWidth="1"/>
    <col min="8" max="8" width="11.25" style="119" customWidth="1"/>
    <col min="9" max="9" width="15" style="119" customWidth="1"/>
    <col min="10" max="10" width="23" style="119" customWidth="1"/>
    <col min="11" max="11" width="15" style="119" customWidth="1"/>
    <col min="12" max="12" width="11" style="119" customWidth="1"/>
    <col min="13" max="13" width="13.75" style="119" customWidth="1"/>
    <col min="14" max="15" width="14" style="119" customWidth="1"/>
    <col min="16" max="18" width="13.75" style="119" customWidth="1"/>
    <col min="19" max="19" width="18.5" style="119" customWidth="1"/>
    <col min="20" max="20" width="14.25" style="119" customWidth="1"/>
    <col min="21" max="21" width="14.125" style="119" customWidth="1"/>
    <col min="22" max="22" width="9" style="119"/>
    <col min="23" max="23" width="9.375" style="119" customWidth="1"/>
    <col min="24" max="24" width="9" style="119"/>
    <col min="25" max="27" width="11.625" style="119" customWidth="1"/>
    <col min="28" max="28" width="9" style="119"/>
    <col min="29" max="31" width="11.625" style="119" customWidth="1"/>
    <col min="32" max="32" width="9" style="119"/>
    <col min="33" max="35" width="11.625" style="119" customWidth="1"/>
    <col min="36" max="36" width="12.875" style="119" customWidth="1"/>
    <col min="37" max="37" width="10.5" style="119" customWidth="1"/>
    <col min="38" max="38" width="9" style="119" hidden="1" customWidth="1"/>
    <col min="39" max="41" width="11.875" style="119" hidden="1" customWidth="1"/>
    <col min="42" max="42" width="9" style="119"/>
    <col min="43" max="43" width="11.75" style="119" customWidth="1"/>
    <col min="44" max="44" width="9" style="119"/>
    <col min="45" max="45" width="11.75" style="119" customWidth="1"/>
    <col min="46" max="46" width="13.25" style="119" customWidth="1"/>
    <col min="47" max="47" width="9" style="119"/>
    <col min="48" max="48" width="11.75" style="119" customWidth="1"/>
    <col min="49" max="49" width="9" style="119"/>
    <col min="50" max="50" width="14.625" style="119" customWidth="1"/>
    <col min="51" max="256" width="9" style="119"/>
    <col min="257" max="257" width="43.75" style="119" customWidth="1"/>
    <col min="258" max="258" width="11" style="119" customWidth="1"/>
    <col min="259" max="259" width="13.75" style="119" customWidth="1"/>
    <col min="260" max="261" width="11" style="119" customWidth="1"/>
    <col min="262" max="262" width="13.75" style="119" customWidth="1"/>
    <col min="263" max="263" width="15.75" style="119" customWidth="1"/>
    <col min="264" max="264" width="11.25" style="119" customWidth="1"/>
    <col min="265" max="265" width="15" style="119" customWidth="1"/>
    <col min="266" max="266" width="23" style="119" customWidth="1"/>
    <col min="267" max="267" width="15" style="119" customWidth="1"/>
    <col min="268" max="268" width="11" style="119" customWidth="1"/>
    <col min="269" max="269" width="13.75" style="119" customWidth="1"/>
    <col min="270" max="271" width="14" style="119" customWidth="1"/>
    <col min="272" max="274" width="13.75" style="119" customWidth="1"/>
    <col min="275" max="275" width="18.5" style="119" customWidth="1"/>
    <col min="276" max="276" width="14.25" style="119" customWidth="1"/>
    <col min="277" max="277" width="14.125" style="119" customWidth="1"/>
    <col min="278" max="278" width="9" style="119"/>
    <col min="279" max="279" width="9.375" style="119" customWidth="1"/>
    <col min="280" max="280" width="9" style="119"/>
    <col min="281" max="283" width="11.625" style="119" customWidth="1"/>
    <col min="284" max="284" width="9" style="119"/>
    <col min="285" max="287" width="11.625" style="119" customWidth="1"/>
    <col min="288" max="288" width="9" style="119"/>
    <col min="289" max="291" width="11.625" style="119" customWidth="1"/>
    <col min="292" max="292" width="12.875" style="119" customWidth="1"/>
    <col min="293" max="293" width="10.5" style="119" customWidth="1"/>
    <col min="294" max="297" width="9" style="119" hidden="1" customWidth="1"/>
    <col min="298" max="298" width="9" style="119"/>
    <col min="299" max="299" width="11.75" style="119" customWidth="1"/>
    <col min="300" max="300" width="9" style="119"/>
    <col min="301" max="301" width="11.75" style="119" customWidth="1"/>
    <col min="302" max="302" width="13.25" style="119" customWidth="1"/>
    <col min="303" max="303" width="9" style="119"/>
    <col min="304" max="304" width="11.75" style="119" customWidth="1"/>
    <col min="305" max="305" width="9" style="119"/>
    <col min="306" max="306" width="14.625" style="119" customWidth="1"/>
    <col min="307" max="512" width="9" style="119"/>
    <col min="513" max="513" width="43.75" style="119" customWidth="1"/>
    <col min="514" max="514" width="11" style="119" customWidth="1"/>
    <col min="515" max="515" width="13.75" style="119" customWidth="1"/>
    <col min="516" max="517" width="11" style="119" customWidth="1"/>
    <col min="518" max="518" width="13.75" style="119" customWidth="1"/>
    <col min="519" max="519" width="15.75" style="119" customWidth="1"/>
    <col min="520" max="520" width="11.25" style="119" customWidth="1"/>
    <col min="521" max="521" width="15" style="119" customWidth="1"/>
    <col min="522" max="522" width="23" style="119" customWidth="1"/>
    <col min="523" max="523" width="15" style="119" customWidth="1"/>
    <col min="524" max="524" width="11" style="119" customWidth="1"/>
    <col min="525" max="525" width="13.75" style="119" customWidth="1"/>
    <col min="526" max="527" width="14" style="119" customWidth="1"/>
    <col min="528" max="530" width="13.75" style="119" customWidth="1"/>
    <col min="531" max="531" width="18.5" style="119" customWidth="1"/>
    <col min="532" max="532" width="14.25" style="119" customWidth="1"/>
    <col min="533" max="533" width="14.125" style="119" customWidth="1"/>
    <col min="534" max="534" width="9" style="119"/>
    <col min="535" max="535" width="9.375" style="119" customWidth="1"/>
    <col min="536" max="536" width="9" style="119"/>
    <col min="537" max="539" width="11.625" style="119" customWidth="1"/>
    <col min="540" max="540" width="9" style="119"/>
    <col min="541" max="543" width="11.625" style="119" customWidth="1"/>
    <col min="544" max="544" width="9" style="119"/>
    <col min="545" max="547" width="11.625" style="119" customWidth="1"/>
    <col min="548" max="548" width="12.875" style="119" customWidth="1"/>
    <col min="549" max="549" width="10.5" style="119" customWidth="1"/>
    <col min="550" max="553" width="9" style="119" hidden="1" customWidth="1"/>
    <col min="554" max="554" width="9" style="119"/>
    <col min="555" max="555" width="11.75" style="119" customWidth="1"/>
    <col min="556" max="556" width="9" style="119"/>
    <col min="557" max="557" width="11.75" style="119" customWidth="1"/>
    <col min="558" max="558" width="13.25" style="119" customWidth="1"/>
    <col min="559" max="559" width="9" style="119"/>
    <col min="560" max="560" width="11.75" style="119" customWidth="1"/>
    <col min="561" max="561" width="9" style="119"/>
    <col min="562" max="562" width="14.625" style="119" customWidth="1"/>
    <col min="563" max="768" width="9" style="119"/>
    <col min="769" max="769" width="43.75" style="119" customWidth="1"/>
    <col min="770" max="770" width="11" style="119" customWidth="1"/>
    <col min="771" max="771" width="13.75" style="119" customWidth="1"/>
    <col min="772" max="773" width="11" style="119" customWidth="1"/>
    <col min="774" max="774" width="13.75" style="119" customWidth="1"/>
    <col min="775" max="775" width="15.75" style="119" customWidth="1"/>
    <col min="776" max="776" width="11.25" style="119" customWidth="1"/>
    <col min="777" max="777" width="15" style="119" customWidth="1"/>
    <col min="778" max="778" width="23" style="119" customWidth="1"/>
    <col min="779" max="779" width="15" style="119" customWidth="1"/>
    <col min="780" max="780" width="11" style="119" customWidth="1"/>
    <col min="781" max="781" width="13.75" style="119" customWidth="1"/>
    <col min="782" max="783" width="14" style="119" customWidth="1"/>
    <col min="784" max="786" width="13.75" style="119" customWidth="1"/>
    <col min="787" max="787" width="18.5" style="119" customWidth="1"/>
    <col min="788" max="788" width="14.25" style="119" customWidth="1"/>
    <col min="789" max="789" width="14.125" style="119" customWidth="1"/>
    <col min="790" max="790" width="9" style="119"/>
    <col min="791" max="791" width="9.375" style="119" customWidth="1"/>
    <col min="792" max="792" width="9" style="119"/>
    <col min="793" max="795" width="11.625" style="119" customWidth="1"/>
    <col min="796" max="796" width="9" style="119"/>
    <col min="797" max="799" width="11.625" style="119" customWidth="1"/>
    <col min="800" max="800" width="9" style="119"/>
    <col min="801" max="803" width="11.625" style="119" customWidth="1"/>
    <col min="804" max="804" width="12.875" style="119" customWidth="1"/>
    <col min="805" max="805" width="10.5" style="119" customWidth="1"/>
    <col min="806" max="809" width="9" style="119" hidden="1" customWidth="1"/>
    <col min="810" max="810" width="9" style="119"/>
    <col min="811" max="811" width="11.75" style="119" customWidth="1"/>
    <col min="812" max="812" width="9" style="119"/>
    <col min="813" max="813" width="11.75" style="119" customWidth="1"/>
    <col min="814" max="814" width="13.25" style="119" customWidth="1"/>
    <col min="815" max="815" width="9" style="119"/>
    <col min="816" max="816" width="11.75" style="119" customWidth="1"/>
    <col min="817" max="817" width="9" style="119"/>
    <col min="818" max="818" width="14.625" style="119" customWidth="1"/>
    <col min="819" max="1024" width="9" style="119"/>
    <col min="1025" max="1025" width="43.75" style="119" customWidth="1"/>
    <col min="1026" max="1026" width="11" style="119" customWidth="1"/>
    <col min="1027" max="1027" width="13.75" style="119" customWidth="1"/>
    <col min="1028" max="1029" width="11" style="119" customWidth="1"/>
    <col min="1030" max="1030" width="13.75" style="119" customWidth="1"/>
    <col min="1031" max="1031" width="15.75" style="119" customWidth="1"/>
    <col min="1032" max="1032" width="11.25" style="119" customWidth="1"/>
    <col min="1033" max="1033" width="15" style="119" customWidth="1"/>
    <col min="1034" max="1034" width="23" style="119" customWidth="1"/>
    <col min="1035" max="1035" width="15" style="119" customWidth="1"/>
    <col min="1036" max="1036" width="11" style="119" customWidth="1"/>
    <col min="1037" max="1037" width="13.75" style="119" customWidth="1"/>
    <col min="1038" max="1039" width="14" style="119" customWidth="1"/>
    <col min="1040" max="1042" width="13.75" style="119" customWidth="1"/>
    <col min="1043" max="1043" width="18.5" style="119" customWidth="1"/>
    <col min="1044" max="1044" width="14.25" style="119" customWidth="1"/>
    <col min="1045" max="1045" width="14.125" style="119" customWidth="1"/>
    <col min="1046" max="1046" width="9" style="119"/>
    <col min="1047" max="1047" width="9.375" style="119" customWidth="1"/>
    <col min="1048" max="1048" width="9" style="119"/>
    <col min="1049" max="1051" width="11.625" style="119" customWidth="1"/>
    <col min="1052" max="1052" width="9" style="119"/>
    <col min="1053" max="1055" width="11.625" style="119" customWidth="1"/>
    <col min="1056" max="1056" width="9" style="119"/>
    <col min="1057" max="1059" width="11.625" style="119" customWidth="1"/>
    <col min="1060" max="1060" width="12.875" style="119" customWidth="1"/>
    <col min="1061" max="1061" width="10.5" style="119" customWidth="1"/>
    <col min="1062" max="1065" width="9" style="119" hidden="1" customWidth="1"/>
    <col min="1066" max="1066" width="9" style="119"/>
    <col min="1067" max="1067" width="11.75" style="119" customWidth="1"/>
    <col min="1068" max="1068" width="9" style="119"/>
    <col min="1069" max="1069" width="11.75" style="119" customWidth="1"/>
    <col min="1070" max="1070" width="13.25" style="119" customWidth="1"/>
    <col min="1071" max="1071" width="9" style="119"/>
    <col min="1072" max="1072" width="11.75" style="119" customWidth="1"/>
    <col min="1073" max="1073" width="9" style="119"/>
    <col min="1074" max="1074" width="14.625" style="119" customWidth="1"/>
    <col min="1075" max="1280" width="9" style="119"/>
    <col min="1281" max="1281" width="43.75" style="119" customWidth="1"/>
    <col min="1282" max="1282" width="11" style="119" customWidth="1"/>
    <col min="1283" max="1283" width="13.75" style="119" customWidth="1"/>
    <col min="1284" max="1285" width="11" style="119" customWidth="1"/>
    <col min="1286" max="1286" width="13.75" style="119" customWidth="1"/>
    <col min="1287" max="1287" width="15.75" style="119" customWidth="1"/>
    <col min="1288" max="1288" width="11.25" style="119" customWidth="1"/>
    <col min="1289" max="1289" width="15" style="119" customWidth="1"/>
    <col min="1290" max="1290" width="23" style="119" customWidth="1"/>
    <col min="1291" max="1291" width="15" style="119" customWidth="1"/>
    <col min="1292" max="1292" width="11" style="119" customWidth="1"/>
    <col min="1293" max="1293" width="13.75" style="119" customWidth="1"/>
    <col min="1294" max="1295" width="14" style="119" customWidth="1"/>
    <col min="1296" max="1298" width="13.75" style="119" customWidth="1"/>
    <col min="1299" max="1299" width="18.5" style="119" customWidth="1"/>
    <col min="1300" max="1300" width="14.25" style="119" customWidth="1"/>
    <col min="1301" max="1301" width="14.125" style="119" customWidth="1"/>
    <col min="1302" max="1302" width="9" style="119"/>
    <col min="1303" max="1303" width="9.375" style="119" customWidth="1"/>
    <col min="1304" max="1304" width="9" style="119"/>
    <col min="1305" max="1307" width="11.625" style="119" customWidth="1"/>
    <col min="1308" max="1308" width="9" style="119"/>
    <col min="1309" max="1311" width="11.625" style="119" customWidth="1"/>
    <col min="1312" max="1312" width="9" style="119"/>
    <col min="1313" max="1315" width="11.625" style="119" customWidth="1"/>
    <col min="1316" max="1316" width="12.875" style="119" customWidth="1"/>
    <col min="1317" max="1317" width="10.5" style="119" customWidth="1"/>
    <col min="1318" max="1321" width="9" style="119" hidden="1" customWidth="1"/>
    <col min="1322" max="1322" width="9" style="119"/>
    <col min="1323" max="1323" width="11.75" style="119" customWidth="1"/>
    <col min="1324" max="1324" width="9" style="119"/>
    <col min="1325" max="1325" width="11.75" style="119" customWidth="1"/>
    <col min="1326" max="1326" width="13.25" style="119" customWidth="1"/>
    <col min="1327" max="1327" width="9" style="119"/>
    <col min="1328" max="1328" width="11.75" style="119" customWidth="1"/>
    <col min="1329" max="1329" width="9" style="119"/>
    <col min="1330" max="1330" width="14.625" style="119" customWidth="1"/>
    <col min="1331" max="1536" width="9" style="119"/>
    <col min="1537" max="1537" width="43.75" style="119" customWidth="1"/>
    <col min="1538" max="1538" width="11" style="119" customWidth="1"/>
    <col min="1539" max="1539" width="13.75" style="119" customWidth="1"/>
    <col min="1540" max="1541" width="11" style="119" customWidth="1"/>
    <col min="1542" max="1542" width="13.75" style="119" customWidth="1"/>
    <col min="1543" max="1543" width="15.75" style="119" customWidth="1"/>
    <col min="1544" max="1544" width="11.25" style="119" customWidth="1"/>
    <col min="1545" max="1545" width="15" style="119" customWidth="1"/>
    <col min="1546" max="1546" width="23" style="119" customWidth="1"/>
    <col min="1547" max="1547" width="15" style="119" customWidth="1"/>
    <col min="1548" max="1548" width="11" style="119" customWidth="1"/>
    <col min="1549" max="1549" width="13.75" style="119" customWidth="1"/>
    <col min="1550" max="1551" width="14" style="119" customWidth="1"/>
    <col min="1552" max="1554" width="13.75" style="119" customWidth="1"/>
    <col min="1555" max="1555" width="18.5" style="119" customWidth="1"/>
    <col min="1556" max="1556" width="14.25" style="119" customWidth="1"/>
    <col min="1557" max="1557" width="14.125" style="119" customWidth="1"/>
    <col min="1558" max="1558" width="9" style="119"/>
    <col min="1559" max="1559" width="9.375" style="119" customWidth="1"/>
    <col min="1560" max="1560" width="9" style="119"/>
    <col min="1561" max="1563" width="11.625" style="119" customWidth="1"/>
    <col min="1564" max="1564" width="9" style="119"/>
    <col min="1565" max="1567" width="11.625" style="119" customWidth="1"/>
    <col min="1568" max="1568" width="9" style="119"/>
    <col min="1569" max="1571" width="11.625" style="119" customWidth="1"/>
    <col min="1572" max="1572" width="12.875" style="119" customWidth="1"/>
    <col min="1573" max="1573" width="10.5" style="119" customWidth="1"/>
    <col min="1574" max="1577" width="9" style="119" hidden="1" customWidth="1"/>
    <col min="1578" max="1578" width="9" style="119"/>
    <col min="1579" max="1579" width="11.75" style="119" customWidth="1"/>
    <col min="1580" max="1580" width="9" style="119"/>
    <col min="1581" max="1581" width="11.75" style="119" customWidth="1"/>
    <col min="1582" max="1582" width="13.25" style="119" customWidth="1"/>
    <col min="1583" max="1583" width="9" style="119"/>
    <col min="1584" max="1584" width="11.75" style="119" customWidth="1"/>
    <col min="1585" max="1585" width="9" style="119"/>
    <col min="1586" max="1586" width="14.625" style="119" customWidth="1"/>
    <col min="1587" max="1792" width="9" style="119"/>
    <col min="1793" max="1793" width="43.75" style="119" customWidth="1"/>
    <col min="1794" max="1794" width="11" style="119" customWidth="1"/>
    <col min="1795" max="1795" width="13.75" style="119" customWidth="1"/>
    <col min="1796" max="1797" width="11" style="119" customWidth="1"/>
    <col min="1798" max="1798" width="13.75" style="119" customWidth="1"/>
    <col min="1799" max="1799" width="15.75" style="119" customWidth="1"/>
    <col min="1800" max="1800" width="11.25" style="119" customWidth="1"/>
    <col min="1801" max="1801" width="15" style="119" customWidth="1"/>
    <col min="1802" max="1802" width="23" style="119" customWidth="1"/>
    <col min="1803" max="1803" width="15" style="119" customWidth="1"/>
    <col min="1804" max="1804" width="11" style="119" customWidth="1"/>
    <col min="1805" max="1805" width="13.75" style="119" customWidth="1"/>
    <col min="1806" max="1807" width="14" style="119" customWidth="1"/>
    <col min="1808" max="1810" width="13.75" style="119" customWidth="1"/>
    <col min="1811" max="1811" width="18.5" style="119" customWidth="1"/>
    <col min="1812" max="1812" width="14.25" style="119" customWidth="1"/>
    <col min="1813" max="1813" width="14.125" style="119" customWidth="1"/>
    <col min="1814" max="1814" width="9" style="119"/>
    <col min="1815" max="1815" width="9.375" style="119" customWidth="1"/>
    <col min="1816" max="1816" width="9" style="119"/>
    <col min="1817" max="1819" width="11.625" style="119" customWidth="1"/>
    <col min="1820" max="1820" width="9" style="119"/>
    <col min="1821" max="1823" width="11.625" style="119" customWidth="1"/>
    <col min="1824" max="1824" width="9" style="119"/>
    <col min="1825" max="1827" width="11.625" style="119" customWidth="1"/>
    <col min="1828" max="1828" width="12.875" style="119" customWidth="1"/>
    <col min="1829" max="1829" width="10.5" style="119" customWidth="1"/>
    <col min="1830" max="1833" width="9" style="119" hidden="1" customWidth="1"/>
    <col min="1834" max="1834" width="9" style="119"/>
    <col min="1835" max="1835" width="11.75" style="119" customWidth="1"/>
    <col min="1836" max="1836" width="9" style="119"/>
    <col min="1837" max="1837" width="11.75" style="119" customWidth="1"/>
    <col min="1838" max="1838" width="13.25" style="119" customWidth="1"/>
    <col min="1839" max="1839" width="9" style="119"/>
    <col min="1840" max="1840" width="11.75" style="119" customWidth="1"/>
    <col min="1841" max="1841" width="9" style="119"/>
    <col min="1842" max="1842" width="14.625" style="119" customWidth="1"/>
    <col min="1843" max="2048" width="9" style="119"/>
    <col min="2049" max="2049" width="43.75" style="119" customWidth="1"/>
    <col min="2050" max="2050" width="11" style="119" customWidth="1"/>
    <col min="2051" max="2051" width="13.75" style="119" customWidth="1"/>
    <col min="2052" max="2053" width="11" style="119" customWidth="1"/>
    <col min="2054" max="2054" width="13.75" style="119" customWidth="1"/>
    <col min="2055" max="2055" width="15.75" style="119" customWidth="1"/>
    <col min="2056" max="2056" width="11.25" style="119" customWidth="1"/>
    <col min="2057" max="2057" width="15" style="119" customWidth="1"/>
    <col min="2058" max="2058" width="23" style="119" customWidth="1"/>
    <col min="2059" max="2059" width="15" style="119" customWidth="1"/>
    <col min="2060" max="2060" width="11" style="119" customWidth="1"/>
    <col min="2061" max="2061" width="13.75" style="119" customWidth="1"/>
    <col min="2062" max="2063" width="14" style="119" customWidth="1"/>
    <col min="2064" max="2066" width="13.75" style="119" customWidth="1"/>
    <col min="2067" max="2067" width="18.5" style="119" customWidth="1"/>
    <col min="2068" max="2068" width="14.25" style="119" customWidth="1"/>
    <col min="2069" max="2069" width="14.125" style="119" customWidth="1"/>
    <col min="2070" max="2070" width="9" style="119"/>
    <col min="2071" max="2071" width="9.375" style="119" customWidth="1"/>
    <col min="2072" max="2072" width="9" style="119"/>
    <col min="2073" max="2075" width="11.625" style="119" customWidth="1"/>
    <col min="2076" max="2076" width="9" style="119"/>
    <col min="2077" max="2079" width="11.625" style="119" customWidth="1"/>
    <col min="2080" max="2080" width="9" style="119"/>
    <col min="2081" max="2083" width="11.625" style="119" customWidth="1"/>
    <col min="2084" max="2084" width="12.875" style="119" customWidth="1"/>
    <col min="2085" max="2085" width="10.5" style="119" customWidth="1"/>
    <col min="2086" max="2089" width="9" style="119" hidden="1" customWidth="1"/>
    <col min="2090" max="2090" width="9" style="119"/>
    <col min="2091" max="2091" width="11.75" style="119" customWidth="1"/>
    <col min="2092" max="2092" width="9" style="119"/>
    <col min="2093" max="2093" width="11.75" style="119" customWidth="1"/>
    <col min="2094" max="2094" width="13.25" style="119" customWidth="1"/>
    <col min="2095" max="2095" width="9" style="119"/>
    <col min="2096" max="2096" width="11.75" style="119" customWidth="1"/>
    <col min="2097" max="2097" width="9" style="119"/>
    <col min="2098" max="2098" width="14.625" style="119" customWidth="1"/>
    <col min="2099" max="2304" width="9" style="119"/>
    <col min="2305" max="2305" width="43.75" style="119" customWidth="1"/>
    <col min="2306" max="2306" width="11" style="119" customWidth="1"/>
    <col min="2307" max="2307" width="13.75" style="119" customWidth="1"/>
    <col min="2308" max="2309" width="11" style="119" customWidth="1"/>
    <col min="2310" max="2310" width="13.75" style="119" customWidth="1"/>
    <col min="2311" max="2311" width="15.75" style="119" customWidth="1"/>
    <col min="2312" max="2312" width="11.25" style="119" customWidth="1"/>
    <col min="2313" max="2313" width="15" style="119" customWidth="1"/>
    <col min="2314" max="2314" width="23" style="119" customWidth="1"/>
    <col min="2315" max="2315" width="15" style="119" customWidth="1"/>
    <col min="2316" max="2316" width="11" style="119" customWidth="1"/>
    <col min="2317" max="2317" width="13.75" style="119" customWidth="1"/>
    <col min="2318" max="2319" width="14" style="119" customWidth="1"/>
    <col min="2320" max="2322" width="13.75" style="119" customWidth="1"/>
    <col min="2323" max="2323" width="18.5" style="119" customWidth="1"/>
    <col min="2324" max="2324" width="14.25" style="119" customWidth="1"/>
    <col min="2325" max="2325" width="14.125" style="119" customWidth="1"/>
    <col min="2326" max="2326" width="9" style="119"/>
    <col min="2327" max="2327" width="9.375" style="119" customWidth="1"/>
    <col min="2328" max="2328" width="9" style="119"/>
    <col min="2329" max="2331" width="11.625" style="119" customWidth="1"/>
    <col min="2332" max="2332" width="9" style="119"/>
    <col min="2333" max="2335" width="11.625" style="119" customWidth="1"/>
    <col min="2336" max="2336" width="9" style="119"/>
    <col min="2337" max="2339" width="11.625" style="119" customWidth="1"/>
    <col min="2340" max="2340" width="12.875" style="119" customWidth="1"/>
    <col min="2341" max="2341" width="10.5" style="119" customWidth="1"/>
    <col min="2342" max="2345" width="9" style="119" hidden="1" customWidth="1"/>
    <col min="2346" max="2346" width="9" style="119"/>
    <col min="2347" max="2347" width="11.75" style="119" customWidth="1"/>
    <col min="2348" max="2348" width="9" style="119"/>
    <col min="2349" max="2349" width="11.75" style="119" customWidth="1"/>
    <col min="2350" max="2350" width="13.25" style="119" customWidth="1"/>
    <col min="2351" max="2351" width="9" style="119"/>
    <col min="2352" max="2352" width="11.75" style="119" customWidth="1"/>
    <col min="2353" max="2353" width="9" style="119"/>
    <col min="2354" max="2354" width="14.625" style="119" customWidth="1"/>
    <col min="2355" max="2560" width="9" style="119"/>
    <col min="2561" max="2561" width="43.75" style="119" customWidth="1"/>
    <col min="2562" max="2562" width="11" style="119" customWidth="1"/>
    <col min="2563" max="2563" width="13.75" style="119" customWidth="1"/>
    <col min="2564" max="2565" width="11" style="119" customWidth="1"/>
    <col min="2566" max="2566" width="13.75" style="119" customWidth="1"/>
    <col min="2567" max="2567" width="15.75" style="119" customWidth="1"/>
    <col min="2568" max="2568" width="11.25" style="119" customWidth="1"/>
    <col min="2569" max="2569" width="15" style="119" customWidth="1"/>
    <col min="2570" max="2570" width="23" style="119" customWidth="1"/>
    <col min="2571" max="2571" width="15" style="119" customWidth="1"/>
    <col min="2572" max="2572" width="11" style="119" customWidth="1"/>
    <col min="2573" max="2573" width="13.75" style="119" customWidth="1"/>
    <col min="2574" max="2575" width="14" style="119" customWidth="1"/>
    <col min="2576" max="2578" width="13.75" style="119" customWidth="1"/>
    <col min="2579" max="2579" width="18.5" style="119" customWidth="1"/>
    <col min="2580" max="2580" width="14.25" style="119" customWidth="1"/>
    <col min="2581" max="2581" width="14.125" style="119" customWidth="1"/>
    <col min="2582" max="2582" width="9" style="119"/>
    <col min="2583" max="2583" width="9.375" style="119" customWidth="1"/>
    <col min="2584" max="2584" width="9" style="119"/>
    <col min="2585" max="2587" width="11.625" style="119" customWidth="1"/>
    <col min="2588" max="2588" width="9" style="119"/>
    <col min="2589" max="2591" width="11.625" style="119" customWidth="1"/>
    <col min="2592" max="2592" width="9" style="119"/>
    <col min="2593" max="2595" width="11.625" style="119" customWidth="1"/>
    <col min="2596" max="2596" width="12.875" style="119" customWidth="1"/>
    <col min="2597" max="2597" width="10.5" style="119" customWidth="1"/>
    <col min="2598" max="2601" width="9" style="119" hidden="1" customWidth="1"/>
    <col min="2602" max="2602" width="9" style="119"/>
    <col min="2603" max="2603" width="11.75" style="119" customWidth="1"/>
    <col min="2604" max="2604" width="9" style="119"/>
    <col min="2605" max="2605" width="11.75" style="119" customWidth="1"/>
    <col min="2606" max="2606" width="13.25" style="119" customWidth="1"/>
    <col min="2607" max="2607" width="9" style="119"/>
    <col min="2608" max="2608" width="11.75" style="119" customWidth="1"/>
    <col min="2609" max="2609" width="9" style="119"/>
    <col min="2610" max="2610" width="14.625" style="119" customWidth="1"/>
    <col min="2611" max="2816" width="9" style="119"/>
    <col min="2817" max="2817" width="43.75" style="119" customWidth="1"/>
    <col min="2818" max="2818" width="11" style="119" customWidth="1"/>
    <col min="2819" max="2819" width="13.75" style="119" customWidth="1"/>
    <col min="2820" max="2821" width="11" style="119" customWidth="1"/>
    <col min="2822" max="2822" width="13.75" style="119" customWidth="1"/>
    <col min="2823" max="2823" width="15.75" style="119" customWidth="1"/>
    <col min="2824" max="2824" width="11.25" style="119" customWidth="1"/>
    <col min="2825" max="2825" width="15" style="119" customWidth="1"/>
    <col min="2826" max="2826" width="23" style="119" customWidth="1"/>
    <col min="2827" max="2827" width="15" style="119" customWidth="1"/>
    <col min="2828" max="2828" width="11" style="119" customWidth="1"/>
    <col min="2829" max="2829" width="13.75" style="119" customWidth="1"/>
    <col min="2830" max="2831" width="14" style="119" customWidth="1"/>
    <col min="2832" max="2834" width="13.75" style="119" customWidth="1"/>
    <col min="2835" max="2835" width="18.5" style="119" customWidth="1"/>
    <col min="2836" max="2836" width="14.25" style="119" customWidth="1"/>
    <col min="2837" max="2837" width="14.125" style="119" customWidth="1"/>
    <col min="2838" max="2838" width="9" style="119"/>
    <col min="2839" max="2839" width="9.375" style="119" customWidth="1"/>
    <col min="2840" max="2840" width="9" style="119"/>
    <col min="2841" max="2843" width="11.625" style="119" customWidth="1"/>
    <col min="2844" max="2844" width="9" style="119"/>
    <col min="2845" max="2847" width="11.625" style="119" customWidth="1"/>
    <col min="2848" max="2848" width="9" style="119"/>
    <col min="2849" max="2851" width="11.625" style="119" customWidth="1"/>
    <col min="2852" max="2852" width="12.875" style="119" customWidth="1"/>
    <col min="2853" max="2853" width="10.5" style="119" customWidth="1"/>
    <col min="2854" max="2857" width="9" style="119" hidden="1" customWidth="1"/>
    <col min="2858" max="2858" width="9" style="119"/>
    <col min="2859" max="2859" width="11.75" style="119" customWidth="1"/>
    <col min="2860" max="2860" width="9" style="119"/>
    <col min="2861" max="2861" width="11.75" style="119" customWidth="1"/>
    <col min="2862" max="2862" width="13.25" style="119" customWidth="1"/>
    <col min="2863" max="2863" width="9" style="119"/>
    <col min="2864" max="2864" width="11.75" style="119" customWidth="1"/>
    <col min="2865" max="2865" width="9" style="119"/>
    <col min="2866" max="2866" width="14.625" style="119" customWidth="1"/>
    <col min="2867" max="3072" width="9" style="119"/>
    <col min="3073" max="3073" width="43.75" style="119" customWidth="1"/>
    <col min="3074" max="3074" width="11" style="119" customWidth="1"/>
    <col min="3075" max="3075" width="13.75" style="119" customWidth="1"/>
    <col min="3076" max="3077" width="11" style="119" customWidth="1"/>
    <col min="3078" max="3078" width="13.75" style="119" customWidth="1"/>
    <col min="3079" max="3079" width="15.75" style="119" customWidth="1"/>
    <col min="3080" max="3080" width="11.25" style="119" customWidth="1"/>
    <col min="3081" max="3081" width="15" style="119" customWidth="1"/>
    <col min="3082" max="3082" width="23" style="119" customWidth="1"/>
    <col min="3083" max="3083" width="15" style="119" customWidth="1"/>
    <col min="3084" max="3084" width="11" style="119" customWidth="1"/>
    <col min="3085" max="3085" width="13.75" style="119" customWidth="1"/>
    <col min="3086" max="3087" width="14" style="119" customWidth="1"/>
    <col min="3088" max="3090" width="13.75" style="119" customWidth="1"/>
    <col min="3091" max="3091" width="18.5" style="119" customWidth="1"/>
    <col min="3092" max="3092" width="14.25" style="119" customWidth="1"/>
    <col min="3093" max="3093" width="14.125" style="119" customWidth="1"/>
    <col min="3094" max="3094" width="9" style="119"/>
    <col min="3095" max="3095" width="9.375" style="119" customWidth="1"/>
    <col min="3096" max="3096" width="9" style="119"/>
    <col min="3097" max="3099" width="11.625" style="119" customWidth="1"/>
    <col min="3100" max="3100" width="9" style="119"/>
    <col min="3101" max="3103" width="11.625" style="119" customWidth="1"/>
    <col min="3104" max="3104" width="9" style="119"/>
    <col min="3105" max="3107" width="11.625" style="119" customWidth="1"/>
    <col min="3108" max="3108" width="12.875" style="119" customWidth="1"/>
    <col min="3109" max="3109" width="10.5" style="119" customWidth="1"/>
    <col min="3110" max="3113" width="9" style="119" hidden="1" customWidth="1"/>
    <col min="3114" max="3114" width="9" style="119"/>
    <col min="3115" max="3115" width="11.75" style="119" customWidth="1"/>
    <col min="3116" max="3116" width="9" style="119"/>
    <col min="3117" max="3117" width="11.75" style="119" customWidth="1"/>
    <col min="3118" max="3118" width="13.25" style="119" customWidth="1"/>
    <col min="3119" max="3119" width="9" style="119"/>
    <col min="3120" max="3120" width="11.75" style="119" customWidth="1"/>
    <col min="3121" max="3121" width="9" style="119"/>
    <col min="3122" max="3122" width="14.625" style="119" customWidth="1"/>
    <col min="3123" max="3328" width="9" style="119"/>
    <col min="3329" max="3329" width="43.75" style="119" customWidth="1"/>
    <col min="3330" max="3330" width="11" style="119" customWidth="1"/>
    <col min="3331" max="3331" width="13.75" style="119" customWidth="1"/>
    <col min="3332" max="3333" width="11" style="119" customWidth="1"/>
    <col min="3334" max="3334" width="13.75" style="119" customWidth="1"/>
    <col min="3335" max="3335" width="15.75" style="119" customWidth="1"/>
    <col min="3336" max="3336" width="11.25" style="119" customWidth="1"/>
    <col min="3337" max="3337" width="15" style="119" customWidth="1"/>
    <col min="3338" max="3338" width="23" style="119" customWidth="1"/>
    <col min="3339" max="3339" width="15" style="119" customWidth="1"/>
    <col min="3340" max="3340" width="11" style="119" customWidth="1"/>
    <col min="3341" max="3341" width="13.75" style="119" customWidth="1"/>
    <col min="3342" max="3343" width="14" style="119" customWidth="1"/>
    <col min="3344" max="3346" width="13.75" style="119" customWidth="1"/>
    <col min="3347" max="3347" width="18.5" style="119" customWidth="1"/>
    <col min="3348" max="3348" width="14.25" style="119" customWidth="1"/>
    <col min="3349" max="3349" width="14.125" style="119" customWidth="1"/>
    <col min="3350" max="3350" width="9" style="119"/>
    <col min="3351" max="3351" width="9.375" style="119" customWidth="1"/>
    <col min="3352" max="3352" width="9" style="119"/>
    <col min="3353" max="3355" width="11.625" style="119" customWidth="1"/>
    <col min="3356" max="3356" width="9" style="119"/>
    <col min="3357" max="3359" width="11.625" style="119" customWidth="1"/>
    <col min="3360" max="3360" width="9" style="119"/>
    <col min="3361" max="3363" width="11.625" style="119" customWidth="1"/>
    <col min="3364" max="3364" width="12.875" style="119" customWidth="1"/>
    <col min="3365" max="3365" width="10.5" style="119" customWidth="1"/>
    <col min="3366" max="3369" width="9" style="119" hidden="1" customWidth="1"/>
    <col min="3370" max="3370" width="9" style="119"/>
    <col min="3371" max="3371" width="11.75" style="119" customWidth="1"/>
    <col min="3372" max="3372" width="9" style="119"/>
    <col min="3373" max="3373" width="11.75" style="119" customWidth="1"/>
    <col min="3374" max="3374" width="13.25" style="119" customWidth="1"/>
    <col min="3375" max="3375" width="9" style="119"/>
    <col min="3376" max="3376" width="11.75" style="119" customWidth="1"/>
    <col min="3377" max="3377" width="9" style="119"/>
    <col min="3378" max="3378" width="14.625" style="119" customWidth="1"/>
    <col min="3379" max="3584" width="9" style="119"/>
    <col min="3585" max="3585" width="43.75" style="119" customWidth="1"/>
    <col min="3586" max="3586" width="11" style="119" customWidth="1"/>
    <col min="3587" max="3587" width="13.75" style="119" customWidth="1"/>
    <col min="3588" max="3589" width="11" style="119" customWidth="1"/>
    <col min="3590" max="3590" width="13.75" style="119" customWidth="1"/>
    <col min="3591" max="3591" width="15.75" style="119" customWidth="1"/>
    <col min="3592" max="3592" width="11.25" style="119" customWidth="1"/>
    <col min="3593" max="3593" width="15" style="119" customWidth="1"/>
    <col min="3594" max="3594" width="23" style="119" customWidth="1"/>
    <col min="3595" max="3595" width="15" style="119" customWidth="1"/>
    <col min="3596" max="3596" width="11" style="119" customWidth="1"/>
    <col min="3597" max="3597" width="13.75" style="119" customWidth="1"/>
    <col min="3598" max="3599" width="14" style="119" customWidth="1"/>
    <col min="3600" max="3602" width="13.75" style="119" customWidth="1"/>
    <col min="3603" max="3603" width="18.5" style="119" customWidth="1"/>
    <col min="3604" max="3604" width="14.25" style="119" customWidth="1"/>
    <col min="3605" max="3605" width="14.125" style="119" customWidth="1"/>
    <col min="3606" max="3606" width="9" style="119"/>
    <col min="3607" max="3607" width="9.375" style="119" customWidth="1"/>
    <col min="3608" max="3608" width="9" style="119"/>
    <col min="3609" max="3611" width="11.625" style="119" customWidth="1"/>
    <col min="3612" max="3612" width="9" style="119"/>
    <col min="3613" max="3615" width="11.625" style="119" customWidth="1"/>
    <col min="3616" max="3616" width="9" style="119"/>
    <col min="3617" max="3619" width="11.625" style="119" customWidth="1"/>
    <col min="3620" max="3620" width="12.875" style="119" customWidth="1"/>
    <col min="3621" max="3621" width="10.5" style="119" customWidth="1"/>
    <col min="3622" max="3625" width="9" style="119" hidden="1" customWidth="1"/>
    <col min="3626" max="3626" width="9" style="119"/>
    <col min="3627" max="3627" width="11.75" style="119" customWidth="1"/>
    <col min="3628" max="3628" width="9" style="119"/>
    <col min="3629" max="3629" width="11.75" style="119" customWidth="1"/>
    <col min="3630" max="3630" width="13.25" style="119" customWidth="1"/>
    <col min="3631" max="3631" width="9" style="119"/>
    <col min="3632" max="3632" width="11.75" style="119" customWidth="1"/>
    <col min="3633" max="3633" width="9" style="119"/>
    <col min="3634" max="3634" width="14.625" style="119" customWidth="1"/>
    <col min="3635" max="3840" width="9" style="119"/>
    <col min="3841" max="3841" width="43.75" style="119" customWidth="1"/>
    <col min="3842" max="3842" width="11" style="119" customWidth="1"/>
    <col min="3843" max="3843" width="13.75" style="119" customWidth="1"/>
    <col min="3844" max="3845" width="11" style="119" customWidth="1"/>
    <col min="3846" max="3846" width="13.75" style="119" customWidth="1"/>
    <col min="3847" max="3847" width="15.75" style="119" customWidth="1"/>
    <col min="3848" max="3848" width="11.25" style="119" customWidth="1"/>
    <col min="3849" max="3849" width="15" style="119" customWidth="1"/>
    <col min="3850" max="3850" width="23" style="119" customWidth="1"/>
    <col min="3851" max="3851" width="15" style="119" customWidth="1"/>
    <col min="3852" max="3852" width="11" style="119" customWidth="1"/>
    <col min="3853" max="3853" width="13.75" style="119" customWidth="1"/>
    <col min="3854" max="3855" width="14" style="119" customWidth="1"/>
    <col min="3856" max="3858" width="13.75" style="119" customWidth="1"/>
    <col min="3859" max="3859" width="18.5" style="119" customWidth="1"/>
    <col min="3860" max="3860" width="14.25" style="119" customWidth="1"/>
    <col min="3861" max="3861" width="14.125" style="119" customWidth="1"/>
    <col min="3862" max="3862" width="9" style="119"/>
    <col min="3863" max="3863" width="9.375" style="119" customWidth="1"/>
    <col min="3864" max="3864" width="9" style="119"/>
    <col min="3865" max="3867" width="11.625" style="119" customWidth="1"/>
    <col min="3868" max="3868" width="9" style="119"/>
    <col min="3869" max="3871" width="11.625" style="119" customWidth="1"/>
    <col min="3872" max="3872" width="9" style="119"/>
    <col min="3873" max="3875" width="11.625" style="119" customWidth="1"/>
    <col min="3876" max="3876" width="12.875" style="119" customWidth="1"/>
    <col min="3877" max="3877" width="10.5" style="119" customWidth="1"/>
    <col min="3878" max="3881" width="9" style="119" hidden="1" customWidth="1"/>
    <col min="3882" max="3882" width="9" style="119"/>
    <col min="3883" max="3883" width="11.75" style="119" customWidth="1"/>
    <col min="3884" max="3884" width="9" style="119"/>
    <col min="3885" max="3885" width="11.75" style="119" customWidth="1"/>
    <col min="3886" max="3886" width="13.25" style="119" customWidth="1"/>
    <col min="3887" max="3887" width="9" style="119"/>
    <col min="3888" max="3888" width="11.75" style="119" customWidth="1"/>
    <col min="3889" max="3889" width="9" style="119"/>
    <col min="3890" max="3890" width="14.625" style="119" customWidth="1"/>
    <col min="3891" max="4096" width="9" style="119"/>
    <col min="4097" max="4097" width="43.75" style="119" customWidth="1"/>
    <col min="4098" max="4098" width="11" style="119" customWidth="1"/>
    <col min="4099" max="4099" width="13.75" style="119" customWidth="1"/>
    <col min="4100" max="4101" width="11" style="119" customWidth="1"/>
    <col min="4102" max="4102" width="13.75" style="119" customWidth="1"/>
    <col min="4103" max="4103" width="15.75" style="119" customWidth="1"/>
    <col min="4104" max="4104" width="11.25" style="119" customWidth="1"/>
    <col min="4105" max="4105" width="15" style="119" customWidth="1"/>
    <col min="4106" max="4106" width="23" style="119" customWidth="1"/>
    <col min="4107" max="4107" width="15" style="119" customWidth="1"/>
    <col min="4108" max="4108" width="11" style="119" customWidth="1"/>
    <col min="4109" max="4109" width="13.75" style="119" customWidth="1"/>
    <col min="4110" max="4111" width="14" style="119" customWidth="1"/>
    <col min="4112" max="4114" width="13.75" style="119" customWidth="1"/>
    <col min="4115" max="4115" width="18.5" style="119" customWidth="1"/>
    <col min="4116" max="4116" width="14.25" style="119" customWidth="1"/>
    <col min="4117" max="4117" width="14.125" style="119" customWidth="1"/>
    <col min="4118" max="4118" width="9" style="119"/>
    <col min="4119" max="4119" width="9.375" style="119" customWidth="1"/>
    <col min="4120" max="4120" width="9" style="119"/>
    <col min="4121" max="4123" width="11.625" style="119" customWidth="1"/>
    <col min="4124" max="4124" width="9" style="119"/>
    <col min="4125" max="4127" width="11.625" style="119" customWidth="1"/>
    <col min="4128" max="4128" width="9" style="119"/>
    <col min="4129" max="4131" width="11.625" style="119" customWidth="1"/>
    <col min="4132" max="4132" width="12.875" style="119" customWidth="1"/>
    <col min="4133" max="4133" width="10.5" style="119" customWidth="1"/>
    <col min="4134" max="4137" width="9" style="119" hidden="1" customWidth="1"/>
    <col min="4138" max="4138" width="9" style="119"/>
    <col min="4139" max="4139" width="11.75" style="119" customWidth="1"/>
    <col min="4140" max="4140" width="9" style="119"/>
    <col min="4141" max="4141" width="11.75" style="119" customWidth="1"/>
    <col min="4142" max="4142" width="13.25" style="119" customWidth="1"/>
    <col min="4143" max="4143" width="9" style="119"/>
    <col min="4144" max="4144" width="11.75" style="119" customWidth="1"/>
    <col min="4145" max="4145" width="9" style="119"/>
    <col min="4146" max="4146" width="14.625" style="119" customWidth="1"/>
    <col min="4147" max="4352" width="9" style="119"/>
    <col min="4353" max="4353" width="43.75" style="119" customWidth="1"/>
    <col min="4354" max="4354" width="11" style="119" customWidth="1"/>
    <col min="4355" max="4355" width="13.75" style="119" customWidth="1"/>
    <col min="4356" max="4357" width="11" style="119" customWidth="1"/>
    <col min="4358" max="4358" width="13.75" style="119" customWidth="1"/>
    <col min="4359" max="4359" width="15.75" style="119" customWidth="1"/>
    <col min="4360" max="4360" width="11.25" style="119" customWidth="1"/>
    <col min="4361" max="4361" width="15" style="119" customWidth="1"/>
    <col min="4362" max="4362" width="23" style="119" customWidth="1"/>
    <col min="4363" max="4363" width="15" style="119" customWidth="1"/>
    <col min="4364" max="4364" width="11" style="119" customWidth="1"/>
    <col min="4365" max="4365" width="13.75" style="119" customWidth="1"/>
    <col min="4366" max="4367" width="14" style="119" customWidth="1"/>
    <col min="4368" max="4370" width="13.75" style="119" customWidth="1"/>
    <col min="4371" max="4371" width="18.5" style="119" customWidth="1"/>
    <col min="4372" max="4372" width="14.25" style="119" customWidth="1"/>
    <col min="4373" max="4373" width="14.125" style="119" customWidth="1"/>
    <col min="4374" max="4374" width="9" style="119"/>
    <col min="4375" max="4375" width="9.375" style="119" customWidth="1"/>
    <col min="4376" max="4376" width="9" style="119"/>
    <col min="4377" max="4379" width="11.625" style="119" customWidth="1"/>
    <col min="4380" max="4380" width="9" style="119"/>
    <col min="4381" max="4383" width="11.625" style="119" customWidth="1"/>
    <col min="4384" max="4384" width="9" style="119"/>
    <col min="4385" max="4387" width="11.625" style="119" customWidth="1"/>
    <col min="4388" max="4388" width="12.875" style="119" customWidth="1"/>
    <col min="4389" max="4389" width="10.5" style="119" customWidth="1"/>
    <col min="4390" max="4393" width="9" style="119" hidden="1" customWidth="1"/>
    <col min="4394" max="4394" width="9" style="119"/>
    <col min="4395" max="4395" width="11.75" style="119" customWidth="1"/>
    <col min="4396" max="4396" width="9" style="119"/>
    <col min="4397" max="4397" width="11.75" style="119" customWidth="1"/>
    <col min="4398" max="4398" width="13.25" style="119" customWidth="1"/>
    <col min="4399" max="4399" width="9" style="119"/>
    <col min="4400" max="4400" width="11.75" style="119" customWidth="1"/>
    <col min="4401" max="4401" width="9" style="119"/>
    <col min="4402" max="4402" width="14.625" style="119" customWidth="1"/>
    <col min="4403" max="4608" width="9" style="119"/>
    <col min="4609" max="4609" width="43.75" style="119" customWidth="1"/>
    <col min="4610" max="4610" width="11" style="119" customWidth="1"/>
    <col min="4611" max="4611" width="13.75" style="119" customWidth="1"/>
    <col min="4612" max="4613" width="11" style="119" customWidth="1"/>
    <col min="4614" max="4614" width="13.75" style="119" customWidth="1"/>
    <col min="4615" max="4615" width="15.75" style="119" customWidth="1"/>
    <col min="4616" max="4616" width="11.25" style="119" customWidth="1"/>
    <col min="4617" max="4617" width="15" style="119" customWidth="1"/>
    <col min="4618" max="4618" width="23" style="119" customWidth="1"/>
    <col min="4619" max="4619" width="15" style="119" customWidth="1"/>
    <col min="4620" max="4620" width="11" style="119" customWidth="1"/>
    <col min="4621" max="4621" width="13.75" style="119" customWidth="1"/>
    <col min="4622" max="4623" width="14" style="119" customWidth="1"/>
    <col min="4624" max="4626" width="13.75" style="119" customWidth="1"/>
    <col min="4627" max="4627" width="18.5" style="119" customWidth="1"/>
    <col min="4628" max="4628" width="14.25" style="119" customWidth="1"/>
    <col min="4629" max="4629" width="14.125" style="119" customWidth="1"/>
    <col min="4630" max="4630" width="9" style="119"/>
    <col min="4631" max="4631" width="9.375" style="119" customWidth="1"/>
    <col min="4632" max="4632" width="9" style="119"/>
    <col min="4633" max="4635" width="11.625" style="119" customWidth="1"/>
    <col min="4636" max="4636" width="9" style="119"/>
    <col min="4637" max="4639" width="11.625" style="119" customWidth="1"/>
    <col min="4640" max="4640" width="9" style="119"/>
    <col min="4641" max="4643" width="11.625" style="119" customWidth="1"/>
    <col min="4644" max="4644" width="12.875" style="119" customWidth="1"/>
    <col min="4645" max="4645" width="10.5" style="119" customWidth="1"/>
    <col min="4646" max="4649" width="9" style="119" hidden="1" customWidth="1"/>
    <col min="4650" max="4650" width="9" style="119"/>
    <col min="4651" max="4651" width="11.75" style="119" customWidth="1"/>
    <col min="4652" max="4652" width="9" style="119"/>
    <col min="4653" max="4653" width="11.75" style="119" customWidth="1"/>
    <col min="4654" max="4654" width="13.25" style="119" customWidth="1"/>
    <col min="4655" max="4655" width="9" style="119"/>
    <col min="4656" max="4656" width="11.75" style="119" customWidth="1"/>
    <col min="4657" max="4657" width="9" style="119"/>
    <col min="4658" max="4658" width="14.625" style="119" customWidth="1"/>
    <col min="4659" max="4864" width="9" style="119"/>
    <col min="4865" max="4865" width="43.75" style="119" customWidth="1"/>
    <col min="4866" max="4866" width="11" style="119" customWidth="1"/>
    <col min="4867" max="4867" width="13.75" style="119" customWidth="1"/>
    <col min="4868" max="4869" width="11" style="119" customWidth="1"/>
    <col min="4870" max="4870" width="13.75" style="119" customWidth="1"/>
    <col min="4871" max="4871" width="15.75" style="119" customWidth="1"/>
    <col min="4872" max="4872" width="11.25" style="119" customWidth="1"/>
    <col min="4873" max="4873" width="15" style="119" customWidth="1"/>
    <col min="4874" max="4874" width="23" style="119" customWidth="1"/>
    <col min="4875" max="4875" width="15" style="119" customWidth="1"/>
    <col min="4876" max="4876" width="11" style="119" customWidth="1"/>
    <col min="4877" max="4877" width="13.75" style="119" customWidth="1"/>
    <col min="4878" max="4879" width="14" style="119" customWidth="1"/>
    <col min="4880" max="4882" width="13.75" style="119" customWidth="1"/>
    <col min="4883" max="4883" width="18.5" style="119" customWidth="1"/>
    <col min="4884" max="4884" width="14.25" style="119" customWidth="1"/>
    <col min="4885" max="4885" width="14.125" style="119" customWidth="1"/>
    <col min="4886" max="4886" width="9" style="119"/>
    <col min="4887" max="4887" width="9.375" style="119" customWidth="1"/>
    <col min="4888" max="4888" width="9" style="119"/>
    <col min="4889" max="4891" width="11.625" style="119" customWidth="1"/>
    <col min="4892" max="4892" width="9" style="119"/>
    <col min="4893" max="4895" width="11.625" style="119" customWidth="1"/>
    <col min="4896" max="4896" width="9" style="119"/>
    <col min="4897" max="4899" width="11.625" style="119" customWidth="1"/>
    <col min="4900" max="4900" width="12.875" style="119" customWidth="1"/>
    <col min="4901" max="4901" width="10.5" style="119" customWidth="1"/>
    <col min="4902" max="4905" width="9" style="119" hidden="1" customWidth="1"/>
    <col min="4906" max="4906" width="9" style="119"/>
    <col min="4907" max="4907" width="11.75" style="119" customWidth="1"/>
    <col min="4908" max="4908" width="9" style="119"/>
    <col min="4909" max="4909" width="11.75" style="119" customWidth="1"/>
    <col min="4910" max="4910" width="13.25" style="119" customWidth="1"/>
    <col min="4911" max="4911" width="9" style="119"/>
    <col min="4912" max="4912" width="11.75" style="119" customWidth="1"/>
    <col min="4913" max="4913" width="9" style="119"/>
    <col min="4914" max="4914" width="14.625" style="119" customWidth="1"/>
    <col min="4915" max="5120" width="9" style="119"/>
    <col min="5121" max="5121" width="43.75" style="119" customWidth="1"/>
    <col min="5122" max="5122" width="11" style="119" customWidth="1"/>
    <col min="5123" max="5123" width="13.75" style="119" customWidth="1"/>
    <col min="5124" max="5125" width="11" style="119" customWidth="1"/>
    <col min="5126" max="5126" width="13.75" style="119" customWidth="1"/>
    <col min="5127" max="5127" width="15.75" style="119" customWidth="1"/>
    <col min="5128" max="5128" width="11.25" style="119" customWidth="1"/>
    <col min="5129" max="5129" width="15" style="119" customWidth="1"/>
    <col min="5130" max="5130" width="23" style="119" customWidth="1"/>
    <col min="5131" max="5131" width="15" style="119" customWidth="1"/>
    <col min="5132" max="5132" width="11" style="119" customWidth="1"/>
    <col min="5133" max="5133" width="13.75" style="119" customWidth="1"/>
    <col min="5134" max="5135" width="14" style="119" customWidth="1"/>
    <col min="5136" max="5138" width="13.75" style="119" customWidth="1"/>
    <col min="5139" max="5139" width="18.5" style="119" customWidth="1"/>
    <col min="5140" max="5140" width="14.25" style="119" customWidth="1"/>
    <col min="5141" max="5141" width="14.125" style="119" customWidth="1"/>
    <col min="5142" max="5142" width="9" style="119"/>
    <col min="5143" max="5143" width="9.375" style="119" customWidth="1"/>
    <col min="5144" max="5144" width="9" style="119"/>
    <col min="5145" max="5147" width="11.625" style="119" customWidth="1"/>
    <col min="5148" max="5148" width="9" style="119"/>
    <col min="5149" max="5151" width="11.625" style="119" customWidth="1"/>
    <col min="5152" max="5152" width="9" style="119"/>
    <col min="5153" max="5155" width="11.625" style="119" customWidth="1"/>
    <col min="5156" max="5156" width="12.875" style="119" customWidth="1"/>
    <col min="5157" max="5157" width="10.5" style="119" customWidth="1"/>
    <col min="5158" max="5161" width="9" style="119" hidden="1" customWidth="1"/>
    <col min="5162" max="5162" width="9" style="119"/>
    <col min="5163" max="5163" width="11.75" style="119" customWidth="1"/>
    <col min="5164" max="5164" width="9" style="119"/>
    <col min="5165" max="5165" width="11.75" style="119" customWidth="1"/>
    <col min="5166" max="5166" width="13.25" style="119" customWidth="1"/>
    <col min="5167" max="5167" width="9" style="119"/>
    <col min="5168" max="5168" width="11.75" style="119" customWidth="1"/>
    <col min="5169" max="5169" width="9" style="119"/>
    <col min="5170" max="5170" width="14.625" style="119" customWidth="1"/>
    <col min="5171" max="5376" width="9" style="119"/>
    <col min="5377" max="5377" width="43.75" style="119" customWidth="1"/>
    <col min="5378" max="5378" width="11" style="119" customWidth="1"/>
    <col min="5379" max="5379" width="13.75" style="119" customWidth="1"/>
    <col min="5380" max="5381" width="11" style="119" customWidth="1"/>
    <col min="5382" max="5382" width="13.75" style="119" customWidth="1"/>
    <col min="5383" max="5383" width="15.75" style="119" customWidth="1"/>
    <col min="5384" max="5384" width="11.25" style="119" customWidth="1"/>
    <col min="5385" max="5385" width="15" style="119" customWidth="1"/>
    <col min="5386" max="5386" width="23" style="119" customWidth="1"/>
    <col min="5387" max="5387" width="15" style="119" customWidth="1"/>
    <col min="5388" max="5388" width="11" style="119" customWidth="1"/>
    <col min="5389" max="5389" width="13.75" style="119" customWidth="1"/>
    <col min="5390" max="5391" width="14" style="119" customWidth="1"/>
    <col min="5392" max="5394" width="13.75" style="119" customWidth="1"/>
    <col min="5395" max="5395" width="18.5" style="119" customWidth="1"/>
    <col min="5396" max="5396" width="14.25" style="119" customWidth="1"/>
    <col min="5397" max="5397" width="14.125" style="119" customWidth="1"/>
    <col min="5398" max="5398" width="9" style="119"/>
    <col min="5399" max="5399" width="9.375" style="119" customWidth="1"/>
    <col min="5400" max="5400" width="9" style="119"/>
    <col min="5401" max="5403" width="11.625" style="119" customWidth="1"/>
    <col min="5404" max="5404" width="9" style="119"/>
    <col min="5405" max="5407" width="11.625" style="119" customWidth="1"/>
    <col min="5408" max="5408" width="9" style="119"/>
    <col min="5409" max="5411" width="11.625" style="119" customWidth="1"/>
    <col min="5412" max="5412" width="12.875" style="119" customWidth="1"/>
    <col min="5413" max="5413" width="10.5" style="119" customWidth="1"/>
    <col min="5414" max="5417" width="9" style="119" hidden="1" customWidth="1"/>
    <col min="5418" max="5418" width="9" style="119"/>
    <col min="5419" max="5419" width="11.75" style="119" customWidth="1"/>
    <col min="5420" max="5420" width="9" style="119"/>
    <col min="5421" max="5421" width="11.75" style="119" customWidth="1"/>
    <col min="5422" max="5422" width="13.25" style="119" customWidth="1"/>
    <col min="5423" max="5423" width="9" style="119"/>
    <col min="5424" max="5424" width="11.75" style="119" customWidth="1"/>
    <col min="5425" max="5425" width="9" style="119"/>
    <col min="5426" max="5426" width="14.625" style="119" customWidth="1"/>
    <col min="5427" max="5632" width="9" style="119"/>
    <col min="5633" max="5633" width="43.75" style="119" customWidth="1"/>
    <col min="5634" max="5634" width="11" style="119" customWidth="1"/>
    <col min="5635" max="5635" width="13.75" style="119" customWidth="1"/>
    <col min="5636" max="5637" width="11" style="119" customWidth="1"/>
    <col min="5638" max="5638" width="13.75" style="119" customWidth="1"/>
    <col min="5639" max="5639" width="15.75" style="119" customWidth="1"/>
    <col min="5640" max="5640" width="11.25" style="119" customWidth="1"/>
    <col min="5641" max="5641" width="15" style="119" customWidth="1"/>
    <col min="5642" max="5642" width="23" style="119" customWidth="1"/>
    <col min="5643" max="5643" width="15" style="119" customWidth="1"/>
    <col min="5644" max="5644" width="11" style="119" customWidth="1"/>
    <col min="5645" max="5645" width="13.75" style="119" customWidth="1"/>
    <col min="5646" max="5647" width="14" style="119" customWidth="1"/>
    <col min="5648" max="5650" width="13.75" style="119" customWidth="1"/>
    <col min="5651" max="5651" width="18.5" style="119" customWidth="1"/>
    <col min="5652" max="5652" width="14.25" style="119" customWidth="1"/>
    <col min="5653" max="5653" width="14.125" style="119" customWidth="1"/>
    <col min="5654" max="5654" width="9" style="119"/>
    <col min="5655" max="5655" width="9.375" style="119" customWidth="1"/>
    <col min="5656" max="5656" width="9" style="119"/>
    <col min="5657" max="5659" width="11.625" style="119" customWidth="1"/>
    <col min="5660" max="5660" width="9" style="119"/>
    <col min="5661" max="5663" width="11.625" style="119" customWidth="1"/>
    <col min="5664" max="5664" width="9" style="119"/>
    <col min="5665" max="5667" width="11.625" style="119" customWidth="1"/>
    <col min="5668" max="5668" width="12.875" style="119" customWidth="1"/>
    <col min="5669" max="5669" width="10.5" style="119" customWidth="1"/>
    <col min="5670" max="5673" width="9" style="119" hidden="1" customWidth="1"/>
    <col min="5674" max="5674" width="9" style="119"/>
    <col min="5675" max="5675" width="11.75" style="119" customWidth="1"/>
    <col min="5676" max="5676" width="9" style="119"/>
    <col min="5677" max="5677" width="11.75" style="119" customWidth="1"/>
    <col min="5678" max="5678" width="13.25" style="119" customWidth="1"/>
    <col min="5679" max="5679" width="9" style="119"/>
    <col min="5680" max="5680" width="11.75" style="119" customWidth="1"/>
    <col min="5681" max="5681" width="9" style="119"/>
    <col min="5682" max="5682" width="14.625" style="119" customWidth="1"/>
    <col min="5683" max="5888" width="9" style="119"/>
    <col min="5889" max="5889" width="43.75" style="119" customWidth="1"/>
    <col min="5890" max="5890" width="11" style="119" customWidth="1"/>
    <col min="5891" max="5891" width="13.75" style="119" customWidth="1"/>
    <col min="5892" max="5893" width="11" style="119" customWidth="1"/>
    <col min="5894" max="5894" width="13.75" style="119" customWidth="1"/>
    <col min="5895" max="5895" width="15.75" style="119" customWidth="1"/>
    <col min="5896" max="5896" width="11.25" style="119" customWidth="1"/>
    <col min="5897" max="5897" width="15" style="119" customWidth="1"/>
    <col min="5898" max="5898" width="23" style="119" customWidth="1"/>
    <col min="5899" max="5899" width="15" style="119" customWidth="1"/>
    <col min="5900" max="5900" width="11" style="119" customWidth="1"/>
    <col min="5901" max="5901" width="13.75" style="119" customWidth="1"/>
    <col min="5902" max="5903" width="14" style="119" customWidth="1"/>
    <col min="5904" max="5906" width="13.75" style="119" customWidth="1"/>
    <col min="5907" max="5907" width="18.5" style="119" customWidth="1"/>
    <col min="5908" max="5908" width="14.25" style="119" customWidth="1"/>
    <col min="5909" max="5909" width="14.125" style="119" customWidth="1"/>
    <col min="5910" max="5910" width="9" style="119"/>
    <col min="5911" max="5911" width="9.375" style="119" customWidth="1"/>
    <col min="5912" max="5912" width="9" style="119"/>
    <col min="5913" max="5915" width="11.625" style="119" customWidth="1"/>
    <col min="5916" max="5916" width="9" style="119"/>
    <col min="5917" max="5919" width="11.625" style="119" customWidth="1"/>
    <col min="5920" max="5920" width="9" style="119"/>
    <col min="5921" max="5923" width="11.625" style="119" customWidth="1"/>
    <col min="5924" max="5924" width="12.875" style="119" customWidth="1"/>
    <col min="5925" max="5925" width="10.5" style="119" customWidth="1"/>
    <col min="5926" max="5929" width="9" style="119" hidden="1" customWidth="1"/>
    <col min="5930" max="5930" width="9" style="119"/>
    <col min="5931" max="5931" width="11.75" style="119" customWidth="1"/>
    <col min="5932" max="5932" width="9" style="119"/>
    <col min="5933" max="5933" width="11.75" style="119" customWidth="1"/>
    <col min="5934" max="5934" width="13.25" style="119" customWidth="1"/>
    <col min="5935" max="5935" width="9" style="119"/>
    <col min="5936" max="5936" width="11.75" style="119" customWidth="1"/>
    <col min="5937" max="5937" width="9" style="119"/>
    <col min="5938" max="5938" width="14.625" style="119" customWidth="1"/>
    <col min="5939" max="6144" width="9" style="119"/>
    <col min="6145" max="6145" width="43.75" style="119" customWidth="1"/>
    <col min="6146" max="6146" width="11" style="119" customWidth="1"/>
    <col min="6147" max="6147" width="13.75" style="119" customWidth="1"/>
    <col min="6148" max="6149" width="11" style="119" customWidth="1"/>
    <col min="6150" max="6150" width="13.75" style="119" customWidth="1"/>
    <col min="6151" max="6151" width="15.75" style="119" customWidth="1"/>
    <col min="6152" max="6152" width="11.25" style="119" customWidth="1"/>
    <col min="6153" max="6153" width="15" style="119" customWidth="1"/>
    <col min="6154" max="6154" width="23" style="119" customWidth="1"/>
    <col min="6155" max="6155" width="15" style="119" customWidth="1"/>
    <col min="6156" max="6156" width="11" style="119" customWidth="1"/>
    <col min="6157" max="6157" width="13.75" style="119" customWidth="1"/>
    <col min="6158" max="6159" width="14" style="119" customWidth="1"/>
    <col min="6160" max="6162" width="13.75" style="119" customWidth="1"/>
    <col min="6163" max="6163" width="18.5" style="119" customWidth="1"/>
    <col min="6164" max="6164" width="14.25" style="119" customWidth="1"/>
    <col min="6165" max="6165" width="14.125" style="119" customWidth="1"/>
    <col min="6166" max="6166" width="9" style="119"/>
    <col min="6167" max="6167" width="9.375" style="119" customWidth="1"/>
    <col min="6168" max="6168" width="9" style="119"/>
    <col min="6169" max="6171" width="11.625" style="119" customWidth="1"/>
    <col min="6172" max="6172" width="9" style="119"/>
    <col min="6173" max="6175" width="11.625" style="119" customWidth="1"/>
    <col min="6176" max="6176" width="9" style="119"/>
    <col min="6177" max="6179" width="11.625" style="119" customWidth="1"/>
    <col min="6180" max="6180" width="12.875" style="119" customWidth="1"/>
    <col min="6181" max="6181" width="10.5" style="119" customWidth="1"/>
    <col min="6182" max="6185" width="9" style="119" hidden="1" customWidth="1"/>
    <col min="6186" max="6186" width="9" style="119"/>
    <col min="6187" max="6187" width="11.75" style="119" customWidth="1"/>
    <col min="6188" max="6188" width="9" style="119"/>
    <col min="6189" max="6189" width="11.75" style="119" customWidth="1"/>
    <col min="6190" max="6190" width="13.25" style="119" customWidth="1"/>
    <col min="6191" max="6191" width="9" style="119"/>
    <col min="6192" max="6192" width="11.75" style="119" customWidth="1"/>
    <col min="6193" max="6193" width="9" style="119"/>
    <col min="6194" max="6194" width="14.625" style="119" customWidth="1"/>
    <col min="6195" max="6400" width="9" style="119"/>
    <col min="6401" max="6401" width="43.75" style="119" customWidth="1"/>
    <col min="6402" max="6402" width="11" style="119" customWidth="1"/>
    <col min="6403" max="6403" width="13.75" style="119" customWidth="1"/>
    <col min="6404" max="6405" width="11" style="119" customWidth="1"/>
    <col min="6406" max="6406" width="13.75" style="119" customWidth="1"/>
    <col min="6407" max="6407" width="15.75" style="119" customWidth="1"/>
    <col min="6408" max="6408" width="11.25" style="119" customWidth="1"/>
    <col min="6409" max="6409" width="15" style="119" customWidth="1"/>
    <col min="6410" max="6410" width="23" style="119" customWidth="1"/>
    <col min="6411" max="6411" width="15" style="119" customWidth="1"/>
    <col min="6412" max="6412" width="11" style="119" customWidth="1"/>
    <col min="6413" max="6413" width="13.75" style="119" customWidth="1"/>
    <col min="6414" max="6415" width="14" style="119" customWidth="1"/>
    <col min="6416" max="6418" width="13.75" style="119" customWidth="1"/>
    <col min="6419" max="6419" width="18.5" style="119" customWidth="1"/>
    <col min="6420" max="6420" width="14.25" style="119" customWidth="1"/>
    <col min="6421" max="6421" width="14.125" style="119" customWidth="1"/>
    <col min="6422" max="6422" width="9" style="119"/>
    <col min="6423" max="6423" width="9.375" style="119" customWidth="1"/>
    <col min="6424" max="6424" width="9" style="119"/>
    <col min="6425" max="6427" width="11.625" style="119" customWidth="1"/>
    <col min="6428" max="6428" width="9" style="119"/>
    <col min="6429" max="6431" width="11.625" style="119" customWidth="1"/>
    <col min="6432" max="6432" width="9" style="119"/>
    <col min="6433" max="6435" width="11.625" style="119" customWidth="1"/>
    <col min="6436" max="6436" width="12.875" style="119" customWidth="1"/>
    <col min="6437" max="6437" width="10.5" style="119" customWidth="1"/>
    <col min="6438" max="6441" width="9" style="119" hidden="1" customWidth="1"/>
    <col min="6442" max="6442" width="9" style="119"/>
    <col min="6443" max="6443" width="11.75" style="119" customWidth="1"/>
    <col min="6444" max="6444" width="9" style="119"/>
    <col min="6445" max="6445" width="11.75" style="119" customWidth="1"/>
    <col min="6446" max="6446" width="13.25" style="119" customWidth="1"/>
    <col min="6447" max="6447" width="9" style="119"/>
    <col min="6448" max="6448" width="11.75" style="119" customWidth="1"/>
    <col min="6449" max="6449" width="9" style="119"/>
    <col min="6450" max="6450" width="14.625" style="119" customWidth="1"/>
    <col min="6451" max="6656" width="9" style="119"/>
    <col min="6657" max="6657" width="43.75" style="119" customWidth="1"/>
    <col min="6658" max="6658" width="11" style="119" customWidth="1"/>
    <col min="6659" max="6659" width="13.75" style="119" customWidth="1"/>
    <col min="6660" max="6661" width="11" style="119" customWidth="1"/>
    <col min="6662" max="6662" width="13.75" style="119" customWidth="1"/>
    <col min="6663" max="6663" width="15.75" style="119" customWidth="1"/>
    <col min="6664" max="6664" width="11.25" style="119" customWidth="1"/>
    <col min="6665" max="6665" width="15" style="119" customWidth="1"/>
    <col min="6666" max="6666" width="23" style="119" customWidth="1"/>
    <col min="6667" max="6667" width="15" style="119" customWidth="1"/>
    <col min="6668" max="6668" width="11" style="119" customWidth="1"/>
    <col min="6669" max="6669" width="13.75" style="119" customWidth="1"/>
    <col min="6670" max="6671" width="14" style="119" customWidth="1"/>
    <col min="6672" max="6674" width="13.75" style="119" customWidth="1"/>
    <col min="6675" max="6675" width="18.5" style="119" customWidth="1"/>
    <col min="6676" max="6676" width="14.25" style="119" customWidth="1"/>
    <col min="6677" max="6677" width="14.125" style="119" customWidth="1"/>
    <col min="6678" max="6678" width="9" style="119"/>
    <col min="6679" max="6679" width="9.375" style="119" customWidth="1"/>
    <col min="6680" max="6680" width="9" style="119"/>
    <col min="6681" max="6683" width="11.625" style="119" customWidth="1"/>
    <col min="6684" max="6684" width="9" style="119"/>
    <col min="6685" max="6687" width="11.625" style="119" customWidth="1"/>
    <col min="6688" max="6688" width="9" style="119"/>
    <col min="6689" max="6691" width="11.625" style="119" customWidth="1"/>
    <col min="6692" max="6692" width="12.875" style="119" customWidth="1"/>
    <col min="6693" max="6693" width="10.5" style="119" customWidth="1"/>
    <col min="6694" max="6697" width="9" style="119" hidden="1" customWidth="1"/>
    <col min="6698" max="6698" width="9" style="119"/>
    <col min="6699" max="6699" width="11.75" style="119" customWidth="1"/>
    <col min="6700" max="6700" width="9" style="119"/>
    <col min="6701" max="6701" width="11.75" style="119" customWidth="1"/>
    <col min="6702" max="6702" width="13.25" style="119" customWidth="1"/>
    <col min="6703" max="6703" width="9" style="119"/>
    <col min="6704" max="6704" width="11.75" style="119" customWidth="1"/>
    <col min="6705" max="6705" width="9" style="119"/>
    <col min="6706" max="6706" width="14.625" style="119" customWidth="1"/>
    <col min="6707" max="6912" width="9" style="119"/>
    <col min="6913" max="6913" width="43.75" style="119" customWidth="1"/>
    <col min="6914" max="6914" width="11" style="119" customWidth="1"/>
    <col min="6915" max="6915" width="13.75" style="119" customWidth="1"/>
    <col min="6916" max="6917" width="11" style="119" customWidth="1"/>
    <col min="6918" max="6918" width="13.75" style="119" customWidth="1"/>
    <col min="6919" max="6919" width="15.75" style="119" customWidth="1"/>
    <col min="6920" max="6920" width="11.25" style="119" customWidth="1"/>
    <col min="6921" max="6921" width="15" style="119" customWidth="1"/>
    <col min="6922" max="6922" width="23" style="119" customWidth="1"/>
    <col min="6923" max="6923" width="15" style="119" customWidth="1"/>
    <col min="6924" max="6924" width="11" style="119" customWidth="1"/>
    <col min="6925" max="6925" width="13.75" style="119" customWidth="1"/>
    <col min="6926" max="6927" width="14" style="119" customWidth="1"/>
    <col min="6928" max="6930" width="13.75" style="119" customWidth="1"/>
    <col min="6931" max="6931" width="18.5" style="119" customWidth="1"/>
    <col min="6932" max="6932" width="14.25" style="119" customWidth="1"/>
    <col min="6933" max="6933" width="14.125" style="119" customWidth="1"/>
    <col min="6934" max="6934" width="9" style="119"/>
    <col min="6935" max="6935" width="9.375" style="119" customWidth="1"/>
    <col min="6936" max="6936" width="9" style="119"/>
    <col min="6937" max="6939" width="11.625" style="119" customWidth="1"/>
    <col min="6940" max="6940" width="9" style="119"/>
    <col min="6941" max="6943" width="11.625" style="119" customWidth="1"/>
    <col min="6944" max="6944" width="9" style="119"/>
    <col min="6945" max="6947" width="11.625" style="119" customWidth="1"/>
    <col min="6948" max="6948" width="12.875" style="119" customWidth="1"/>
    <col min="6949" max="6949" width="10.5" style="119" customWidth="1"/>
    <col min="6950" max="6953" width="9" style="119" hidden="1" customWidth="1"/>
    <col min="6954" max="6954" width="9" style="119"/>
    <col min="6955" max="6955" width="11.75" style="119" customWidth="1"/>
    <col min="6956" max="6956" width="9" style="119"/>
    <col min="6957" max="6957" width="11.75" style="119" customWidth="1"/>
    <col min="6958" max="6958" width="13.25" style="119" customWidth="1"/>
    <col min="6959" max="6959" width="9" style="119"/>
    <col min="6960" max="6960" width="11.75" style="119" customWidth="1"/>
    <col min="6961" max="6961" width="9" style="119"/>
    <col min="6962" max="6962" width="14.625" style="119" customWidth="1"/>
    <col min="6963" max="7168" width="9" style="119"/>
    <col min="7169" max="7169" width="43.75" style="119" customWidth="1"/>
    <col min="7170" max="7170" width="11" style="119" customWidth="1"/>
    <col min="7171" max="7171" width="13.75" style="119" customWidth="1"/>
    <col min="7172" max="7173" width="11" style="119" customWidth="1"/>
    <col min="7174" max="7174" width="13.75" style="119" customWidth="1"/>
    <col min="7175" max="7175" width="15.75" style="119" customWidth="1"/>
    <col min="7176" max="7176" width="11.25" style="119" customWidth="1"/>
    <col min="7177" max="7177" width="15" style="119" customWidth="1"/>
    <col min="7178" max="7178" width="23" style="119" customWidth="1"/>
    <col min="7179" max="7179" width="15" style="119" customWidth="1"/>
    <col min="7180" max="7180" width="11" style="119" customWidth="1"/>
    <col min="7181" max="7181" width="13.75" style="119" customWidth="1"/>
    <col min="7182" max="7183" width="14" style="119" customWidth="1"/>
    <col min="7184" max="7186" width="13.75" style="119" customWidth="1"/>
    <col min="7187" max="7187" width="18.5" style="119" customWidth="1"/>
    <col min="7188" max="7188" width="14.25" style="119" customWidth="1"/>
    <col min="7189" max="7189" width="14.125" style="119" customWidth="1"/>
    <col min="7190" max="7190" width="9" style="119"/>
    <col min="7191" max="7191" width="9.375" style="119" customWidth="1"/>
    <col min="7192" max="7192" width="9" style="119"/>
    <col min="7193" max="7195" width="11.625" style="119" customWidth="1"/>
    <col min="7196" max="7196" width="9" style="119"/>
    <col min="7197" max="7199" width="11.625" style="119" customWidth="1"/>
    <col min="7200" max="7200" width="9" style="119"/>
    <col min="7201" max="7203" width="11.625" style="119" customWidth="1"/>
    <col min="7204" max="7204" width="12.875" style="119" customWidth="1"/>
    <col min="7205" max="7205" width="10.5" style="119" customWidth="1"/>
    <col min="7206" max="7209" width="9" style="119" hidden="1" customWidth="1"/>
    <col min="7210" max="7210" width="9" style="119"/>
    <col min="7211" max="7211" width="11.75" style="119" customWidth="1"/>
    <col min="7212" max="7212" width="9" style="119"/>
    <col min="7213" max="7213" width="11.75" style="119" customWidth="1"/>
    <col min="7214" max="7214" width="13.25" style="119" customWidth="1"/>
    <col min="7215" max="7215" width="9" style="119"/>
    <col min="7216" max="7216" width="11.75" style="119" customWidth="1"/>
    <col min="7217" max="7217" width="9" style="119"/>
    <col min="7218" max="7218" width="14.625" style="119" customWidth="1"/>
    <col min="7219" max="7424" width="9" style="119"/>
    <col min="7425" max="7425" width="43.75" style="119" customWidth="1"/>
    <col min="7426" max="7426" width="11" style="119" customWidth="1"/>
    <col min="7427" max="7427" width="13.75" style="119" customWidth="1"/>
    <col min="7428" max="7429" width="11" style="119" customWidth="1"/>
    <col min="7430" max="7430" width="13.75" style="119" customWidth="1"/>
    <col min="7431" max="7431" width="15.75" style="119" customWidth="1"/>
    <col min="7432" max="7432" width="11.25" style="119" customWidth="1"/>
    <col min="7433" max="7433" width="15" style="119" customWidth="1"/>
    <col min="7434" max="7434" width="23" style="119" customWidth="1"/>
    <col min="7435" max="7435" width="15" style="119" customWidth="1"/>
    <col min="7436" max="7436" width="11" style="119" customWidth="1"/>
    <col min="7437" max="7437" width="13.75" style="119" customWidth="1"/>
    <col min="7438" max="7439" width="14" style="119" customWidth="1"/>
    <col min="7440" max="7442" width="13.75" style="119" customWidth="1"/>
    <col min="7443" max="7443" width="18.5" style="119" customWidth="1"/>
    <col min="7444" max="7444" width="14.25" style="119" customWidth="1"/>
    <col min="7445" max="7445" width="14.125" style="119" customWidth="1"/>
    <col min="7446" max="7446" width="9" style="119"/>
    <col min="7447" max="7447" width="9.375" style="119" customWidth="1"/>
    <col min="7448" max="7448" width="9" style="119"/>
    <col min="7449" max="7451" width="11.625" style="119" customWidth="1"/>
    <col min="7452" max="7452" width="9" style="119"/>
    <col min="7453" max="7455" width="11.625" style="119" customWidth="1"/>
    <col min="7456" max="7456" width="9" style="119"/>
    <col min="7457" max="7459" width="11.625" style="119" customWidth="1"/>
    <col min="7460" max="7460" width="12.875" style="119" customWidth="1"/>
    <col min="7461" max="7461" width="10.5" style="119" customWidth="1"/>
    <col min="7462" max="7465" width="9" style="119" hidden="1" customWidth="1"/>
    <col min="7466" max="7466" width="9" style="119"/>
    <col min="7467" max="7467" width="11.75" style="119" customWidth="1"/>
    <col min="7468" max="7468" width="9" style="119"/>
    <col min="7469" max="7469" width="11.75" style="119" customWidth="1"/>
    <col min="7470" max="7470" width="13.25" style="119" customWidth="1"/>
    <col min="7471" max="7471" width="9" style="119"/>
    <col min="7472" max="7472" width="11.75" style="119" customWidth="1"/>
    <col min="7473" max="7473" width="9" style="119"/>
    <col min="7474" max="7474" width="14.625" style="119" customWidth="1"/>
    <col min="7475" max="7680" width="9" style="119"/>
    <col min="7681" max="7681" width="43.75" style="119" customWidth="1"/>
    <col min="7682" max="7682" width="11" style="119" customWidth="1"/>
    <col min="7683" max="7683" width="13.75" style="119" customWidth="1"/>
    <col min="7684" max="7685" width="11" style="119" customWidth="1"/>
    <col min="7686" max="7686" width="13.75" style="119" customWidth="1"/>
    <col min="7687" max="7687" width="15.75" style="119" customWidth="1"/>
    <col min="7688" max="7688" width="11.25" style="119" customWidth="1"/>
    <col min="7689" max="7689" width="15" style="119" customWidth="1"/>
    <col min="7690" max="7690" width="23" style="119" customWidth="1"/>
    <col min="7691" max="7691" width="15" style="119" customWidth="1"/>
    <col min="7692" max="7692" width="11" style="119" customWidth="1"/>
    <col min="7693" max="7693" width="13.75" style="119" customWidth="1"/>
    <col min="7694" max="7695" width="14" style="119" customWidth="1"/>
    <col min="7696" max="7698" width="13.75" style="119" customWidth="1"/>
    <col min="7699" max="7699" width="18.5" style="119" customWidth="1"/>
    <col min="7700" max="7700" width="14.25" style="119" customWidth="1"/>
    <col min="7701" max="7701" width="14.125" style="119" customWidth="1"/>
    <col min="7702" max="7702" width="9" style="119"/>
    <col min="7703" max="7703" width="9.375" style="119" customWidth="1"/>
    <col min="7704" max="7704" width="9" style="119"/>
    <col min="7705" max="7707" width="11.625" style="119" customWidth="1"/>
    <col min="7708" max="7708" width="9" style="119"/>
    <col min="7709" max="7711" width="11.625" style="119" customWidth="1"/>
    <col min="7712" max="7712" width="9" style="119"/>
    <col min="7713" max="7715" width="11.625" style="119" customWidth="1"/>
    <col min="7716" max="7716" width="12.875" style="119" customWidth="1"/>
    <col min="7717" max="7717" width="10.5" style="119" customWidth="1"/>
    <col min="7718" max="7721" width="9" style="119" hidden="1" customWidth="1"/>
    <col min="7722" max="7722" width="9" style="119"/>
    <col min="7723" max="7723" width="11.75" style="119" customWidth="1"/>
    <col min="7724" max="7724" width="9" style="119"/>
    <col min="7725" max="7725" width="11.75" style="119" customWidth="1"/>
    <col min="7726" max="7726" width="13.25" style="119" customWidth="1"/>
    <col min="7727" max="7727" width="9" style="119"/>
    <col min="7728" max="7728" width="11.75" style="119" customWidth="1"/>
    <col min="7729" max="7729" width="9" style="119"/>
    <col min="7730" max="7730" width="14.625" style="119" customWidth="1"/>
    <col min="7731" max="7936" width="9" style="119"/>
    <col min="7937" max="7937" width="43.75" style="119" customWidth="1"/>
    <col min="7938" max="7938" width="11" style="119" customWidth="1"/>
    <col min="7939" max="7939" width="13.75" style="119" customWidth="1"/>
    <col min="7940" max="7941" width="11" style="119" customWidth="1"/>
    <col min="7942" max="7942" width="13.75" style="119" customWidth="1"/>
    <col min="7943" max="7943" width="15.75" style="119" customWidth="1"/>
    <col min="7944" max="7944" width="11.25" style="119" customWidth="1"/>
    <col min="7945" max="7945" width="15" style="119" customWidth="1"/>
    <col min="7946" max="7946" width="23" style="119" customWidth="1"/>
    <col min="7947" max="7947" width="15" style="119" customWidth="1"/>
    <col min="7948" max="7948" width="11" style="119" customWidth="1"/>
    <col min="7949" max="7949" width="13.75" style="119" customWidth="1"/>
    <col min="7950" max="7951" width="14" style="119" customWidth="1"/>
    <col min="7952" max="7954" width="13.75" style="119" customWidth="1"/>
    <col min="7955" max="7955" width="18.5" style="119" customWidth="1"/>
    <col min="7956" max="7956" width="14.25" style="119" customWidth="1"/>
    <col min="7957" max="7957" width="14.125" style="119" customWidth="1"/>
    <col min="7958" max="7958" width="9" style="119"/>
    <col min="7959" max="7959" width="9.375" style="119" customWidth="1"/>
    <col min="7960" max="7960" width="9" style="119"/>
    <col min="7961" max="7963" width="11.625" style="119" customWidth="1"/>
    <col min="7964" max="7964" width="9" style="119"/>
    <col min="7965" max="7967" width="11.625" style="119" customWidth="1"/>
    <col min="7968" max="7968" width="9" style="119"/>
    <col min="7969" max="7971" width="11.625" style="119" customWidth="1"/>
    <col min="7972" max="7972" width="12.875" style="119" customWidth="1"/>
    <col min="7973" max="7973" width="10.5" style="119" customWidth="1"/>
    <col min="7974" max="7977" width="9" style="119" hidden="1" customWidth="1"/>
    <col min="7978" max="7978" width="9" style="119"/>
    <col min="7979" max="7979" width="11.75" style="119" customWidth="1"/>
    <col min="7980" max="7980" width="9" style="119"/>
    <col min="7981" max="7981" width="11.75" style="119" customWidth="1"/>
    <col min="7982" max="7982" width="13.25" style="119" customWidth="1"/>
    <col min="7983" max="7983" width="9" style="119"/>
    <col min="7984" max="7984" width="11.75" style="119" customWidth="1"/>
    <col min="7985" max="7985" width="9" style="119"/>
    <col min="7986" max="7986" width="14.625" style="119" customWidth="1"/>
    <col min="7987" max="8192" width="9" style="119"/>
    <col min="8193" max="8193" width="43.75" style="119" customWidth="1"/>
    <col min="8194" max="8194" width="11" style="119" customWidth="1"/>
    <col min="8195" max="8195" width="13.75" style="119" customWidth="1"/>
    <col min="8196" max="8197" width="11" style="119" customWidth="1"/>
    <col min="8198" max="8198" width="13.75" style="119" customWidth="1"/>
    <col min="8199" max="8199" width="15.75" style="119" customWidth="1"/>
    <col min="8200" max="8200" width="11.25" style="119" customWidth="1"/>
    <col min="8201" max="8201" width="15" style="119" customWidth="1"/>
    <col min="8202" max="8202" width="23" style="119" customWidth="1"/>
    <col min="8203" max="8203" width="15" style="119" customWidth="1"/>
    <col min="8204" max="8204" width="11" style="119" customWidth="1"/>
    <col min="8205" max="8205" width="13.75" style="119" customWidth="1"/>
    <col min="8206" max="8207" width="14" style="119" customWidth="1"/>
    <col min="8208" max="8210" width="13.75" style="119" customWidth="1"/>
    <col min="8211" max="8211" width="18.5" style="119" customWidth="1"/>
    <col min="8212" max="8212" width="14.25" style="119" customWidth="1"/>
    <col min="8213" max="8213" width="14.125" style="119" customWidth="1"/>
    <col min="8214" max="8214" width="9" style="119"/>
    <col min="8215" max="8215" width="9.375" style="119" customWidth="1"/>
    <col min="8216" max="8216" width="9" style="119"/>
    <col min="8217" max="8219" width="11.625" style="119" customWidth="1"/>
    <col min="8220" max="8220" width="9" style="119"/>
    <col min="8221" max="8223" width="11.625" style="119" customWidth="1"/>
    <col min="8224" max="8224" width="9" style="119"/>
    <col min="8225" max="8227" width="11.625" style="119" customWidth="1"/>
    <col min="8228" max="8228" width="12.875" style="119" customWidth="1"/>
    <col min="8229" max="8229" width="10.5" style="119" customWidth="1"/>
    <col min="8230" max="8233" width="9" style="119" hidden="1" customWidth="1"/>
    <col min="8234" max="8234" width="9" style="119"/>
    <col min="8235" max="8235" width="11.75" style="119" customWidth="1"/>
    <col min="8236" max="8236" width="9" style="119"/>
    <col min="8237" max="8237" width="11.75" style="119" customWidth="1"/>
    <col min="8238" max="8238" width="13.25" style="119" customWidth="1"/>
    <col min="8239" max="8239" width="9" style="119"/>
    <col min="8240" max="8240" width="11.75" style="119" customWidth="1"/>
    <col min="8241" max="8241" width="9" style="119"/>
    <col min="8242" max="8242" width="14.625" style="119" customWidth="1"/>
    <col min="8243" max="8448" width="9" style="119"/>
    <col min="8449" max="8449" width="43.75" style="119" customWidth="1"/>
    <col min="8450" max="8450" width="11" style="119" customWidth="1"/>
    <col min="8451" max="8451" width="13.75" style="119" customWidth="1"/>
    <col min="8452" max="8453" width="11" style="119" customWidth="1"/>
    <col min="8454" max="8454" width="13.75" style="119" customWidth="1"/>
    <col min="8455" max="8455" width="15.75" style="119" customWidth="1"/>
    <col min="8456" max="8456" width="11.25" style="119" customWidth="1"/>
    <col min="8457" max="8457" width="15" style="119" customWidth="1"/>
    <col min="8458" max="8458" width="23" style="119" customWidth="1"/>
    <col min="8459" max="8459" width="15" style="119" customWidth="1"/>
    <col min="8460" max="8460" width="11" style="119" customWidth="1"/>
    <col min="8461" max="8461" width="13.75" style="119" customWidth="1"/>
    <col min="8462" max="8463" width="14" style="119" customWidth="1"/>
    <col min="8464" max="8466" width="13.75" style="119" customWidth="1"/>
    <col min="8467" max="8467" width="18.5" style="119" customWidth="1"/>
    <col min="8468" max="8468" width="14.25" style="119" customWidth="1"/>
    <col min="8469" max="8469" width="14.125" style="119" customWidth="1"/>
    <col min="8470" max="8470" width="9" style="119"/>
    <col min="8471" max="8471" width="9.375" style="119" customWidth="1"/>
    <col min="8472" max="8472" width="9" style="119"/>
    <col min="8473" max="8475" width="11.625" style="119" customWidth="1"/>
    <col min="8476" max="8476" width="9" style="119"/>
    <col min="8477" max="8479" width="11.625" style="119" customWidth="1"/>
    <col min="8480" max="8480" width="9" style="119"/>
    <col min="8481" max="8483" width="11.625" style="119" customWidth="1"/>
    <col min="8484" max="8484" width="12.875" style="119" customWidth="1"/>
    <col min="8485" max="8485" width="10.5" style="119" customWidth="1"/>
    <col min="8486" max="8489" width="9" style="119" hidden="1" customWidth="1"/>
    <col min="8490" max="8490" width="9" style="119"/>
    <col min="8491" max="8491" width="11.75" style="119" customWidth="1"/>
    <col min="8492" max="8492" width="9" style="119"/>
    <col min="8493" max="8493" width="11.75" style="119" customWidth="1"/>
    <col min="8494" max="8494" width="13.25" style="119" customWidth="1"/>
    <col min="8495" max="8495" width="9" style="119"/>
    <col min="8496" max="8496" width="11.75" style="119" customWidth="1"/>
    <col min="8497" max="8497" width="9" style="119"/>
    <col min="8498" max="8498" width="14.625" style="119" customWidth="1"/>
    <col min="8499" max="8704" width="9" style="119"/>
    <col min="8705" max="8705" width="43.75" style="119" customWidth="1"/>
    <col min="8706" max="8706" width="11" style="119" customWidth="1"/>
    <col min="8707" max="8707" width="13.75" style="119" customWidth="1"/>
    <col min="8708" max="8709" width="11" style="119" customWidth="1"/>
    <col min="8710" max="8710" width="13.75" style="119" customWidth="1"/>
    <col min="8711" max="8711" width="15.75" style="119" customWidth="1"/>
    <col min="8712" max="8712" width="11.25" style="119" customWidth="1"/>
    <col min="8713" max="8713" width="15" style="119" customWidth="1"/>
    <col min="8714" max="8714" width="23" style="119" customWidth="1"/>
    <col min="8715" max="8715" width="15" style="119" customWidth="1"/>
    <col min="8716" max="8716" width="11" style="119" customWidth="1"/>
    <col min="8717" max="8717" width="13.75" style="119" customWidth="1"/>
    <col min="8718" max="8719" width="14" style="119" customWidth="1"/>
    <col min="8720" max="8722" width="13.75" style="119" customWidth="1"/>
    <col min="8723" max="8723" width="18.5" style="119" customWidth="1"/>
    <col min="8724" max="8724" width="14.25" style="119" customWidth="1"/>
    <col min="8725" max="8725" width="14.125" style="119" customWidth="1"/>
    <col min="8726" max="8726" width="9" style="119"/>
    <col min="8727" max="8727" width="9.375" style="119" customWidth="1"/>
    <col min="8728" max="8728" width="9" style="119"/>
    <col min="8729" max="8731" width="11.625" style="119" customWidth="1"/>
    <col min="8732" max="8732" width="9" style="119"/>
    <col min="8733" max="8735" width="11.625" style="119" customWidth="1"/>
    <col min="8736" max="8736" width="9" style="119"/>
    <col min="8737" max="8739" width="11.625" style="119" customWidth="1"/>
    <col min="8740" max="8740" width="12.875" style="119" customWidth="1"/>
    <col min="8741" max="8741" width="10.5" style="119" customWidth="1"/>
    <col min="8742" max="8745" width="9" style="119" hidden="1" customWidth="1"/>
    <col min="8746" max="8746" width="9" style="119"/>
    <col min="8747" max="8747" width="11.75" style="119" customWidth="1"/>
    <col min="8748" max="8748" width="9" style="119"/>
    <col min="8749" max="8749" width="11.75" style="119" customWidth="1"/>
    <col min="8750" max="8750" width="13.25" style="119" customWidth="1"/>
    <col min="8751" max="8751" width="9" style="119"/>
    <col min="8752" max="8752" width="11.75" style="119" customWidth="1"/>
    <col min="8753" max="8753" width="9" style="119"/>
    <col min="8754" max="8754" width="14.625" style="119" customWidth="1"/>
    <col min="8755" max="8960" width="9" style="119"/>
    <col min="8961" max="8961" width="43.75" style="119" customWidth="1"/>
    <col min="8962" max="8962" width="11" style="119" customWidth="1"/>
    <col min="8963" max="8963" width="13.75" style="119" customWidth="1"/>
    <col min="8964" max="8965" width="11" style="119" customWidth="1"/>
    <col min="8966" max="8966" width="13.75" style="119" customWidth="1"/>
    <col min="8967" max="8967" width="15.75" style="119" customWidth="1"/>
    <col min="8968" max="8968" width="11.25" style="119" customWidth="1"/>
    <col min="8969" max="8969" width="15" style="119" customWidth="1"/>
    <col min="8970" max="8970" width="23" style="119" customWidth="1"/>
    <col min="8971" max="8971" width="15" style="119" customWidth="1"/>
    <col min="8972" max="8972" width="11" style="119" customWidth="1"/>
    <col min="8973" max="8973" width="13.75" style="119" customWidth="1"/>
    <col min="8974" max="8975" width="14" style="119" customWidth="1"/>
    <col min="8976" max="8978" width="13.75" style="119" customWidth="1"/>
    <col min="8979" max="8979" width="18.5" style="119" customWidth="1"/>
    <col min="8980" max="8980" width="14.25" style="119" customWidth="1"/>
    <col min="8981" max="8981" width="14.125" style="119" customWidth="1"/>
    <col min="8982" max="8982" width="9" style="119"/>
    <col min="8983" max="8983" width="9.375" style="119" customWidth="1"/>
    <col min="8984" max="8984" width="9" style="119"/>
    <col min="8985" max="8987" width="11.625" style="119" customWidth="1"/>
    <col min="8988" max="8988" width="9" style="119"/>
    <col min="8989" max="8991" width="11.625" style="119" customWidth="1"/>
    <col min="8992" max="8992" width="9" style="119"/>
    <col min="8993" max="8995" width="11.625" style="119" customWidth="1"/>
    <col min="8996" max="8996" width="12.875" style="119" customWidth="1"/>
    <col min="8997" max="8997" width="10.5" style="119" customWidth="1"/>
    <col min="8998" max="9001" width="9" style="119" hidden="1" customWidth="1"/>
    <col min="9002" max="9002" width="9" style="119"/>
    <col min="9003" max="9003" width="11.75" style="119" customWidth="1"/>
    <col min="9004" max="9004" width="9" style="119"/>
    <col min="9005" max="9005" width="11.75" style="119" customWidth="1"/>
    <col min="9006" max="9006" width="13.25" style="119" customWidth="1"/>
    <col min="9007" max="9007" width="9" style="119"/>
    <col min="9008" max="9008" width="11.75" style="119" customWidth="1"/>
    <col min="9009" max="9009" width="9" style="119"/>
    <col min="9010" max="9010" width="14.625" style="119" customWidth="1"/>
    <col min="9011" max="9216" width="9" style="119"/>
    <col min="9217" max="9217" width="43.75" style="119" customWidth="1"/>
    <col min="9218" max="9218" width="11" style="119" customWidth="1"/>
    <col min="9219" max="9219" width="13.75" style="119" customWidth="1"/>
    <col min="9220" max="9221" width="11" style="119" customWidth="1"/>
    <col min="9222" max="9222" width="13.75" style="119" customWidth="1"/>
    <col min="9223" max="9223" width="15.75" style="119" customWidth="1"/>
    <col min="9224" max="9224" width="11.25" style="119" customWidth="1"/>
    <col min="9225" max="9225" width="15" style="119" customWidth="1"/>
    <col min="9226" max="9226" width="23" style="119" customWidth="1"/>
    <col min="9227" max="9227" width="15" style="119" customWidth="1"/>
    <col min="9228" max="9228" width="11" style="119" customWidth="1"/>
    <col min="9229" max="9229" width="13.75" style="119" customWidth="1"/>
    <col min="9230" max="9231" width="14" style="119" customWidth="1"/>
    <col min="9232" max="9234" width="13.75" style="119" customWidth="1"/>
    <col min="9235" max="9235" width="18.5" style="119" customWidth="1"/>
    <col min="9236" max="9236" width="14.25" style="119" customWidth="1"/>
    <col min="9237" max="9237" width="14.125" style="119" customWidth="1"/>
    <col min="9238" max="9238" width="9" style="119"/>
    <col min="9239" max="9239" width="9.375" style="119" customWidth="1"/>
    <col min="9240" max="9240" width="9" style="119"/>
    <col min="9241" max="9243" width="11.625" style="119" customWidth="1"/>
    <col min="9244" max="9244" width="9" style="119"/>
    <col min="9245" max="9247" width="11.625" style="119" customWidth="1"/>
    <col min="9248" max="9248" width="9" style="119"/>
    <col min="9249" max="9251" width="11.625" style="119" customWidth="1"/>
    <col min="9252" max="9252" width="12.875" style="119" customWidth="1"/>
    <col min="9253" max="9253" width="10.5" style="119" customWidth="1"/>
    <col min="9254" max="9257" width="9" style="119" hidden="1" customWidth="1"/>
    <col min="9258" max="9258" width="9" style="119"/>
    <col min="9259" max="9259" width="11.75" style="119" customWidth="1"/>
    <col min="9260" max="9260" width="9" style="119"/>
    <col min="9261" max="9261" width="11.75" style="119" customWidth="1"/>
    <col min="9262" max="9262" width="13.25" style="119" customWidth="1"/>
    <col min="9263" max="9263" width="9" style="119"/>
    <col min="9264" max="9264" width="11.75" style="119" customWidth="1"/>
    <col min="9265" max="9265" width="9" style="119"/>
    <col min="9266" max="9266" width="14.625" style="119" customWidth="1"/>
    <col min="9267" max="9472" width="9" style="119"/>
    <col min="9473" max="9473" width="43.75" style="119" customWidth="1"/>
    <col min="9474" max="9474" width="11" style="119" customWidth="1"/>
    <col min="9475" max="9475" width="13.75" style="119" customWidth="1"/>
    <col min="9476" max="9477" width="11" style="119" customWidth="1"/>
    <col min="9478" max="9478" width="13.75" style="119" customWidth="1"/>
    <col min="9479" max="9479" width="15.75" style="119" customWidth="1"/>
    <col min="9480" max="9480" width="11.25" style="119" customWidth="1"/>
    <col min="9481" max="9481" width="15" style="119" customWidth="1"/>
    <col min="9482" max="9482" width="23" style="119" customWidth="1"/>
    <col min="9483" max="9483" width="15" style="119" customWidth="1"/>
    <col min="9484" max="9484" width="11" style="119" customWidth="1"/>
    <col min="9485" max="9485" width="13.75" style="119" customWidth="1"/>
    <col min="9486" max="9487" width="14" style="119" customWidth="1"/>
    <col min="9488" max="9490" width="13.75" style="119" customWidth="1"/>
    <col min="9491" max="9491" width="18.5" style="119" customWidth="1"/>
    <col min="9492" max="9492" width="14.25" style="119" customWidth="1"/>
    <col min="9493" max="9493" width="14.125" style="119" customWidth="1"/>
    <col min="9494" max="9494" width="9" style="119"/>
    <col min="9495" max="9495" width="9.375" style="119" customWidth="1"/>
    <col min="9496" max="9496" width="9" style="119"/>
    <col min="9497" max="9499" width="11.625" style="119" customWidth="1"/>
    <col min="9500" max="9500" width="9" style="119"/>
    <col min="9501" max="9503" width="11.625" style="119" customWidth="1"/>
    <col min="9504" max="9504" width="9" style="119"/>
    <col min="9505" max="9507" width="11.625" style="119" customWidth="1"/>
    <col min="9508" max="9508" width="12.875" style="119" customWidth="1"/>
    <col min="9509" max="9509" width="10.5" style="119" customWidth="1"/>
    <col min="9510" max="9513" width="9" style="119" hidden="1" customWidth="1"/>
    <col min="9514" max="9514" width="9" style="119"/>
    <col min="9515" max="9515" width="11.75" style="119" customWidth="1"/>
    <col min="9516" max="9516" width="9" style="119"/>
    <col min="9517" max="9517" width="11.75" style="119" customWidth="1"/>
    <col min="9518" max="9518" width="13.25" style="119" customWidth="1"/>
    <col min="9519" max="9519" width="9" style="119"/>
    <col min="9520" max="9520" width="11.75" style="119" customWidth="1"/>
    <col min="9521" max="9521" width="9" style="119"/>
    <col min="9522" max="9522" width="14.625" style="119" customWidth="1"/>
    <col min="9523" max="9728" width="9" style="119"/>
    <col min="9729" max="9729" width="43.75" style="119" customWidth="1"/>
    <col min="9730" max="9730" width="11" style="119" customWidth="1"/>
    <col min="9731" max="9731" width="13.75" style="119" customWidth="1"/>
    <col min="9732" max="9733" width="11" style="119" customWidth="1"/>
    <col min="9734" max="9734" width="13.75" style="119" customWidth="1"/>
    <col min="9735" max="9735" width="15.75" style="119" customWidth="1"/>
    <col min="9736" max="9736" width="11.25" style="119" customWidth="1"/>
    <col min="9737" max="9737" width="15" style="119" customWidth="1"/>
    <col min="9738" max="9738" width="23" style="119" customWidth="1"/>
    <col min="9739" max="9739" width="15" style="119" customWidth="1"/>
    <col min="9740" max="9740" width="11" style="119" customWidth="1"/>
    <col min="9741" max="9741" width="13.75" style="119" customWidth="1"/>
    <col min="9742" max="9743" width="14" style="119" customWidth="1"/>
    <col min="9744" max="9746" width="13.75" style="119" customWidth="1"/>
    <col min="9747" max="9747" width="18.5" style="119" customWidth="1"/>
    <col min="9748" max="9748" width="14.25" style="119" customWidth="1"/>
    <col min="9749" max="9749" width="14.125" style="119" customWidth="1"/>
    <col min="9750" max="9750" width="9" style="119"/>
    <col min="9751" max="9751" width="9.375" style="119" customWidth="1"/>
    <col min="9752" max="9752" width="9" style="119"/>
    <col min="9753" max="9755" width="11.625" style="119" customWidth="1"/>
    <col min="9756" max="9756" width="9" style="119"/>
    <col min="9757" max="9759" width="11.625" style="119" customWidth="1"/>
    <col min="9760" max="9760" width="9" style="119"/>
    <col min="9761" max="9763" width="11.625" style="119" customWidth="1"/>
    <col min="9764" max="9764" width="12.875" style="119" customWidth="1"/>
    <col min="9765" max="9765" width="10.5" style="119" customWidth="1"/>
    <col min="9766" max="9769" width="9" style="119" hidden="1" customWidth="1"/>
    <col min="9770" max="9770" width="9" style="119"/>
    <col min="9771" max="9771" width="11.75" style="119" customWidth="1"/>
    <col min="9772" max="9772" width="9" style="119"/>
    <col min="9773" max="9773" width="11.75" style="119" customWidth="1"/>
    <col min="9774" max="9774" width="13.25" style="119" customWidth="1"/>
    <col min="9775" max="9775" width="9" style="119"/>
    <col min="9776" max="9776" width="11.75" style="119" customWidth="1"/>
    <col min="9777" max="9777" width="9" style="119"/>
    <col min="9778" max="9778" width="14.625" style="119" customWidth="1"/>
    <col min="9779" max="9984" width="9" style="119"/>
    <col min="9985" max="9985" width="43.75" style="119" customWidth="1"/>
    <col min="9986" max="9986" width="11" style="119" customWidth="1"/>
    <col min="9987" max="9987" width="13.75" style="119" customWidth="1"/>
    <col min="9988" max="9989" width="11" style="119" customWidth="1"/>
    <col min="9990" max="9990" width="13.75" style="119" customWidth="1"/>
    <col min="9991" max="9991" width="15.75" style="119" customWidth="1"/>
    <col min="9992" max="9992" width="11.25" style="119" customWidth="1"/>
    <col min="9993" max="9993" width="15" style="119" customWidth="1"/>
    <col min="9994" max="9994" width="23" style="119" customWidth="1"/>
    <col min="9995" max="9995" width="15" style="119" customWidth="1"/>
    <col min="9996" max="9996" width="11" style="119" customWidth="1"/>
    <col min="9997" max="9997" width="13.75" style="119" customWidth="1"/>
    <col min="9998" max="9999" width="14" style="119" customWidth="1"/>
    <col min="10000" max="10002" width="13.75" style="119" customWidth="1"/>
    <col min="10003" max="10003" width="18.5" style="119" customWidth="1"/>
    <col min="10004" max="10004" width="14.25" style="119" customWidth="1"/>
    <col min="10005" max="10005" width="14.125" style="119" customWidth="1"/>
    <col min="10006" max="10006" width="9" style="119"/>
    <col min="10007" max="10007" width="9.375" style="119" customWidth="1"/>
    <col min="10008" max="10008" width="9" style="119"/>
    <col min="10009" max="10011" width="11.625" style="119" customWidth="1"/>
    <col min="10012" max="10012" width="9" style="119"/>
    <col min="10013" max="10015" width="11.625" style="119" customWidth="1"/>
    <col min="10016" max="10016" width="9" style="119"/>
    <col min="10017" max="10019" width="11.625" style="119" customWidth="1"/>
    <col min="10020" max="10020" width="12.875" style="119" customWidth="1"/>
    <col min="10021" max="10021" width="10.5" style="119" customWidth="1"/>
    <col min="10022" max="10025" width="9" style="119" hidden="1" customWidth="1"/>
    <col min="10026" max="10026" width="9" style="119"/>
    <col min="10027" max="10027" width="11.75" style="119" customWidth="1"/>
    <col min="10028" max="10028" width="9" style="119"/>
    <col min="10029" max="10029" width="11.75" style="119" customWidth="1"/>
    <col min="10030" max="10030" width="13.25" style="119" customWidth="1"/>
    <col min="10031" max="10031" width="9" style="119"/>
    <col min="10032" max="10032" width="11.75" style="119" customWidth="1"/>
    <col min="10033" max="10033" width="9" style="119"/>
    <col min="10034" max="10034" width="14.625" style="119" customWidth="1"/>
    <col min="10035" max="10240" width="9" style="119"/>
    <col min="10241" max="10241" width="43.75" style="119" customWidth="1"/>
    <col min="10242" max="10242" width="11" style="119" customWidth="1"/>
    <col min="10243" max="10243" width="13.75" style="119" customWidth="1"/>
    <col min="10244" max="10245" width="11" style="119" customWidth="1"/>
    <col min="10246" max="10246" width="13.75" style="119" customWidth="1"/>
    <col min="10247" max="10247" width="15.75" style="119" customWidth="1"/>
    <col min="10248" max="10248" width="11.25" style="119" customWidth="1"/>
    <col min="10249" max="10249" width="15" style="119" customWidth="1"/>
    <col min="10250" max="10250" width="23" style="119" customWidth="1"/>
    <col min="10251" max="10251" width="15" style="119" customWidth="1"/>
    <col min="10252" max="10252" width="11" style="119" customWidth="1"/>
    <col min="10253" max="10253" width="13.75" style="119" customWidth="1"/>
    <col min="10254" max="10255" width="14" style="119" customWidth="1"/>
    <col min="10256" max="10258" width="13.75" style="119" customWidth="1"/>
    <col min="10259" max="10259" width="18.5" style="119" customWidth="1"/>
    <col min="10260" max="10260" width="14.25" style="119" customWidth="1"/>
    <col min="10261" max="10261" width="14.125" style="119" customWidth="1"/>
    <col min="10262" max="10262" width="9" style="119"/>
    <col min="10263" max="10263" width="9.375" style="119" customWidth="1"/>
    <col min="10264" max="10264" width="9" style="119"/>
    <col min="10265" max="10267" width="11.625" style="119" customWidth="1"/>
    <col min="10268" max="10268" width="9" style="119"/>
    <col min="10269" max="10271" width="11.625" style="119" customWidth="1"/>
    <col min="10272" max="10272" width="9" style="119"/>
    <col min="10273" max="10275" width="11.625" style="119" customWidth="1"/>
    <col min="10276" max="10276" width="12.875" style="119" customWidth="1"/>
    <col min="10277" max="10277" width="10.5" style="119" customWidth="1"/>
    <col min="10278" max="10281" width="9" style="119" hidden="1" customWidth="1"/>
    <col min="10282" max="10282" width="9" style="119"/>
    <col min="10283" max="10283" width="11.75" style="119" customWidth="1"/>
    <col min="10284" max="10284" width="9" style="119"/>
    <col min="10285" max="10285" width="11.75" style="119" customWidth="1"/>
    <col min="10286" max="10286" width="13.25" style="119" customWidth="1"/>
    <col min="10287" max="10287" width="9" style="119"/>
    <col min="10288" max="10288" width="11.75" style="119" customWidth="1"/>
    <col min="10289" max="10289" width="9" style="119"/>
    <col min="10290" max="10290" width="14.625" style="119" customWidth="1"/>
    <col min="10291" max="10496" width="9" style="119"/>
    <col min="10497" max="10497" width="43.75" style="119" customWidth="1"/>
    <col min="10498" max="10498" width="11" style="119" customWidth="1"/>
    <col min="10499" max="10499" width="13.75" style="119" customWidth="1"/>
    <col min="10500" max="10501" width="11" style="119" customWidth="1"/>
    <col min="10502" max="10502" width="13.75" style="119" customWidth="1"/>
    <col min="10503" max="10503" width="15.75" style="119" customWidth="1"/>
    <col min="10504" max="10504" width="11.25" style="119" customWidth="1"/>
    <col min="10505" max="10505" width="15" style="119" customWidth="1"/>
    <col min="10506" max="10506" width="23" style="119" customWidth="1"/>
    <col min="10507" max="10507" width="15" style="119" customWidth="1"/>
    <col min="10508" max="10508" width="11" style="119" customWidth="1"/>
    <col min="10509" max="10509" width="13.75" style="119" customWidth="1"/>
    <col min="10510" max="10511" width="14" style="119" customWidth="1"/>
    <col min="10512" max="10514" width="13.75" style="119" customWidth="1"/>
    <col min="10515" max="10515" width="18.5" style="119" customWidth="1"/>
    <col min="10516" max="10516" width="14.25" style="119" customWidth="1"/>
    <col min="10517" max="10517" width="14.125" style="119" customWidth="1"/>
    <col min="10518" max="10518" width="9" style="119"/>
    <col min="10519" max="10519" width="9.375" style="119" customWidth="1"/>
    <col min="10520" max="10520" width="9" style="119"/>
    <col min="10521" max="10523" width="11.625" style="119" customWidth="1"/>
    <col min="10524" max="10524" width="9" style="119"/>
    <col min="10525" max="10527" width="11.625" style="119" customWidth="1"/>
    <col min="10528" max="10528" width="9" style="119"/>
    <col min="10529" max="10531" width="11.625" style="119" customWidth="1"/>
    <col min="10532" max="10532" width="12.875" style="119" customWidth="1"/>
    <col min="10533" max="10533" width="10.5" style="119" customWidth="1"/>
    <col min="10534" max="10537" width="9" style="119" hidden="1" customWidth="1"/>
    <col min="10538" max="10538" width="9" style="119"/>
    <col min="10539" max="10539" width="11.75" style="119" customWidth="1"/>
    <col min="10540" max="10540" width="9" style="119"/>
    <col min="10541" max="10541" width="11.75" style="119" customWidth="1"/>
    <col min="10542" max="10542" width="13.25" style="119" customWidth="1"/>
    <col min="10543" max="10543" width="9" style="119"/>
    <col min="10544" max="10544" width="11.75" style="119" customWidth="1"/>
    <col min="10545" max="10545" width="9" style="119"/>
    <col min="10546" max="10546" width="14.625" style="119" customWidth="1"/>
    <col min="10547" max="10752" width="9" style="119"/>
    <col min="10753" max="10753" width="43.75" style="119" customWidth="1"/>
    <col min="10754" max="10754" width="11" style="119" customWidth="1"/>
    <col min="10755" max="10755" width="13.75" style="119" customWidth="1"/>
    <col min="10756" max="10757" width="11" style="119" customWidth="1"/>
    <col min="10758" max="10758" width="13.75" style="119" customWidth="1"/>
    <col min="10759" max="10759" width="15.75" style="119" customWidth="1"/>
    <col min="10760" max="10760" width="11.25" style="119" customWidth="1"/>
    <col min="10761" max="10761" width="15" style="119" customWidth="1"/>
    <col min="10762" max="10762" width="23" style="119" customWidth="1"/>
    <col min="10763" max="10763" width="15" style="119" customWidth="1"/>
    <col min="10764" max="10764" width="11" style="119" customWidth="1"/>
    <col min="10765" max="10765" width="13.75" style="119" customWidth="1"/>
    <col min="10766" max="10767" width="14" style="119" customWidth="1"/>
    <col min="10768" max="10770" width="13.75" style="119" customWidth="1"/>
    <col min="10771" max="10771" width="18.5" style="119" customWidth="1"/>
    <col min="10772" max="10772" width="14.25" style="119" customWidth="1"/>
    <col min="10773" max="10773" width="14.125" style="119" customWidth="1"/>
    <col min="10774" max="10774" width="9" style="119"/>
    <col min="10775" max="10775" width="9.375" style="119" customWidth="1"/>
    <col min="10776" max="10776" width="9" style="119"/>
    <col min="10777" max="10779" width="11.625" style="119" customWidth="1"/>
    <col min="10780" max="10780" width="9" style="119"/>
    <col min="10781" max="10783" width="11.625" style="119" customWidth="1"/>
    <col min="10784" max="10784" width="9" style="119"/>
    <col min="10785" max="10787" width="11.625" style="119" customWidth="1"/>
    <col min="10788" max="10788" width="12.875" style="119" customWidth="1"/>
    <col min="10789" max="10789" width="10.5" style="119" customWidth="1"/>
    <col min="10790" max="10793" width="9" style="119" hidden="1" customWidth="1"/>
    <col min="10794" max="10794" width="9" style="119"/>
    <col min="10795" max="10795" width="11.75" style="119" customWidth="1"/>
    <col min="10796" max="10796" width="9" style="119"/>
    <col min="10797" max="10797" width="11.75" style="119" customWidth="1"/>
    <col min="10798" max="10798" width="13.25" style="119" customWidth="1"/>
    <col min="10799" max="10799" width="9" style="119"/>
    <col min="10800" max="10800" width="11.75" style="119" customWidth="1"/>
    <col min="10801" max="10801" width="9" style="119"/>
    <col min="10802" max="10802" width="14.625" style="119" customWidth="1"/>
    <col min="10803" max="11008" width="9" style="119"/>
    <col min="11009" max="11009" width="43.75" style="119" customWidth="1"/>
    <col min="11010" max="11010" width="11" style="119" customWidth="1"/>
    <col min="11011" max="11011" width="13.75" style="119" customWidth="1"/>
    <col min="11012" max="11013" width="11" style="119" customWidth="1"/>
    <col min="11014" max="11014" width="13.75" style="119" customWidth="1"/>
    <col min="11015" max="11015" width="15.75" style="119" customWidth="1"/>
    <col min="11016" max="11016" width="11.25" style="119" customWidth="1"/>
    <col min="11017" max="11017" width="15" style="119" customWidth="1"/>
    <col min="11018" max="11018" width="23" style="119" customWidth="1"/>
    <col min="11019" max="11019" width="15" style="119" customWidth="1"/>
    <col min="11020" max="11020" width="11" style="119" customWidth="1"/>
    <col min="11021" max="11021" width="13.75" style="119" customWidth="1"/>
    <col min="11022" max="11023" width="14" style="119" customWidth="1"/>
    <col min="11024" max="11026" width="13.75" style="119" customWidth="1"/>
    <col min="11027" max="11027" width="18.5" style="119" customWidth="1"/>
    <col min="11028" max="11028" width="14.25" style="119" customWidth="1"/>
    <col min="11029" max="11029" width="14.125" style="119" customWidth="1"/>
    <col min="11030" max="11030" width="9" style="119"/>
    <col min="11031" max="11031" width="9.375" style="119" customWidth="1"/>
    <col min="11032" max="11032" width="9" style="119"/>
    <col min="11033" max="11035" width="11.625" style="119" customWidth="1"/>
    <col min="11036" max="11036" width="9" style="119"/>
    <col min="11037" max="11039" width="11.625" style="119" customWidth="1"/>
    <col min="11040" max="11040" width="9" style="119"/>
    <col min="11041" max="11043" width="11.625" style="119" customWidth="1"/>
    <col min="11044" max="11044" width="12.875" style="119" customWidth="1"/>
    <col min="11045" max="11045" width="10.5" style="119" customWidth="1"/>
    <col min="11046" max="11049" width="9" style="119" hidden="1" customWidth="1"/>
    <col min="11050" max="11050" width="9" style="119"/>
    <col min="11051" max="11051" width="11.75" style="119" customWidth="1"/>
    <col min="11052" max="11052" width="9" style="119"/>
    <col min="11053" max="11053" width="11.75" style="119" customWidth="1"/>
    <col min="11054" max="11054" width="13.25" style="119" customWidth="1"/>
    <col min="11055" max="11055" width="9" style="119"/>
    <col min="11056" max="11056" width="11.75" style="119" customWidth="1"/>
    <col min="11057" max="11057" width="9" style="119"/>
    <col min="11058" max="11058" width="14.625" style="119" customWidth="1"/>
    <col min="11059" max="11264" width="9" style="119"/>
    <col min="11265" max="11265" width="43.75" style="119" customWidth="1"/>
    <col min="11266" max="11266" width="11" style="119" customWidth="1"/>
    <col min="11267" max="11267" width="13.75" style="119" customWidth="1"/>
    <col min="11268" max="11269" width="11" style="119" customWidth="1"/>
    <col min="11270" max="11270" width="13.75" style="119" customWidth="1"/>
    <col min="11271" max="11271" width="15.75" style="119" customWidth="1"/>
    <col min="11272" max="11272" width="11.25" style="119" customWidth="1"/>
    <col min="11273" max="11273" width="15" style="119" customWidth="1"/>
    <col min="11274" max="11274" width="23" style="119" customWidth="1"/>
    <col min="11275" max="11275" width="15" style="119" customWidth="1"/>
    <col min="11276" max="11276" width="11" style="119" customWidth="1"/>
    <col min="11277" max="11277" width="13.75" style="119" customWidth="1"/>
    <col min="11278" max="11279" width="14" style="119" customWidth="1"/>
    <col min="11280" max="11282" width="13.75" style="119" customWidth="1"/>
    <col min="11283" max="11283" width="18.5" style="119" customWidth="1"/>
    <col min="11284" max="11284" width="14.25" style="119" customWidth="1"/>
    <col min="11285" max="11285" width="14.125" style="119" customWidth="1"/>
    <col min="11286" max="11286" width="9" style="119"/>
    <col min="11287" max="11287" width="9.375" style="119" customWidth="1"/>
    <col min="11288" max="11288" width="9" style="119"/>
    <col min="11289" max="11291" width="11.625" style="119" customWidth="1"/>
    <col min="11292" max="11292" width="9" style="119"/>
    <col min="11293" max="11295" width="11.625" style="119" customWidth="1"/>
    <col min="11296" max="11296" width="9" style="119"/>
    <col min="11297" max="11299" width="11.625" style="119" customWidth="1"/>
    <col min="11300" max="11300" width="12.875" style="119" customWidth="1"/>
    <col min="11301" max="11301" width="10.5" style="119" customWidth="1"/>
    <col min="11302" max="11305" width="9" style="119" hidden="1" customWidth="1"/>
    <col min="11306" max="11306" width="9" style="119"/>
    <col min="11307" max="11307" width="11.75" style="119" customWidth="1"/>
    <col min="11308" max="11308" width="9" style="119"/>
    <col min="11309" max="11309" width="11.75" style="119" customWidth="1"/>
    <col min="11310" max="11310" width="13.25" style="119" customWidth="1"/>
    <col min="11311" max="11311" width="9" style="119"/>
    <col min="11312" max="11312" width="11.75" style="119" customWidth="1"/>
    <col min="11313" max="11313" width="9" style="119"/>
    <col min="11314" max="11314" width="14.625" style="119" customWidth="1"/>
    <col min="11315" max="11520" width="9" style="119"/>
    <col min="11521" max="11521" width="43.75" style="119" customWidth="1"/>
    <col min="11522" max="11522" width="11" style="119" customWidth="1"/>
    <col min="11523" max="11523" width="13.75" style="119" customWidth="1"/>
    <col min="11524" max="11525" width="11" style="119" customWidth="1"/>
    <col min="11526" max="11526" width="13.75" style="119" customWidth="1"/>
    <col min="11527" max="11527" width="15.75" style="119" customWidth="1"/>
    <col min="11528" max="11528" width="11.25" style="119" customWidth="1"/>
    <col min="11529" max="11529" width="15" style="119" customWidth="1"/>
    <col min="11530" max="11530" width="23" style="119" customWidth="1"/>
    <col min="11531" max="11531" width="15" style="119" customWidth="1"/>
    <col min="11532" max="11532" width="11" style="119" customWidth="1"/>
    <col min="11533" max="11533" width="13.75" style="119" customWidth="1"/>
    <col min="11534" max="11535" width="14" style="119" customWidth="1"/>
    <col min="11536" max="11538" width="13.75" style="119" customWidth="1"/>
    <col min="11539" max="11539" width="18.5" style="119" customWidth="1"/>
    <col min="11540" max="11540" width="14.25" style="119" customWidth="1"/>
    <col min="11541" max="11541" width="14.125" style="119" customWidth="1"/>
    <col min="11542" max="11542" width="9" style="119"/>
    <col min="11543" max="11543" width="9.375" style="119" customWidth="1"/>
    <col min="11544" max="11544" width="9" style="119"/>
    <col min="11545" max="11547" width="11.625" style="119" customWidth="1"/>
    <col min="11548" max="11548" width="9" style="119"/>
    <col min="11549" max="11551" width="11.625" style="119" customWidth="1"/>
    <col min="11552" max="11552" width="9" style="119"/>
    <col min="11553" max="11555" width="11.625" style="119" customWidth="1"/>
    <col min="11556" max="11556" width="12.875" style="119" customWidth="1"/>
    <col min="11557" max="11557" width="10.5" style="119" customWidth="1"/>
    <col min="11558" max="11561" width="9" style="119" hidden="1" customWidth="1"/>
    <col min="11562" max="11562" width="9" style="119"/>
    <col min="11563" max="11563" width="11.75" style="119" customWidth="1"/>
    <col min="11564" max="11564" width="9" style="119"/>
    <col min="11565" max="11565" width="11.75" style="119" customWidth="1"/>
    <col min="11566" max="11566" width="13.25" style="119" customWidth="1"/>
    <col min="11567" max="11567" width="9" style="119"/>
    <col min="11568" max="11568" width="11.75" style="119" customWidth="1"/>
    <col min="11569" max="11569" width="9" style="119"/>
    <col min="11570" max="11570" width="14.625" style="119" customWidth="1"/>
    <col min="11571" max="11776" width="9" style="119"/>
    <col min="11777" max="11777" width="43.75" style="119" customWidth="1"/>
    <col min="11778" max="11778" width="11" style="119" customWidth="1"/>
    <col min="11779" max="11779" width="13.75" style="119" customWidth="1"/>
    <col min="11780" max="11781" width="11" style="119" customWidth="1"/>
    <col min="11782" max="11782" width="13.75" style="119" customWidth="1"/>
    <col min="11783" max="11783" width="15.75" style="119" customWidth="1"/>
    <col min="11784" max="11784" width="11.25" style="119" customWidth="1"/>
    <col min="11785" max="11785" width="15" style="119" customWidth="1"/>
    <col min="11786" max="11786" width="23" style="119" customWidth="1"/>
    <col min="11787" max="11787" width="15" style="119" customWidth="1"/>
    <col min="11788" max="11788" width="11" style="119" customWidth="1"/>
    <col min="11789" max="11789" width="13.75" style="119" customWidth="1"/>
    <col min="11790" max="11791" width="14" style="119" customWidth="1"/>
    <col min="11792" max="11794" width="13.75" style="119" customWidth="1"/>
    <col min="11795" max="11795" width="18.5" style="119" customWidth="1"/>
    <col min="11796" max="11796" width="14.25" style="119" customWidth="1"/>
    <col min="11797" max="11797" width="14.125" style="119" customWidth="1"/>
    <col min="11798" max="11798" width="9" style="119"/>
    <col min="11799" max="11799" width="9.375" style="119" customWidth="1"/>
    <col min="11800" max="11800" width="9" style="119"/>
    <col min="11801" max="11803" width="11.625" style="119" customWidth="1"/>
    <col min="11804" max="11804" width="9" style="119"/>
    <col min="11805" max="11807" width="11.625" style="119" customWidth="1"/>
    <col min="11808" max="11808" width="9" style="119"/>
    <col min="11809" max="11811" width="11.625" style="119" customWidth="1"/>
    <col min="11812" max="11812" width="12.875" style="119" customWidth="1"/>
    <col min="11813" max="11813" width="10.5" style="119" customWidth="1"/>
    <col min="11814" max="11817" width="9" style="119" hidden="1" customWidth="1"/>
    <col min="11818" max="11818" width="9" style="119"/>
    <col min="11819" max="11819" width="11.75" style="119" customWidth="1"/>
    <col min="11820" max="11820" width="9" style="119"/>
    <col min="11821" max="11821" width="11.75" style="119" customWidth="1"/>
    <col min="11822" max="11822" width="13.25" style="119" customWidth="1"/>
    <col min="11823" max="11823" width="9" style="119"/>
    <col min="11824" max="11824" width="11.75" style="119" customWidth="1"/>
    <col min="11825" max="11825" width="9" style="119"/>
    <col min="11826" max="11826" width="14.625" style="119" customWidth="1"/>
    <col min="11827" max="12032" width="9" style="119"/>
    <col min="12033" max="12033" width="43.75" style="119" customWidth="1"/>
    <col min="12034" max="12034" width="11" style="119" customWidth="1"/>
    <col min="12035" max="12035" width="13.75" style="119" customWidth="1"/>
    <col min="12036" max="12037" width="11" style="119" customWidth="1"/>
    <col min="12038" max="12038" width="13.75" style="119" customWidth="1"/>
    <col min="12039" max="12039" width="15.75" style="119" customWidth="1"/>
    <col min="12040" max="12040" width="11.25" style="119" customWidth="1"/>
    <col min="12041" max="12041" width="15" style="119" customWidth="1"/>
    <col min="12042" max="12042" width="23" style="119" customWidth="1"/>
    <col min="12043" max="12043" width="15" style="119" customWidth="1"/>
    <col min="12044" max="12044" width="11" style="119" customWidth="1"/>
    <col min="12045" max="12045" width="13.75" style="119" customWidth="1"/>
    <col min="12046" max="12047" width="14" style="119" customWidth="1"/>
    <col min="12048" max="12050" width="13.75" style="119" customWidth="1"/>
    <col min="12051" max="12051" width="18.5" style="119" customWidth="1"/>
    <col min="12052" max="12052" width="14.25" style="119" customWidth="1"/>
    <col min="12053" max="12053" width="14.125" style="119" customWidth="1"/>
    <col min="12054" max="12054" width="9" style="119"/>
    <col min="12055" max="12055" width="9.375" style="119" customWidth="1"/>
    <col min="12056" max="12056" width="9" style="119"/>
    <col min="12057" max="12059" width="11.625" style="119" customWidth="1"/>
    <col min="12060" max="12060" width="9" style="119"/>
    <col min="12061" max="12063" width="11.625" style="119" customWidth="1"/>
    <col min="12064" max="12064" width="9" style="119"/>
    <col min="12065" max="12067" width="11.625" style="119" customWidth="1"/>
    <col min="12068" max="12068" width="12.875" style="119" customWidth="1"/>
    <col min="12069" max="12069" width="10.5" style="119" customWidth="1"/>
    <col min="12070" max="12073" width="9" style="119" hidden="1" customWidth="1"/>
    <col min="12074" max="12074" width="9" style="119"/>
    <col min="12075" max="12075" width="11.75" style="119" customWidth="1"/>
    <col min="12076" max="12076" width="9" style="119"/>
    <col min="12077" max="12077" width="11.75" style="119" customWidth="1"/>
    <col min="12078" max="12078" width="13.25" style="119" customWidth="1"/>
    <col min="12079" max="12079" width="9" style="119"/>
    <col min="12080" max="12080" width="11.75" style="119" customWidth="1"/>
    <col min="12081" max="12081" width="9" style="119"/>
    <col min="12082" max="12082" width="14.625" style="119" customWidth="1"/>
    <col min="12083" max="12288" width="9" style="119"/>
    <col min="12289" max="12289" width="43.75" style="119" customWidth="1"/>
    <col min="12290" max="12290" width="11" style="119" customWidth="1"/>
    <col min="12291" max="12291" width="13.75" style="119" customWidth="1"/>
    <col min="12292" max="12293" width="11" style="119" customWidth="1"/>
    <col min="12294" max="12294" width="13.75" style="119" customWidth="1"/>
    <col min="12295" max="12295" width="15.75" style="119" customWidth="1"/>
    <col min="12296" max="12296" width="11.25" style="119" customWidth="1"/>
    <col min="12297" max="12297" width="15" style="119" customWidth="1"/>
    <col min="12298" max="12298" width="23" style="119" customWidth="1"/>
    <col min="12299" max="12299" width="15" style="119" customWidth="1"/>
    <col min="12300" max="12300" width="11" style="119" customWidth="1"/>
    <col min="12301" max="12301" width="13.75" style="119" customWidth="1"/>
    <col min="12302" max="12303" width="14" style="119" customWidth="1"/>
    <col min="12304" max="12306" width="13.75" style="119" customWidth="1"/>
    <col min="12307" max="12307" width="18.5" style="119" customWidth="1"/>
    <col min="12308" max="12308" width="14.25" style="119" customWidth="1"/>
    <col min="12309" max="12309" width="14.125" style="119" customWidth="1"/>
    <col min="12310" max="12310" width="9" style="119"/>
    <col min="12311" max="12311" width="9.375" style="119" customWidth="1"/>
    <col min="12312" max="12312" width="9" style="119"/>
    <col min="12313" max="12315" width="11.625" style="119" customWidth="1"/>
    <col min="12316" max="12316" width="9" style="119"/>
    <col min="12317" max="12319" width="11.625" style="119" customWidth="1"/>
    <col min="12320" max="12320" width="9" style="119"/>
    <col min="12321" max="12323" width="11.625" style="119" customWidth="1"/>
    <col min="12324" max="12324" width="12.875" style="119" customWidth="1"/>
    <col min="12325" max="12325" width="10.5" style="119" customWidth="1"/>
    <col min="12326" max="12329" width="9" style="119" hidden="1" customWidth="1"/>
    <col min="12330" max="12330" width="9" style="119"/>
    <col min="12331" max="12331" width="11.75" style="119" customWidth="1"/>
    <col min="12332" max="12332" width="9" style="119"/>
    <col min="12333" max="12333" width="11.75" style="119" customWidth="1"/>
    <col min="12334" max="12334" width="13.25" style="119" customWidth="1"/>
    <col min="12335" max="12335" width="9" style="119"/>
    <col min="12336" max="12336" width="11.75" style="119" customWidth="1"/>
    <col min="12337" max="12337" width="9" style="119"/>
    <col min="12338" max="12338" width="14.625" style="119" customWidth="1"/>
    <col min="12339" max="12544" width="9" style="119"/>
    <col min="12545" max="12545" width="43.75" style="119" customWidth="1"/>
    <col min="12546" max="12546" width="11" style="119" customWidth="1"/>
    <col min="12547" max="12547" width="13.75" style="119" customWidth="1"/>
    <col min="12548" max="12549" width="11" style="119" customWidth="1"/>
    <col min="12550" max="12550" width="13.75" style="119" customWidth="1"/>
    <col min="12551" max="12551" width="15.75" style="119" customWidth="1"/>
    <col min="12552" max="12552" width="11.25" style="119" customWidth="1"/>
    <col min="12553" max="12553" width="15" style="119" customWidth="1"/>
    <col min="12554" max="12554" width="23" style="119" customWidth="1"/>
    <col min="12555" max="12555" width="15" style="119" customWidth="1"/>
    <col min="12556" max="12556" width="11" style="119" customWidth="1"/>
    <col min="12557" max="12557" width="13.75" style="119" customWidth="1"/>
    <col min="12558" max="12559" width="14" style="119" customWidth="1"/>
    <col min="12560" max="12562" width="13.75" style="119" customWidth="1"/>
    <col min="12563" max="12563" width="18.5" style="119" customWidth="1"/>
    <col min="12564" max="12564" width="14.25" style="119" customWidth="1"/>
    <col min="12565" max="12565" width="14.125" style="119" customWidth="1"/>
    <col min="12566" max="12566" width="9" style="119"/>
    <col min="12567" max="12567" width="9.375" style="119" customWidth="1"/>
    <col min="12568" max="12568" width="9" style="119"/>
    <col min="12569" max="12571" width="11.625" style="119" customWidth="1"/>
    <col min="12572" max="12572" width="9" style="119"/>
    <col min="12573" max="12575" width="11.625" style="119" customWidth="1"/>
    <col min="12576" max="12576" width="9" style="119"/>
    <col min="12577" max="12579" width="11.625" style="119" customWidth="1"/>
    <col min="12580" max="12580" width="12.875" style="119" customWidth="1"/>
    <col min="12581" max="12581" width="10.5" style="119" customWidth="1"/>
    <col min="12582" max="12585" width="9" style="119" hidden="1" customWidth="1"/>
    <col min="12586" max="12586" width="9" style="119"/>
    <col min="12587" max="12587" width="11.75" style="119" customWidth="1"/>
    <col min="12588" max="12588" width="9" style="119"/>
    <col min="12589" max="12589" width="11.75" style="119" customWidth="1"/>
    <col min="12590" max="12590" width="13.25" style="119" customWidth="1"/>
    <col min="12591" max="12591" width="9" style="119"/>
    <col min="12592" max="12592" width="11.75" style="119" customWidth="1"/>
    <col min="12593" max="12593" width="9" style="119"/>
    <col min="12594" max="12594" width="14.625" style="119" customWidth="1"/>
    <col min="12595" max="12800" width="9" style="119"/>
    <col min="12801" max="12801" width="43.75" style="119" customWidth="1"/>
    <col min="12802" max="12802" width="11" style="119" customWidth="1"/>
    <col min="12803" max="12803" width="13.75" style="119" customWidth="1"/>
    <col min="12804" max="12805" width="11" style="119" customWidth="1"/>
    <col min="12806" max="12806" width="13.75" style="119" customWidth="1"/>
    <col min="12807" max="12807" width="15.75" style="119" customWidth="1"/>
    <col min="12808" max="12808" width="11.25" style="119" customWidth="1"/>
    <col min="12809" max="12809" width="15" style="119" customWidth="1"/>
    <col min="12810" max="12810" width="23" style="119" customWidth="1"/>
    <col min="12811" max="12811" width="15" style="119" customWidth="1"/>
    <col min="12812" max="12812" width="11" style="119" customWidth="1"/>
    <col min="12813" max="12813" width="13.75" style="119" customWidth="1"/>
    <col min="12814" max="12815" width="14" style="119" customWidth="1"/>
    <col min="12816" max="12818" width="13.75" style="119" customWidth="1"/>
    <col min="12819" max="12819" width="18.5" style="119" customWidth="1"/>
    <col min="12820" max="12820" width="14.25" style="119" customWidth="1"/>
    <col min="12821" max="12821" width="14.125" style="119" customWidth="1"/>
    <col min="12822" max="12822" width="9" style="119"/>
    <col min="12823" max="12823" width="9.375" style="119" customWidth="1"/>
    <col min="12824" max="12824" width="9" style="119"/>
    <col min="12825" max="12827" width="11.625" style="119" customWidth="1"/>
    <col min="12828" max="12828" width="9" style="119"/>
    <col min="12829" max="12831" width="11.625" style="119" customWidth="1"/>
    <col min="12832" max="12832" width="9" style="119"/>
    <col min="12833" max="12835" width="11.625" style="119" customWidth="1"/>
    <col min="12836" max="12836" width="12.875" style="119" customWidth="1"/>
    <col min="12837" max="12837" width="10.5" style="119" customWidth="1"/>
    <col min="12838" max="12841" width="9" style="119" hidden="1" customWidth="1"/>
    <col min="12842" max="12842" width="9" style="119"/>
    <col min="12843" max="12843" width="11.75" style="119" customWidth="1"/>
    <col min="12844" max="12844" width="9" style="119"/>
    <col min="12845" max="12845" width="11.75" style="119" customWidth="1"/>
    <col min="12846" max="12846" width="13.25" style="119" customWidth="1"/>
    <col min="12847" max="12847" width="9" style="119"/>
    <col min="12848" max="12848" width="11.75" style="119" customWidth="1"/>
    <col min="12849" max="12849" width="9" style="119"/>
    <col min="12850" max="12850" width="14.625" style="119" customWidth="1"/>
    <col min="12851" max="13056" width="9" style="119"/>
    <col min="13057" max="13057" width="43.75" style="119" customWidth="1"/>
    <col min="13058" max="13058" width="11" style="119" customWidth="1"/>
    <col min="13059" max="13059" width="13.75" style="119" customWidth="1"/>
    <col min="13060" max="13061" width="11" style="119" customWidth="1"/>
    <col min="13062" max="13062" width="13.75" style="119" customWidth="1"/>
    <col min="13063" max="13063" width="15.75" style="119" customWidth="1"/>
    <col min="13064" max="13064" width="11.25" style="119" customWidth="1"/>
    <col min="13065" max="13065" width="15" style="119" customWidth="1"/>
    <col min="13066" max="13066" width="23" style="119" customWidth="1"/>
    <col min="13067" max="13067" width="15" style="119" customWidth="1"/>
    <col min="13068" max="13068" width="11" style="119" customWidth="1"/>
    <col min="13069" max="13069" width="13.75" style="119" customWidth="1"/>
    <col min="13070" max="13071" width="14" style="119" customWidth="1"/>
    <col min="13072" max="13074" width="13.75" style="119" customWidth="1"/>
    <col min="13075" max="13075" width="18.5" style="119" customWidth="1"/>
    <col min="13076" max="13076" width="14.25" style="119" customWidth="1"/>
    <col min="13077" max="13077" width="14.125" style="119" customWidth="1"/>
    <col min="13078" max="13078" width="9" style="119"/>
    <col min="13079" max="13079" width="9.375" style="119" customWidth="1"/>
    <col min="13080" max="13080" width="9" style="119"/>
    <col min="13081" max="13083" width="11.625" style="119" customWidth="1"/>
    <col min="13084" max="13084" width="9" style="119"/>
    <col min="13085" max="13087" width="11.625" style="119" customWidth="1"/>
    <col min="13088" max="13088" width="9" style="119"/>
    <col min="13089" max="13091" width="11.625" style="119" customWidth="1"/>
    <col min="13092" max="13092" width="12.875" style="119" customWidth="1"/>
    <col min="13093" max="13093" width="10.5" style="119" customWidth="1"/>
    <col min="13094" max="13097" width="9" style="119" hidden="1" customWidth="1"/>
    <col min="13098" max="13098" width="9" style="119"/>
    <col min="13099" max="13099" width="11.75" style="119" customWidth="1"/>
    <col min="13100" max="13100" width="9" style="119"/>
    <col min="13101" max="13101" width="11.75" style="119" customWidth="1"/>
    <col min="13102" max="13102" width="13.25" style="119" customWidth="1"/>
    <col min="13103" max="13103" width="9" style="119"/>
    <col min="13104" max="13104" width="11.75" style="119" customWidth="1"/>
    <col min="13105" max="13105" width="9" style="119"/>
    <col min="13106" max="13106" width="14.625" style="119" customWidth="1"/>
    <col min="13107" max="13312" width="9" style="119"/>
    <col min="13313" max="13313" width="43.75" style="119" customWidth="1"/>
    <col min="13314" max="13314" width="11" style="119" customWidth="1"/>
    <col min="13315" max="13315" width="13.75" style="119" customWidth="1"/>
    <col min="13316" max="13317" width="11" style="119" customWidth="1"/>
    <col min="13318" max="13318" width="13.75" style="119" customWidth="1"/>
    <col min="13319" max="13319" width="15.75" style="119" customWidth="1"/>
    <col min="13320" max="13320" width="11.25" style="119" customWidth="1"/>
    <col min="13321" max="13321" width="15" style="119" customWidth="1"/>
    <col min="13322" max="13322" width="23" style="119" customWidth="1"/>
    <col min="13323" max="13323" width="15" style="119" customWidth="1"/>
    <col min="13324" max="13324" width="11" style="119" customWidth="1"/>
    <col min="13325" max="13325" width="13.75" style="119" customWidth="1"/>
    <col min="13326" max="13327" width="14" style="119" customWidth="1"/>
    <col min="13328" max="13330" width="13.75" style="119" customWidth="1"/>
    <col min="13331" max="13331" width="18.5" style="119" customWidth="1"/>
    <col min="13332" max="13332" width="14.25" style="119" customWidth="1"/>
    <col min="13333" max="13333" width="14.125" style="119" customWidth="1"/>
    <col min="13334" max="13334" width="9" style="119"/>
    <col min="13335" max="13335" width="9.375" style="119" customWidth="1"/>
    <col min="13336" max="13336" width="9" style="119"/>
    <col min="13337" max="13339" width="11.625" style="119" customWidth="1"/>
    <col min="13340" max="13340" width="9" style="119"/>
    <col min="13341" max="13343" width="11.625" style="119" customWidth="1"/>
    <col min="13344" max="13344" width="9" style="119"/>
    <col min="13345" max="13347" width="11.625" style="119" customWidth="1"/>
    <col min="13348" max="13348" width="12.875" style="119" customWidth="1"/>
    <col min="13349" max="13349" width="10.5" style="119" customWidth="1"/>
    <col min="13350" max="13353" width="9" style="119" hidden="1" customWidth="1"/>
    <col min="13354" max="13354" width="9" style="119"/>
    <col min="13355" max="13355" width="11.75" style="119" customWidth="1"/>
    <col min="13356" max="13356" width="9" style="119"/>
    <col min="13357" max="13357" width="11.75" style="119" customWidth="1"/>
    <col min="13358" max="13358" width="13.25" style="119" customWidth="1"/>
    <col min="13359" max="13359" width="9" style="119"/>
    <col min="13360" max="13360" width="11.75" style="119" customWidth="1"/>
    <col min="13361" max="13361" width="9" style="119"/>
    <col min="13362" max="13362" width="14.625" style="119" customWidth="1"/>
    <col min="13363" max="13568" width="9" style="119"/>
    <col min="13569" max="13569" width="43.75" style="119" customWidth="1"/>
    <col min="13570" max="13570" width="11" style="119" customWidth="1"/>
    <col min="13571" max="13571" width="13.75" style="119" customWidth="1"/>
    <col min="13572" max="13573" width="11" style="119" customWidth="1"/>
    <col min="13574" max="13574" width="13.75" style="119" customWidth="1"/>
    <col min="13575" max="13575" width="15.75" style="119" customWidth="1"/>
    <col min="13576" max="13576" width="11.25" style="119" customWidth="1"/>
    <col min="13577" max="13577" width="15" style="119" customWidth="1"/>
    <col min="13578" max="13578" width="23" style="119" customWidth="1"/>
    <col min="13579" max="13579" width="15" style="119" customWidth="1"/>
    <col min="13580" max="13580" width="11" style="119" customWidth="1"/>
    <col min="13581" max="13581" width="13.75" style="119" customWidth="1"/>
    <col min="13582" max="13583" width="14" style="119" customWidth="1"/>
    <col min="13584" max="13586" width="13.75" style="119" customWidth="1"/>
    <col min="13587" max="13587" width="18.5" style="119" customWidth="1"/>
    <col min="13588" max="13588" width="14.25" style="119" customWidth="1"/>
    <col min="13589" max="13589" width="14.125" style="119" customWidth="1"/>
    <col min="13590" max="13590" width="9" style="119"/>
    <col min="13591" max="13591" width="9.375" style="119" customWidth="1"/>
    <col min="13592" max="13592" width="9" style="119"/>
    <col min="13593" max="13595" width="11.625" style="119" customWidth="1"/>
    <col min="13596" max="13596" width="9" style="119"/>
    <col min="13597" max="13599" width="11.625" style="119" customWidth="1"/>
    <col min="13600" max="13600" width="9" style="119"/>
    <col min="13601" max="13603" width="11.625" style="119" customWidth="1"/>
    <col min="13604" max="13604" width="12.875" style="119" customWidth="1"/>
    <col min="13605" max="13605" width="10.5" style="119" customWidth="1"/>
    <col min="13606" max="13609" width="9" style="119" hidden="1" customWidth="1"/>
    <col min="13610" max="13610" width="9" style="119"/>
    <col min="13611" max="13611" width="11.75" style="119" customWidth="1"/>
    <col min="13612" max="13612" width="9" style="119"/>
    <col min="13613" max="13613" width="11.75" style="119" customWidth="1"/>
    <col min="13614" max="13614" width="13.25" style="119" customWidth="1"/>
    <col min="13615" max="13615" width="9" style="119"/>
    <col min="13616" max="13616" width="11.75" style="119" customWidth="1"/>
    <col min="13617" max="13617" width="9" style="119"/>
    <col min="13618" max="13618" width="14.625" style="119" customWidth="1"/>
    <col min="13619" max="13824" width="9" style="119"/>
    <col min="13825" max="13825" width="43.75" style="119" customWidth="1"/>
    <col min="13826" max="13826" width="11" style="119" customWidth="1"/>
    <col min="13827" max="13827" width="13.75" style="119" customWidth="1"/>
    <col min="13828" max="13829" width="11" style="119" customWidth="1"/>
    <col min="13830" max="13830" width="13.75" style="119" customWidth="1"/>
    <col min="13831" max="13831" width="15.75" style="119" customWidth="1"/>
    <col min="13832" max="13832" width="11.25" style="119" customWidth="1"/>
    <col min="13833" max="13833" width="15" style="119" customWidth="1"/>
    <col min="13834" max="13834" width="23" style="119" customWidth="1"/>
    <col min="13835" max="13835" width="15" style="119" customWidth="1"/>
    <col min="13836" max="13836" width="11" style="119" customWidth="1"/>
    <col min="13837" max="13837" width="13.75" style="119" customWidth="1"/>
    <col min="13838" max="13839" width="14" style="119" customWidth="1"/>
    <col min="13840" max="13842" width="13.75" style="119" customWidth="1"/>
    <col min="13843" max="13843" width="18.5" style="119" customWidth="1"/>
    <col min="13844" max="13844" width="14.25" style="119" customWidth="1"/>
    <col min="13845" max="13845" width="14.125" style="119" customWidth="1"/>
    <col min="13846" max="13846" width="9" style="119"/>
    <col min="13847" max="13847" width="9.375" style="119" customWidth="1"/>
    <col min="13848" max="13848" width="9" style="119"/>
    <col min="13849" max="13851" width="11.625" style="119" customWidth="1"/>
    <col min="13852" max="13852" width="9" style="119"/>
    <col min="13853" max="13855" width="11.625" style="119" customWidth="1"/>
    <col min="13856" max="13856" width="9" style="119"/>
    <col min="13857" max="13859" width="11.625" style="119" customWidth="1"/>
    <col min="13860" max="13860" width="12.875" style="119" customWidth="1"/>
    <col min="13861" max="13861" width="10.5" style="119" customWidth="1"/>
    <col min="13862" max="13865" width="9" style="119" hidden="1" customWidth="1"/>
    <col min="13866" max="13866" width="9" style="119"/>
    <col min="13867" max="13867" width="11.75" style="119" customWidth="1"/>
    <col min="13868" max="13868" width="9" style="119"/>
    <col min="13869" max="13869" width="11.75" style="119" customWidth="1"/>
    <col min="13870" max="13870" width="13.25" style="119" customWidth="1"/>
    <col min="13871" max="13871" width="9" style="119"/>
    <col min="13872" max="13872" width="11.75" style="119" customWidth="1"/>
    <col min="13873" max="13873" width="9" style="119"/>
    <col min="13874" max="13874" width="14.625" style="119" customWidth="1"/>
    <col min="13875" max="14080" width="9" style="119"/>
    <col min="14081" max="14081" width="43.75" style="119" customWidth="1"/>
    <col min="14082" max="14082" width="11" style="119" customWidth="1"/>
    <col min="14083" max="14083" width="13.75" style="119" customWidth="1"/>
    <col min="14084" max="14085" width="11" style="119" customWidth="1"/>
    <col min="14086" max="14086" width="13.75" style="119" customWidth="1"/>
    <col min="14087" max="14087" width="15.75" style="119" customWidth="1"/>
    <col min="14088" max="14088" width="11.25" style="119" customWidth="1"/>
    <col min="14089" max="14089" width="15" style="119" customWidth="1"/>
    <col min="14090" max="14090" width="23" style="119" customWidth="1"/>
    <col min="14091" max="14091" width="15" style="119" customWidth="1"/>
    <col min="14092" max="14092" width="11" style="119" customWidth="1"/>
    <col min="14093" max="14093" width="13.75" style="119" customWidth="1"/>
    <col min="14094" max="14095" width="14" style="119" customWidth="1"/>
    <col min="14096" max="14098" width="13.75" style="119" customWidth="1"/>
    <col min="14099" max="14099" width="18.5" style="119" customWidth="1"/>
    <col min="14100" max="14100" width="14.25" style="119" customWidth="1"/>
    <col min="14101" max="14101" width="14.125" style="119" customWidth="1"/>
    <col min="14102" max="14102" width="9" style="119"/>
    <col min="14103" max="14103" width="9.375" style="119" customWidth="1"/>
    <col min="14104" max="14104" width="9" style="119"/>
    <col min="14105" max="14107" width="11.625" style="119" customWidth="1"/>
    <col min="14108" max="14108" width="9" style="119"/>
    <col min="14109" max="14111" width="11.625" style="119" customWidth="1"/>
    <col min="14112" max="14112" width="9" style="119"/>
    <col min="14113" max="14115" width="11.625" style="119" customWidth="1"/>
    <col min="14116" max="14116" width="12.875" style="119" customWidth="1"/>
    <col min="14117" max="14117" width="10.5" style="119" customWidth="1"/>
    <col min="14118" max="14121" width="9" style="119" hidden="1" customWidth="1"/>
    <col min="14122" max="14122" width="9" style="119"/>
    <col min="14123" max="14123" width="11.75" style="119" customWidth="1"/>
    <col min="14124" max="14124" width="9" style="119"/>
    <col min="14125" max="14125" width="11.75" style="119" customWidth="1"/>
    <col min="14126" max="14126" width="13.25" style="119" customWidth="1"/>
    <col min="14127" max="14127" width="9" style="119"/>
    <col min="14128" max="14128" width="11.75" style="119" customWidth="1"/>
    <col min="14129" max="14129" width="9" style="119"/>
    <col min="14130" max="14130" width="14.625" style="119" customWidth="1"/>
    <col min="14131" max="14336" width="9" style="119"/>
    <col min="14337" max="14337" width="43.75" style="119" customWidth="1"/>
    <col min="14338" max="14338" width="11" style="119" customWidth="1"/>
    <col min="14339" max="14339" width="13.75" style="119" customWidth="1"/>
    <col min="14340" max="14341" width="11" style="119" customWidth="1"/>
    <col min="14342" max="14342" width="13.75" style="119" customWidth="1"/>
    <col min="14343" max="14343" width="15.75" style="119" customWidth="1"/>
    <col min="14344" max="14344" width="11.25" style="119" customWidth="1"/>
    <col min="14345" max="14345" width="15" style="119" customWidth="1"/>
    <col min="14346" max="14346" width="23" style="119" customWidth="1"/>
    <col min="14347" max="14347" width="15" style="119" customWidth="1"/>
    <col min="14348" max="14348" width="11" style="119" customWidth="1"/>
    <col min="14349" max="14349" width="13.75" style="119" customWidth="1"/>
    <col min="14350" max="14351" width="14" style="119" customWidth="1"/>
    <col min="14352" max="14354" width="13.75" style="119" customWidth="1"/>
    <col min="14355" max="14355" width="18.5" style="119" customWidth="1"/>
    <col min="14356" max="14356" width="14.25" style="119" customWidth="1"/>
    <col min="14357" max="14357" width="14.125" style="119" customWidth="1"/>
    <col min="14358" max="14358" width="9" style="119"/>
    <col min="14359" max="14359" width="9.375" style="119" customWidth="1"/>
    <col min="14360" max="14360" width="9" style="119"/>
    <col min="14361" max="14363" width="11.625" style="119" customWidth="1"/>
    <col min="14364" max="14364" width="9" style="119"/>
    <col min="14365" max="14367" width="11.625" style="119" customWidth="1"/>
    <col min="14368" max="14368" width="9" style="119"/>
    <col min="14369" max="14371" width="11.625" style="119" customWidth="1"/>
    <col min="14372" max="14372" width="12.875" style="119" customWidth="1"/>
    <col min="14373" max="14373" width="10.5" style="119" customWidth="1"/>
    <col min="14374" max="14377" width="9" style="119" hidden="1" customWidth="1"/>
    <col min="14378" max="14378" width="9" style="119"/>
    <col min="14379" max="14379" width="11.75" style="119" customWidth="1"/>
    <col min="14380" max="14380" width="9" style="119"/>
    <col min="14381" max="14381" width="11.75" style="119" customWidth="1"/>
    <col min="14382" max="14382" width="13.25" style="119" customWidth="1"/>
    <col min="14383" max="14383" width="9" style="119"/>
    <col min="14384" max="14384" width="11.75" style="119" customWidth="1"/>
    <col min="14385" max="14385" width="9" style="119"/>
    <col min="14386" max="14386" width="14.625" style="119" customWidth="1"/>
    <col min="14387" max="14592" width="9" style="119"/>
    <col min="14593" max="14593" width="43.75" style="119" customWidth="1"/>
    <col min="14594" max="14594" width="11" style="119" customWidth="1"/>
    <col min="14595" max="14595" width="13.75" style="119" customWidth="1"/>
    <col min="14596" max="14597" width="11" style="119" customWidth="1"/>
    <col min="14598" max="14598" width="13.75" style="119" customWidth="1"/>
    <col min="14599" max="14599" width="15.75" style="119" customWidth="1"/>
    <col min="14600" max="14600" width="11.25" style="119" customWidth="1"/>
    <col min="14601" max="14601" width="15" style="119" customWidth="1"/>
    <col min="14602" max="14602" width="23" style="119" customWidth="1"/>
    <col min="14603" max="14603" width="15" style="119" customWidth="1"/>
    <col min="14604" max="14604" width="11" style="119" customWidth="1"/>
    <col min="14605" max="14605" width="13.75" style="119" customWidth="1"/>
    <col min="14606" max="14607" width="14" style="119" customWidth="1"/>
    <col min="14608" max="14610" width="13.75" style="119" customWidth="1"/>
    <col min="14611" max="14611" width="18.5" style="119" customWidth="1"/>
    <col min="14612" max="14612" width="14.25" style="119" customWidth="1"/>
    <col min="14613" max="14613" width="14.125" style="119" customWidth="1"/>
    <col min="14614" max="14614" width="9" style="119"/>
    <col min="14615" max="14615" width="9.375" style="119" customWidth="1"/>
    <col min="14616" max="14616" width="9" style="119"/>
    <col min="14617" max="14619" width="11.625" style="119" customWidth="1"/>
    <col min="14620" max="14620" width="9" style="119"/>
    <col min="14621" max="14623" width="11.625" style="119" customWidth="1"/>
    <col min="14624" max="14624" width="9" style="119"/>
    <col min="14625" max="14627" width="11.625" style="119" customWidth="1"/>
    <col min="14628" max="14628" width="12.875" style="119" customWidth="1"/>
    <col min="14629" max="14629" width="10.5" style="119" customWidth="1"/>
    <col min="14630" max="14633" width="9" style="119" hidden="1" customWidth="1"/>
    <col min="14634" max="14634" width="9" style="119"/>
    <col min="14635" max="14635" width="11.75" style="119" customWidth="1"/>
    <col min="14636" max="14636" width="9" style="119"/>
    <col min="14637" max="14637" width="11.75" style="119" customWidth="1"/>
    <col min="14638" max="14638" width="13.25" style="119" customWidth="1"/>
    <col min="14639" max="14639" width="9" style="119"/>
    <col min="14640" max="14640" width="11.75" style="119" customWidth="1"/>
    <col min="14641" max="14641" width="9" style="119"/>
    <col min="14642" max="14642" width="14.625" style="119" customWidth="1"/>
    <col min="14643" max="14848" width="9" style="119"/>
    <col min="14849" max="14849" width="43.75" style="119" customWidth="1"/>
    <col min="14850" max="14850" width="11" style="119" customWidth="1"/>
    <col min="14851" max="14851" width="13.75" style="119" customWidth="1"/>
    <col min="14852" max="14853" width="11" style="119" customWidth="1"/>
    <col min="14854" max="14854" width="13.75" style="119" customWidth="1"/>
    <col min="14855" max="14855" width="15.75" style="119" customWidth="1"/>
    <col min="14856" max="14856" width="11.25" style="119" customWidth="1"/>
    <col min="14857" max="14857" width="15" style="119" customWidth="1"/>
    <col min="14858" max="14858" width="23" style="119" customWidth="1"/>
    <col min="14859" max="14859" width="15" style="119" customWidth="1"/>
    <col min="14860" max="14860" width="11" style="119" customWidth="1"/>
    <col min="14861" max="14861" width="13.75" style="119" customWidth="1"/>
    <col min="14862" max="14863" width="14" style="119" customWidth="1"/>
    <col min="14864" max="14866" width="13.75" style="119" customWidth="1"/>
    <col min="14867" max="14867" width="18.5" style="119" customWidth="1"/>
    <col min="14868" max="14868" width="14.25" style="119" customWidth="1"/>
    <col min="14869" max="14869" width="14.125" style="119" customWidth="1"/>
    <col min="14870" max="14870" width="9" style="119"/>
    <col min="14871" max="14871" width="9.375" style="119" customWidth="1"/>
    <col min="14872" max="14872" width="9" style="119"/>
    <col min="14873" max="14875" width="11.625" style="119" customWidth="1"/>
    <col min="14876" max="14876" width="9" style="119"/>
    <col min="14877" max="14879" width="11.625" style="119" customWidth="1"/>
    <col min="14880" max="14880" width="9" style="119"/>
    <col min="14881" max="14883" width="11.625" style="119" customWidth="1"/>
    <col min="14884" max="14884" width="12.875" style="119" customWidth="1"/>
    <col min="14885" max="14885" width="10.5" style="119" customWidth="1"/>
    <col min="14886" max="14889" width="9" style="119" hidden="1" customWidth="1"/>
    <col min="14890" max="14890" width="9" style="119"/>
    <col min="14891" max="14891" width="11.75" style="119" customWidth="1"/>
    <col min="14892" max="14892" width="9" style="119"/>
    <col min="14893" max="14893" width="11.75" style="119" customWidth="1"/>
    <col min="14894" max="14894" width="13.25" style="119" customWidth="1"/>
    <col min="14895" max="14895" width="9" style="119"/>
    <col min="14896" max="14896" width="11.75" style="119" customWidth="1"/>
    <col min="14897" max="14897" width="9" style="119"/>
    <col min="14898" max="14898" width="14.625" style="119" customWidth="1"/>
    <col min="14899" max="15104" width="9" style="119"/>
    <col min="15105" max="15105" width="43.75" style="119" customWidth="1"/>
    <col min="15106" max="15106" width="11" style="119" customWidth="1"/>
    <col min="15107" max="15107" width="13.75" style="119" customWidth="1"/>
    <col min="15108" max="15109" width="11" style="119" customWidth="1"/>
    <col min="15110" max="15110" width="13.75" style="119" customWidth="1"/>
    <col min="15111" max="15111" width="15.75" style="119" customWidth="1"/>
    <col min="15112" max="15112" width="11.25" style="119" customWidth="1"/>
    <col min="15113" max="15113" width="15" style="119" customWidth="1"/>
    <col min="15114" max="15114" width="23" style="119" customWidth="1"/>
    <col min="15115" max="15115" width="15" style="119" customWidth="1"/>
    <col min="15116" max="15116" width="11" style="119" customWidth="1"/>
    <col min="15117" max="15117" width="13.75" style="119" customWidth="1"/>
    <col min="15118" max="15119" width="14" style="119" customWidth="1"/>
    <col min="15120" max="15122" width="13.75" style="119" customWidth="1"/>
    <col min="15123" max="15123" width="18.5" style="119" customWidth="1"/>
    <col min="15124" max="15124" width="14.25" style="119" customWidth="1"/>
    <col min="15125" max="15125" width="14.125" style="119" customWidth="1"/>
    <col min="15126" max="15126" width="9" style="119"/>
    <col min="15127" max="15127" width="9.375" style="119" customWidth="1"/>
    <col min="15128" max="15128" width="9" style="119"/>
    <col min="15129" max="15131" width="11.625" style="119" customWidth="1"/>
    <col min="15132" max="15132" width="9" style="119"/>
    <col min="15133" max="15135" width="11.625" style="119" customWidth="1"/>
    <col min="15136" max="15136" width="9" style="119"/>
    <col min="15137" max="15139" width="11.625" style="119" customWidth="1"/>
    <col min="15140" max="15140" width="12.875" style="119" customWidth="1"/>
    <col min="15141" max="15141" width="10.5" style="119" customWidth="1"/>
    <col min="15142" max="15145" width="9" style="119" hidden="1" customWidth="1"/>
    <col min="15146" max="15146" width="9" style="119"/>
    <col min="15147" max="15147" width="11.75" style="119" customWidth="1"/>
    <col min="15148" max="15148" width="9" style="119"/>
    <col min="15149" max="15149" width="11.75" style="119" customWidth="1"/>
    <col min="15150" max="15150" width="13.25" style="119" customWidth="1"/>
    <col min="15151" max="15151" width="9" style="119"/>
    <col min="15152" max="15152" width="11.75" style="119" customWidth="1"/>
    <col min="15153" max="15153" width="9" style="119"/>
    <col min="15154" max="15154" width="14.625" style="119" customWidth="1"/>
    <col min="15155" max="15360" width="9" style="119"/>
    <col min="15361" max="15361" width="43.75" style="119" customWidth="1"/>
    <col min="15362" max="15362" width="11" style="119" customWidth="1"/>
    <col min="15363" max="15363" width="13.75" style="119" customWidth="1"/>
    <col min="15364" max="15365" width="11" style="119" customWidth="1"/>
    <col min="15366" max="15366" width="13.75" style="119" customWidth="1"/>
    <col min="15367" max="15367" width="15.75" style="119" customWidth="1"/>
    <col min="15368" max="15368" width="11.25" style="119" customWidth="1"/>
    <col min="15369" max="15369" width="15" style="119" customWidth="1"/>
    <col min="15370" max="15370" width="23" style="119" customWidth="1"/>
    <col min="15371" max="15371" width="15" style="119" customWidth="1"/>
    <col min="15372" max="15372" width="11" style="119" customWidth="1"/>
    <col min="15373" max="15373" width="13.75" style="119" customWidth="1"/>
    <col min="15374" max="15375" width="14" style="119" customWidth="1"/>
    <col min="15376" max="15378" width="13.75" style="119" customWidth="1"/>
    <col min="15379" max="15379" width="18.5" style="119" customWidth="1"/>
    <col min="15380" max="15380" width="14.25" style="119" customWidth="1"/>
    <col min="15381" max="15381" width="14.125" style="119" customWidth="1"/>
    <col min="15382" max="15382" width="9" style="119"/>
    <col min="15383" max="15383" width="9.375" style="119" customWidth="1"/>
    <col min="15384" max="15384" width="9" style="119"/>
    <col min="15385" max="15387" width="11.625" style="119" customWidth="1"/>
    <col min="15388" max="15388" width="9" style="119"/>
    <col min="15389" max="15391" width="11.625" style="119" customWidth="1"/>
    <col min="15392" max="15392" width="9" style="119"/>
    <col min="15393" max="15395" width="11.625" style="119" customWidth="1"/>
    <col min="15396" max="15396" width="12.875" style="119" customWidth="1"/>
    <col min="15397" max="15397" width="10.5" style="119" customWidth="1"/>
    <col min="15398" max="15401" width="9" style="119" hidden="1" customWidth="1"/>
    <col min="15402" max="15402" width="9" style="119"/>
    <col min="15403" max="15403" width="11.75" style="119" customWidth="1"/>
    <col min="15404" max="15404" width="9" style="119"/>
    <col min="15405" max="15405" width="11.75" style="119" customWidth="1"/>
    <col min="15406" max="15406" width="13.25" style="119" customWidth="1"/>
    <col min="15407" max="15407" width="9" style="119"/>
    <col min="15408" max="15408" width="11.75" style="119" customWidth="1"/>
    <col min="15409" max="15409" width="9" style="119"/>
    <col min="15410" max="15410" width="14.625" style="119" customWidth="1"/>
    <col min="15411" max="15616" width="9" style="119"/>
    <col min="15617" max="15617" width="43.75" style="119" customWidth="1"/>
    <col min="15618" max="15618" width="11" style="119" customWidth="1"/>
    <col min="15619" max="15619" width="13.75" style="119" customWidth="1"/>
    <col min="15620" max="15621" width="11" style="119" customWidth="1"/>
    <col min="15622" max="15622" width="13.75" style="119" customWidth="1"/>
    <col min="15623" max="15623" width="15.75" style="119" customWidth="1"/>
    <col min="15624" max="15624" width="11.25" style="119" customWidth="1"/>
    <col min="15625" max="15625" width="15" style="119" customWidth="1"/>
    <col min="15626" max="15626" width="23" style="119" customWidth="1"/>
    <col min="15627" max="15627" width="15" style="119" customWidth="1"/>
    <col min="15628" max="15628" width="11" style="119" customWidth="1"/>
    <col min="15629" max="15629" width="13.75" style="119" customWidth="1"/>
    <col min="15630" max="15631" width="14" style="119" customWidth="1"/>
    <col min="15632" max="15634" width="13.75" style="119" customWidth="1"/>
    <col min="15635" max="15635" width="18.5" style="119" customWidth="1"/>
    <col min="15636" max="15636" width="14.25" style="119" customWidth="1"/>
    <col min="15637" max="15637" width="14.125" style="119" customWidth="1"/>
    <col min="15638" max="15638" width="9" style="119"/>
    <col min="15639" max="15639" width="9.375" style="119" customWidth="1"/>
    <col min="15640" max="15640" width="9" style="119"/>
    <col min="15641" max="15643" width="11.625" style="119" customWidth="1"/>
    <col min="15644" max="15644" width="9" style="119"/>
    <col min="15645" max="15647" width="11.625" style="119" customWidth="1"/>
    <col min="15648" max="15648" width="9" style="119"/>
    <col min="15649" max="15651" width="11.625" style="119" customWidth="1"/>
    <col min="15652" max="15652" width="12.875" style="119" customWidth="1"/>
    <col min="15653" max="15653" width="10.5" style="119" customWidth="1"/>
    <col min="15654" max="15657" width="9" style="119" hidden="1" customWidth="1"/>
    <col min="15658" max="15658" width="9" style="119"/>
    <col min="15659" max="15659" width="11.75" style="119" customWidth="1"/>
    <col min="15660" max="15660" width="9" style="119"/>
    <col min="15661" max="15661" width="11.75" style="119" customWidth="1"/>
    <col min="15662" max="15662" width="13.25" style="119" customWidth="1"/>
    <col min="15663" max="15663" width="9" style="119"/>
    <col min="15664" max="15664" width="11.75" style="119" customWidth="1"/>
    <col min="15665" max="15665" width="9" style="119"/>
    <col min="15666" max="15666" width="14.625" style="119" customWidth="1"/>
    <col min="15667" max="15872" width="9" style="119"/>
    <col min="15873" max="15873" width="43.75" style="119" customWidth="1"/>
    <col min="15874" max="15874" width="11" style="119" customWidth="1"/>
    <col min="15875" max="15875" width="13.75" style="119" customWidth="1"/>
    <col min="15876" max="15877" width="11" style="119" customWidth="1"/>
    <col min="15878" max="15878" width="13.75" style="119" customWidth="1"/>
    <col min="15879" max="15879" width="15.75" style="119" customWidth="1"/>
    <col min="15880" max="15880" width="11.25" style="119" customWidth="1"/>
    <col min="15881" max="15881" width="15" style="119" customWidth="1"/>
    <col min="15882" max="15882" width="23" style="119" customWidth="1"/>
    <col min="15883" max="15883" width="15" style="119" customWidth="1"/>
    <col min="15884" max="15884" width="11" style="119" customWidth="1"/>
    <col min="15885" max="15885" width="13.75" style="119" customWidth="1"/>
    <col min="15886" max="15887" width="14" style="119" customWidth="1"/>
    <col min="15888" max="15890" width="13.75" style="119" customWidth="1"/>
    <col min="15891" max="15891" width="18.5" style="119" customWidth="1"/>
    <col min="15892" max="15892" width="14.25" style="119" customWidth="1"/>
    <col min="15893" max="15893" width="14.125" style="119" customWidth="1"/>
    <col min="15894" max="15894" width="9" style="119"/>
    <col min="15895" max="15895" width="9.375" style="119" customWidth="1"/>
    <col min="15896" max="15896" width="9" style="119"/>
    <col min="15897" max="15899" width="11.625" style="119" customWidth="1"/>
    <col min="15900" max="15900" width="9" style="119"/>
    <col min="15901" max="15903" width="11.625" style="119" customWidth="1"/>
    <col min="15904" max="15904" width="9" style="119"/>
    <col min="15905" max="15907" width="11.625" style="119" customWidth="1"/>
    <col min="15908" max="15908" width="12.875" style="119" customWidth="1"/>
    <col min="15909" max="15909" width="10.5" style="119" customWidth="1"/>
    <col min="15910" max="15913" width="9" style="119" hidden="1" customWidth="1"/>
    <col min="15914" max="15914" width="9" style="119"/>
    <col min="15915" max="15915" width="11.75" style="119" customWidth="1"/>
    <col min="15916" max="15916" width="9" style="119"/>
    <col min="15917" max="15917" width="11.75" style="119" customWidth="1"/>
    <col min="15918" max="15918" width="13.25" style="119" customWidth="1"/>
    <col min="15919" max="15919" width="9" style="119"/>
    <col min="15920" max="15920" width="11.75" style="119" customWidth="1"/>
    <col min="15921" max="15921" width="9" style="119"/>
    <col min="15922" max="15922" width="14.625" style="119" customWidth="1"/>
    <col min="15923" max="16128" width="9" style="119"/>
    <col min="16129" max="16129" width="43.75" style="119" customWidth="1"/>
    <col min="16130" max="16130" width="11" style="119" customWidth="1"/>
    <col min="16131" max="16131" width="13.75" style="119" customWidth="1"/>
    <col min="16132" max="16133" width="11" style="119" customWidth="1"/>
    <col min="16134" max="16134" width="13.75" style="119" customWidth="1"/>
    <col min="16135" max="16135" width="15.75" style="119" customWidth="1"/>
    <col min="16136" max="16136" width="11.25" style="119" customWidth="1"/>
    <col min="16137" max="16137" width="15" style="119" customWidth="1"/>
    <col min="16138" max="16138" width="23" style="119" customWidth="1"/>
    <col min="16139" max="16139" width="15" style="119" customWidth="1"/>
    <col min="16140" max="16140" width="11" style="119" customWidth="1"/>
    <col min="16141" max="16141" width="13.75" style="119" customWidth="1"/>
    <col min="16142" max="16143" width="14" style="119" customWidth="1"/>
    <col min="16144" max="16146" width="13.75" style="119" customWidth="1"/>
    <col min="16147" max="16147" width="18.5" style="119" customWidth="1"/>
    <col min="16148" max="16148" width="14.25" style="119" customWidth="1"/>
    <col min="16149" max="16149" width="14.125" style="119" customWidth="1"/>
    <col min="16150" max="16150" width="9" style="119"/>
    <col min="16151" max="16151" width="9.375" style="119" customWidth="1"/>
    <col min="16152" max="16152" width="9" style="119"/>
    <col min="16153" max="16155" width="11.625" style="119" customWidth="1"/>
    <col min="16156" max="16156" width="9" style="119"/>
    <col min="16157" max="16159" width="11.625" style="119" customWidth="1"/>
    <col min="16160" max="16160" width="9" style="119"/>
    <col min="16161" max="16163" width="11.625" style="119" customWidth="1"/>
    <col min="16164" max="16164" width="12.875" style="119" customWidth="1"/>
    <col min="16165" max="16165" width="10.5" style="119" customWidth="1"/>
    <col min="16166" max="16169" width="9" style="119" hidden="1" customWidth="1"/>
    <col min="16170" max="16170" width="9" style="119"/>
    <col min="16171" max="16171" width="11.75" style="119" customWidth="1"/>
    <col min="16172" max="16172" width="9" style="119"/>
    <col min="16173" max="16173" width="11.75" style="119" customWidth="1"/>
    <col min="16174" max="16174" width="13.25" style="119" customWidth="1"/>
    <col min="16175" max="16175" width="9" style="119"/>
    <col min="16176" max="16176" width="11.75" style="119" customWidth="1"/>
    <col min="16177" max="16177" width="9" style="119"/>
    <col min="16178" max="16178" width="14.625" style="119" customWidth="1"/>
    <col min="16179" max="16384" width="9" style="119"/>
  </cols>
  <sheetData>
    <row r="1" spans="1:48" ht="23.25">
      <c r="A1" s="246" t="s">
        <v>516</v>
      </c>
      <c r="B1" s="628" t="s">
        <v>517</v>
      </c>
      <c r="C1" s="628"/>
      <c r="D1" s="628"/>
      <c r="E1" s="628"/>
      <c r="F1" s="628"/>
      <c r="G1" s="628"/>
      <c r="H1" s="628"/>
      <c r="I1" s="628"/>
      <c r="J1" s="628"/>
      <c r="K1" s="628"/>
      <c r="L1" s="628"/>
      <c r="M1" s="628"/>
      <c r="N1" s="628"/>
      <c r="O1" s="628"/>
      <c r="P1" s="628"/>
      <c r="Q1" s="629"/>
      <c r="R1" s="248"/>
      <c r="S1" s="249" t="s">
        <v>518</v>
      </c>
      <c r="T1" s="249" t="s">
        <v>519</v>
      </c>
      <c r="U1" s="249" t="s">
        <v>520</v>
      </c>
      <c r="W1" s="250" t="s">
        <v>521</v>
      </c>
      <c r="Y1" s="261" t="s">
        <v>522</v>
      </c>
      <c r="Z1" s="261" t="s">
        <v>523</v>
      </c>
      <c r="AA1" s="261" t="s">
        <v>524</v>
      </c>
      <c r="AC1" s="262" t="s">
        <v>525</v>
      </c>
      <c r="AD1" s="262" t="s">
        <v>526</v>
      </c>
      <c r="AE1" s="262" t="s">
        <v>527</v>
      </c>
      <c r="AG1" s="263" t="s">
        <v>528</v>
      </c>
      <c r="AH1" s="263" t="s">
        <v>529</v>
      </c>
      <c r="AI1" s="263" t="s">
        <v>530</v>
      </c>
      <c r="AJ1" s="264" t="s">
        <v>531</v>
      </c>
      <c r="AK1" s="264" t="s">
        <v>532</v>
      </c>
      <c r="AM1" s="265" t="s">
        <v>533</v>
      </c>
      <c r="AN1" s="266" t="s">
        <v>534</v>
      </c>
      <c r="AO1" s="266" t="s">
        <v>534</v>
      </c>
      <c r="AQ1" s="270" t="s">
        <v>535</v>
      </c>
      <c r="AS1" s="271" t="s">
        <v>28</v>
      </c>
      <c r="AT1" s="272" t="s">
        <v>536</v>
      </c>
      <c r="AV1" s="273" t="s">
        <v>537</v>
      </c>
    </row>
    <row r="2" spans="1:48">
      <c r="A2" s="339" t="s">
        <v>538</v>
      </c>
      <c r="B2" s="105" t="s">
        <v>539</v>
      </c>
      <c r="C2" s="340" t="s">
        <v>540</v>
      </c>
      <c r="D2" s="105" t="s">
        <v>541</v>
      </c>
      <c r="E2" s="105" t="s">
        <v>542</v>
      </c>
      <c r="F2" s="340" t="s">
        <v>543</v>
      </c>
      <c r="G2" s="105" t="s">
        <v>544</v>
      </c>
      <c r="H2" s="105" t="s">
        <v>545</v>
      </c>
      <c r="I2" s="340" t="s">
        <v>546</v>
      </c>
      <c r="J2" s="105" t="s">
        <v>547</v>
      </c>
      <c r="K2" s="340" t="s">
        <v>548</v>
      </c>
      <c r="L2" s="105" t="s">
        <v>549</v>
      </c>
      <c r="M2" s="340" t="s">
        <v>521</v>
      </c>
      <c r="N2" s="340" t="s">
        <v>550</v>
      </c>
      <c r="O2" s="247" t="s">
        <v>551</v>
      </c>
      <c r="P2" s="105" t="s">
        <v>552</v>
      </c>
      <c r="Q2" s="341" t="s">
        <v>553</v>
      </c>
      <c r="R2" s="141"/>
      <c r="S2" s="251"/>
      <c r="T2" s="251"/>
      <c r="U2" s="251"/>
      <c r="W2" s="251"/>
      <c r="Y2" s="251"/>
      <c r="Z2" s="251"/>
      <c r="AA2" s="251"/>
      <c r="AC2" s="251"/>
      <c r="AD2" s="251"/>
      <c r="AE2" s="251"/>
      <c r="AG2" s="251"/>
      <c r="AH2" s="251"/>
      <c r="AI2" s="251"/>
      <c r="AJ2" s="251"/>
      <c r="AK2" s="251"/>
      <c r="AM2" s="251"/>
      <c r="AN2" s="251"/>
      <c r="AO2" s="251"/>
      <c r="AQ2" s="251"/>
      <c r="AS2" s="251"/>
      <c r="AT2" s="251"/>
      <c r="AV2" s="251"/>
    </row>
    <row r="3" spans="1:48">
      <c r="A3" s="103" t="s">
        <v>554</v>
      </c>
      <c r="B3" s="106">
        <v>54.559863447939499</v>
      </c>
      <c r="C3" s="107">
        <v>63.399170933918597</v>
      </c>
      <c r="D3" s="108">
        <v>85.619361131431305</v>
      </c>
      <c r="E3" s="108">
        <v>85.619361131431305</v>
      </c>
      <c r="F3" s="107">
        <v>63.399170933918597</v>
      </c>
      <c r="G3" s="107">
        <v>84.122774932943202</v>
      </c>
      <c r="H3" s="108">
        <v>77.724945135332803</v>
      </c>
      <c r="I3" s="110">
        <v>79.248963667398201</v>
      </c>
      <c r="J3" s="110">
        <v>79.248963667398201</v>
      </c>
      <c r="K3" s="107">
        <v>52.000475493781998</v>
      </c>
      <c r="L3" s="108">
        <v>70.104852475006098</v>
      </c>
      <c r="M3" s="107">
        <v>124.359912216533</v>
      </c>
      <c r="N3" s="107">
        <v>135</v>
      </c>
      <c r="O3" s="128">
        <v>143.56</v>
      </c>
      <c r="P3" s="108">
        <v>91.111923920994897</v>
      </c>
      <c r="Q3" s="142">
        <v>90.831504511094806</v>
      </c>
      <c r="R3" s="142"/>
      <c r="S3" s="252">
        <v>91.4</v>
      </c>
      <c r="T3" s="252">
        <v>77.7</v>
      </c>
      <c r="U3" s="252">
        <v>79.2</v>
      </c>
      <c r="W3" s="252">
        <v>124.4</v>
      </c>
      <c r="Y3" s="252">
        <v>130</v>
      </c>
      <c r="Z3" s="252">
        <v>142</v>
      </c>
      <c r="AA3" s="252">
        <v>135</v>
      </c>
      <c r="AC3" s="252">
        <v>86</v>
      </c>
      <c r="AD3" s="252">
        <v>127</v>
      </c>
      <c r="AE3" s="252">
        <v>143</v>
      </c>
      <c r="AG3" s="252">
        <v>86</v>
      </c>
      <c r="AH3" s="252">
        <v>127</v>
      </c>
      <c r="AI3" s="252">
        <v>143</v>
      </c>
      <c r="AJ3" s="252">
        <v>131</v>
      </c>
      <c r="AK3" s="252">
        <v>119</v>
      </c>
      <c r="AM3" s="252">
        <v>99</v>
      </c>
      <c r="AN3" s="252">
        <v>81.81</v>
      </c>
      <c r="AO3" s="252">
        <v>92</v>
      </c>
      <c r="AQ3" s="252">
        <f>330/3.2808</f>
        <v>100.58522311631309</v>
      </c>
      <c r="AS3" s="252">
        <f>330/3.2808</f>
        <v>100.58522311631309</v>
      </c>
      <c r="AT3" s="252">
        <f>330/3.2808</f>
        <v>100.58522311631309</v>
      </c>
      <c r="AV3" s="252">
        <f>390/3.2808</f>
        <v>118.87344550109729</v>
      </c>
    </row>
    <row r="4" spans="1:48">
      <c r="A4" s="103" t="s">
        <v>555</v>
      </c>
      <c r="B4" s="105"/>
      <c r="C4" s="110"/>
      <c r="D4" s="105"/>
      <c r="E4" s="108"/>
      <c r="F4" s="110"/>
      <c r="G4" s="110"/>
      <c r="H4" s="105"/>
      <c r="I4" s="110"/>
      <c r="J4" s="110"/>
      <c r="K4" s="110"/>
      <c r="L4" s="105"/>
      <c r="M4" s="110"/>
      <c r="O4" s="172"/>
      <c r="Q4" s="184"/>
      <c r="R4" s="184"/>
      <c r="S4" s="252"/>
      <c r="T4" s="252"/>
      <c r="U4" s="252"/>
      <c r="W4" s="252"/>
      <c r="Y4" s="252"/>
      <c r="Z4" s="252"/>
      <c r="AA4" s="252"/>
      <c r="AC4" s="252"/>
      <c r="AD4" s="252"/>
      <c r="AE4" s="252"/>
      <c r="AG4" s="252"/>
      <c r="AH4" s="252"/>
      <c r="AI4" s="252"/>
      <c r="AJ4" s="252"/>
      <c r="AK4" s="252"/>
      <c r="AM4" s="252"/>
      <c r="AN4" s="252"/>
      <c r="AO4" s="252"/>
      <c r="AQ4" s="252"/>
      <c r="AS4" s="252"/>
      <c r="AT4" s="252"/>
      <c r="AV4" s="252"/>
    </row>
    <row r="5" spans="1:48">
      <c r="A5" s="103" t="s">
        <v>556</v>
      </c>
      <c r="B5" s="105"/>
      <c r="C5" s="110"/>
      <c r="D5" s="105"/>
      <c r="E5" s="108"/>
      <c r="F5" s="110"/>
      <c r="G5" s="110"/>
      <c r="H5" s="105"/>
      <c r="I5" s="110"/>
      <c r="J5" s="110"/>
      <c r="K5" s="110"/>
      <c r="L5" s="105"/>
      <c r="M5" s="110"/>
      <c r="O5" s="172"/>
      <c r="Q5" s="184"/>
      <c r="R5" s="184"/>
      <c r="S5" s="252"/>
      <c r="T5" s="252"/>
      <c r="U5" s="252"/>
      <c r="W5" s="252"/>
      <c r="Y5" s="252"/>
      <c r="Z5" s="252"/>
      <c r="AA5" s="252"/>
      <c r="AC5" s="252"/>
      <c r="AD5" s="252"/>
      <c r="AE5" s="252"/>
      <c r="AG5" s="252"/>
      <c r="AH5" s="252"/>
      <c r="AI5" s="252"/>
      <c r="AJ5" s="252"/>
      <c r="AK5" s="252"/>
      <c r="AM5" s="252"/>
      <c r="AN5" s="252"/>
      <c r="AO5" s="252"/>
      <c r="AQ5" s="252"/>
      <c r="AS5" s="252"/>
      <c r="AT5" s="252"/>
      <c r="AV5" s="252"/>
    </row>
    <row r="6" spans="1:48">
      <c r="A6" s="339" t="s">
        <v>557</v>
      </c>
      <c r="B6" s="109">
        <f>27.5/3.2808</f>
        <v>8.3821019263594234</v>
      </c>
      <c r="C6" s="110">
        <v>9.4489148988051692</v>
      </c>
      <c r="D6" s="108">
        <v>10.3938063886857</v>
      </c>
      <c r="E6" s="108">
        <v>10.3938063886857</v>
      </c>
      <c r="F6" s="110">
        <v>9.7537186052182392</v>
      </c>
      <c r="G6" s="110">
        <v>11.1497195805901</v>
      </c>
      <c r="H6" s="108">
        <v>9.7537186052182392</v>
      </c>
      <c r="I6" s="110">
        <v>10.210924164837801</v>
      </c>
      <c r="J6" s="110">
        <v>10.515727871250901</v>
      </c>
      <c r="K6" s="110">
        <v>8.5000777249451307</v>
      </c>
      <c r="L6" s="108">
        <v>9.4611070470616898</v>
      </c>
      <c r="M6" s="129">
        <v>13.7771275298708</v>
      </c>
      <c r="N6" s="110">
        <v>16.8</v>
      </c>
      <c r="O6" s="130">
        <v>17.98</v>
      </c>
      <c r="P6" s="110">
        <v>11.7959034381858</v>
      </c>
      <c r="Q6" s="144">
        <v>14.9658619848817</v>
      </c>
      <c r="R6" s="144"/>
      <c r="S6" s="252">
        <v>12.2</v>
      </c>
      <c r="T6" s="252">
        <v>11.5</v>
      </c>
      <c r="U6" s="252">
        <v>10.5</v>
      </c>
      <c r="W6" s="252">
        <v>13.7</v>
      </c>
      <c r="Y6" s="252">
        <v>18.899999999999999</v>
      </c>
      <c r="Z6" s="252">
        <v>18</v>
      </c>
      <c r="AA6" s="252">
        <v>17</v>
      </c>
      <c r="AC6" s="252">
        <v>14.02</v>
      </c>
      <c r="AD6" s="252">
        <v>14.99</v>
      </c>
      <c r="AE6" s="252">
        <v>19.239999999999998</v>
      </c>
      <c r="AG6" s="252">
        <v>14.1</v>
      </c>
      <c r="AH6" s="252">
        <v>14.85</v>
      </c>
      <c r="AI6" s="252">
        <v>18.79</v>
      </c>
      <c r="AJ6" s="252">
        <v>16.600000000000001</v>
      </c>
      <c r="AK6" s="252">
        <v>13.5</v>
      </c>
      <c r="AM6" s="252">
        <v>13.05</v>
      </c>
      <c r="AN6" s="252">
        <v>12.444000000000001</v>
      </c>
      <c r="AO6" s="252">
        <v>13.05</v>
      </c>
      <c r="AQ6" s="252">
        <f>(45+(3+5/16)/12)/3.2808</f>
        <v>13.80030531171259</v>
      </c>
      <c r="AS6" s="252">
        <v>13.5</v>
      </c>
      <c r="AT6" s="252">
        <v>13.9</v>
      </c>
      <c r="AV6" s="252">
        <f>48.89/3.2808</f>
        <v>14.901853206534991</v>
      </c>
    </row>
    <row r="7" spans="1:48">
      <c r="A7" s="339" t="s">
        <v>558</v>
      </c>
      <c r="B7" s="106">
        <v>9.3981142810696596</v>
      </c>
      <c r="C7" s="110">
        <v>8.3272372592050701</v>
      </c>
      <c r="D7" s="108">
        <v>11.887344550109701</v>
      </c>
      <c r="E7" s="108">
        <v>11.887344550109701</v>
      </c>
      <c r="F7" s="110">
        <v>8.6869056327724898</v>
      </c>
      <c r="G7" s="110">
        <v>12.3506461838576</v>
      </c>
      <c r="H7" s="108">
        <v>10.668129724457399</v>
      </c>
      <c r="I7" s="110">
        <v>10.820531577663999</v>
      </c>
      <c r="J7" s="110">
        <v>11.704462326261901</v>
      </c>
      <c r="K7" s="110">
        <v>6.3303894909407799</v>
      </c>
      <c r="L7" s="108">
        <v>9.4611070470616898</v>
      </c>
      <c r="M7" s="129">
        <v>13.7771275298708</v>
      </c>
      <c r="N7" s="129">
        <v>18.7</v>
      </c>
      <c r="O7" s="130">
        <v>20.239999999999998</v>
      </c>
      <c r="P7" s="110">
        <v>14</v>
      </c>
      <c r="Q7" s="144">
        <v>12.344550109729299</v>
      </c>
      <c r="R7" s="144"/>
      <c r="S7" s="252">
        <f>6.12805*2</f>
        <v>12.2561</v>
      </c>
      <c r="T7" s="252">
        <f>5.75904*2</f>
        <v>11.518079999999999</v>
      </c>
      <c r="U7" s="252">
        <f>5.76423*2</f>
        <v>11.528460000000001</v>
      </c>
      <c r="W7" s="252">
        <f>7.15366*2</f>
        <v>14.307320000000001</v>
      </c>
      <c r="Y7" s="252">
        <f>10.6209*2</f>
        <v>21.241800000000001</v>
      </c>
      <c r="Z7" s="252">
        <f>10.1352*2</f>
        <v>20.270399999999999</v>
      </c>
      <c r="AA7" s="252">
        <f>9.36218*2</f>
        <v>18.724360000000001</v>
      </c>
      <c r="AC7" s="252">
        <f>7.88903*2</f>
        <v>15.77806</v>
      </c>
      <c r="AD7" s="252">
        <f>8.26557*2</f>
        <v>16.531140000000001</v>
      </c>
      <c r="AE7" s="252">
        <f>10.6525*2</f>
        <v>21.305</v>
      </c>
      <c r="AG7" s="252">
        <f>7.91255*2</f>
        <v>15.825100000000001</v>
      </c>
      <c r="AH7" s="252">
        <f>8.20736*2</f>
        <v>16.414719999999999</v>
      </c>
      <c r="AI7" s="252">
        <f>10.5248*2</f>
        <v>21.049600000000002</v>
      </c>
      <c r="AJ7" s="252">
        <f>9.21377*2</f>
        <v>18.42754</v>
      </c>
      <c r="AK7" s="252">
        <f>7.31843*2</f>
        <v>14.63686</v>
      </c>
      <c r="AM7" s="252">
        <v>17.95</v>
      </c>
      <c r="AN7" s="252">
        <v>14.768000000000001</v>
      </c>
      <c r="AO7" s="252">
        <v>17.588000000000001</v>
      </c>
      <c r="AQ7" s="252">
        <f>50.947/3.2808</f>
        <v>15.528834430626677</v>
      </c>
      <c r="AS7" s="252">
        <f>(51+1.75/12)/3.2808</f>
        <v>15.589439567585142</v>
      </c>
      <c r="AT7" s="252">
        <f>7.79355*2</f>
        <v>15.5871</v>
      </c>
      <c r="AV7" s="252">
        <f>54/3.2808</f>
        <v>16.459400146305779</v>
      </c>
    </row>
    <row r="8" spans="1:48">
      <c r="A8" s="103" t="s">
        <v>559</v>
      </c>
      <c r="B8" s="106">
        <v>4.3736156831667099</v>
      </c>
      <c r="C8" s="108">
        <v>6.4862228724701296</v>
      </c>
      <c r="D8" s="108">
        <v>6.8916118019995096</v>
      </c>
      <c r="E8" s="108">
        <v>6.8916118019995096</v>
      </c>
      <c r="F8" s="108">
        <v>6.4862228724701296</v>
      </c>
      <c r="G8" s="108">
        <v>6.25152401853207</v>
      </c>
      <c r="H8" s="108">
        <v>6.0198732016581298</v>
      </c>
      <c r="I8" s="108">
        <v>6.0198732016581298</v>
      </c>
      <c r="J8" s="108">
        <v>6.0198732016581298</v>
      </c>
      <c r="K8" s="108">
        <v>5.7900529444037998</v>
      </c>
      <c r="L8" s="108">
        <v>6.0869300170690099</v>
      </c>
      <c r="M8" s="108">
        <v>9.1441111923920992</v>
      </c>
      <c r="N8" s="109">
        <v>9.8000000000000007</v>
      </c>
      <c r="O8" s="130">
        <v>12.75</v>
      </c>
      <c r="P8" s="108">
        <v>8.9002682272616394</v>
      </c>
      <c r="Q8" s="142">
        <v>9.2965130455986298</v>
      </c>
      <c r="R8" s="142"/>
      <c r="S8" s="252">
        <v>7.6</v>
      </c>
      <c r="T8" s="252">
        <v>9.5</v>
      </c>
      <c r="U8" s="252">
        <v>6.3</v>
      </c>
      <c r="W8" s="252">
        <v>9.1</v>
      </c>
      <c r="Y8" s="252">
        <v>13</v>
      </c>
      <c r="Z8" s="252">
        <v>12.7</v>
      </c>
      <c r="AA8" s="252">
        <v>9.8000000000000007</v>
      </c>
      <c r="AC8" s="252">
        <v>9.25</v>
      </c>
      <c r="AD8" s="252">
        <v>9.75</v>
      </c>
      <c r="AE8" s="252">
        <v>12.5</v>
      </c>
      <c r="AG8" s="252">
        <v>9.25</v>
      </c>
      <c r="AH8" s="252">
        <v>9.75</v>
      </c>
      <c r="AI8" s="252">
        <v>12.5</v>
      </c>
      <c r="AJ8" s="252">
        <v>10.4</v>
      </c>
      <c r="AK8" s="252">
        <v>9.3000000000000007</v>
      </c>
      <c r="AM8" s="252">
        <v>10.1</v>
      </c>
      <c r="AN8" s="252">
        <v>9.1</v>
      </c>
      <c r="AO8" s="252">
        <v>9.7789999999999999</v>
      </c>
      <c r="AQ8" s="252">
        <f>28.75/3.2808</f>
        <v>8.7631065593757622</v>
      </c>
      <c r="AS8" s="252">
        <f>28.75/3.2808</f>
        <v>8.7631065593757622</v>
      </c>
      <c r="AT8" s="252">
        <f>28.75/3.2808</f>
        <v>8.7631065593757622</v>
      </c>
      <c r="AV8" s="252">
        <f>(38+10/12)/3.2808</f>
        <v>11.836543932374218</v>
      </c>
    </row>
    <row r="9" spans="1:48">
      <c r="A9" s="103" t="s">
        <v>560</v>
      </c>
      <c r="B9" s="111"/>
      <c r="C9" s="108"/>
      <c r="D9" s="105"/>
      <c r="E9" s="108"/>
      <c r="F9" s="105"/>
      <c r="G9" s="105"/>
      <c r="H9" s="105"/>
      <c r="I9" s="108"/>
      <c r="K9" s="108">
        <v>6.0000548646671499</v>
      </c>
      <c r="L9" s="108">
        <v>5.9954889051450904</v>
      </c>
      <c r="M9" s="108">
        <v>9.1441111923920992</v>
      </c>
      <c r="N9" s="108"/>
      <c r="O9" s="131"/>
      <c r="P9" s="108">
        <v>8.9002682272616394</v>
      </c>
      <c r="Q9" s="142">
        <v>9.2965130455986298</v>
      </c>
      <c r="R9" s="142"/>
      <c r="S9" s="252">
        <v>7.6</v>
      </c>
      <c r="T9" s="252">
        <v>9.5</v>
      </c>
      <c r="U9" s="252">
        <v>6.3</v>
      </c>
      <c r="W9" s="252">
        <v>9.1</v>
      </c>
      <c r="Y9" s="252">
        <v>13</v>
      </c>
      <c r="Z9" s="252">
        <v>12.7</v>
      </c>
      <c r="AA9" s="252">
        <v>9.8000000000000007</v>
      </c>
      <c r="AC9" s="252">
        <v>9.25</v>
      </c>
      <c r="AD9" s="252">
        <v>9.75</v>
      </c>
      <c r="AE9" s="252">
        <v>12.5</v>
      </c>
      <c r="AG9" s="252">
        <v>9.25</v>
      </c>
      <c r="AH9" s="252">
        <v>9.75</v>
      </c>
      <c r="AI9" s="252">
        <v>12.5</v>
      </c>
      <c r="AJ9" s="252">
        <v>10.4</v>
      </c>
      <c r="AK9" s="252">
        <v>9.3000000000000007</v>
      </c>
      <c r="AM9" s="252">
        <v>10.1</v>
      </c>
      <c r="AN9" s="252">
        <v>9.1</v>
      </c>
      <c r="AO9" s="252">
        <v>9.7789999999999999</v>
      </c>
      <c r="AQ9" s="252">
        <f>28.75/3.2808</f>
        <v>8.7631065593757622</v>
      </c>
      <c r="AS9" s="252">
        <f>28.75/3.2808</f>
        <v>8.7631065593757622</v>
      </c>
      <c r="AT9" s="252">
        <f>28.75/3.2808</f>
        <v>8.7631065593757622</v>
      </c>
      <c r="AV9" s="252">
        <f>(38+10/12)/3.2808</f>
        <v>11.836543932374218</v>
      </c>
    </row>
    <row r="10" spans="1:48">
      <c r="A10" s="103" t="s">
        <v>561</v>
      </c>
      <c r="B10" s="106"/>
      <c r="C10" s="110">
        <v>3.0663252865154802</v>
      </c>
      <c r="D10" s="108">
        <v>3.1699585466959301</v>
      </c>
      <c r="E10" s="108">
        <v>3.1699585466959301</v>
      </c>
      <c r="F10" s="110">
        <v>2.8651548402828602</v>
      </c>
      <c r="G10" s="110">
        <v>3.3528407705437702</v>
      </c>
      <c r="H10" s="108">
        <v>3.0480370641307002</v>
      </c>
      <c r="I10" s="110">
        <v>3.3528407705437702</v>
      </c>
      <c r="J10" s="110">
        <v>3.3528407705437702</v>
      </c>
      <c r="K10" s="110">
        <v>0</v>
      </c>
      <c r="L10" s="108"/>
      <c r="M10" s="110"/>
      <c r="N10" s="110">
        <v>5</v>
      </c>
      <c r="O10" s="130">
        <v>6.32</v>
      </c>
      <c r="P10" s="110">
        <v>4.1148500365764402</v>
      </c>
      <c r="Q10" s="144">
        <v>3.9014874420873</v>
      </c>
      <c r="R10" s="144"/>
      <c r="S10" s="252"/>
      <c r="T10" s="252"/>
      <c r="U10" s="252"/>
      <c r="W10" s="252"/>
      <c r="Y10" s="252"/>
      <c r="Z10" s="252"/>
      <c r="AA10" s="252"/>
      <c r="AC10" s="252"/>
      <c r="AD10" s="252"/>
      <c r="AE10" s="252"/>
      <c r="AG10" s="252"/>
      <c r="AH10" s="252"/>
      <c r="AI10" s="252"/>
      <c r="AJ10" s="252"/>
      <c r="AK10" s="252"/>
      <c r="AM10" s="252"/>
      <c r="AN10" s="252"/>
      <c r="AO10" s="252"/>
      <c r="AQ10" s="252">
        <f>13.77/3.2808</f>
        <v>4.1971470373079729</v>
      </c>
      <c r="AS10" s="252"/>
      <c r="AT10" s="252"/>
      <c r="AV10" s="252">
        <f>14.4/3.2808</f>
        <v>4.3891733723482078</v>
      </c>
    </row>
    <row r="11" spans="1:48">
      <c r="A11" s="103" t="s">
        <v>562</v>
      </c>
      <c r="B11" s="107">
        <f>B3*B6*B8/100</f>
        <v>20.001696376804173</v>
      </c>
      <c r="C11" s="107">
        <f>C3*C6*C8/100</f>
        <v>38.85593675574254</v>
      </c>
      <c r="D11" s="107">
        <f>D3*D6*D8/100</f>
        <v>61.329215825921573</v>
      </c>
      <c r="E11" s="107">
        <f t="shared" ref="E11:Q11" si="0">E3*E6*E8/100</f>
        <v>61.329215825921573</v>
      </c>
      <c r="F11" s="107">
        <f t="shared" si="0"/>
        <v>40.109354070443914</v>
      </c>
      <c r="G11" s="107">
        <f t="shared" si="0"/>
        <v>58.635878888680715</v>
      </c>
      <c r="H11" s="107">
        <f t="shared" si="0"/>
        <v>45.637094788640653</v>
      </c>
      <c r="I11" s="107">
        <f t="shared" si="0"/>
        <v>48.713124461894452</v>
      </c>
      <c r="J11" s="107">
        <f t="shared" si="0"/>
        <v>50.167247580160101</v>
      </c>
      <c r="K11" s="107">
        <f t="shared" si="0"/>
        <v>25.59250204921398</v>
      </c>
      <c r="L11" s="107">
        <f t="shared" si="0"/>
        <v>40.372751128616422</v>
      </c>
      <c r="M11" s="107">
        <f t="shared" si="0"/>
        <v>156.6681026161954</v>
      </c>
      <c r="N11" s="107">
        <f t="shared" si="0"/>
        <v>222.26400000000001</v>
      </c>
      <c r="O11" s="128">
        <f t="shared" si="0"/>
        <v>329.10412199999996</v>
      </c>
      <c r="P11" s="107">
        <f t="shared" si="0"/>
        <v>95.655406406577896</v>
      </c>
      <c r="Q11" s="146">
        <f t="shared" si="0"/>
        <v>126.37417304304503</v>
      </c>
      <c r="R11" s="146"/>
      <c r="S11" s="253">
        <f>S3*S6*S8/100</f>
        <v>84.746079999999978</v>
      </c>
      <c r="T11" s="253">
        <f>T3*T6*T8/100</f>
        <v>84.887250000000009</v>
      </c>
      <c r="U11" s="253">
        <f>U3*U6*U8/100</f>
        <v>52.390799999999999</v>
      </c>
      <c r="W11" s="253">
        <f>W3*W6*W8/100</f>
        <v>155.08947999999998</v>
      </c>
      <c r="Y11" s="253">
        <f>Y3*Y6*Y8/100</f>
        <v>319.41000000000003</v>
      </c>
      <c r="Z11" s="253">
        <f>Z3*Z6*Z8/100</f>
        <v>324.61199999999997</v>
      </c>
      <c r="AA11" s="253">
        <f>AA3*AA6*AA8/100</f>
        <v>224.91</v>
      </c>
      <c r="AC11" s="253">
        <f>AC3*AC6*AC8/100</f>
        <v>111.5291</v>
      </c>
      <c r="AD11" s="253">
        <f>AD3*AD6*AD8/100</f>
        <v>185.613675</v>
      </c>
      <c r="AE11" s="253">
        <f>AE3*AE6*AE8/100</f>
        <v>343.91500000000002</v>
      </c>
      <c r="AG11" s="253">
        <f>AG3*AG6*AG8/100</f>
        <v>112.16549999999999</v>
      </c>
      <c r="AH11" s="253">
        <f>AH3*AH6*AH8/100</f>
        <v>183.88012500000002</v>
      </c>
      <c r="AI11" s="253">
        <f>AI3*AI6*AI8/100</f>
        <v>335.87124999999997</v>
      </c>
      <c r="AJ11" s="253">
        <f>AJ3*AJ6*AJ8/100</f>
        <v>226.15840000000003</v>
      </c>
      <c r="AK11" s="253">
        <f>AK3*AK6*AK8/100</f>
        <v>149.40450000000001</v>
      </c>
      <c r="AM11" s="253">
        <f>AM3*AM6*AM8/100</f>
        <v>130.48695000000001</v>
      </c>
      <c r="AN11" s="253">
        <f>AN3*AN6*AN8/100</f>
        <v>92.641971240000004</v>
      </c>
      <c r="AO11" s="253">
        <f>AO3*AO6*AO8/100</f>
        <v>117.40667400000002</v>
      </c>
      <c r="AQ11" s="253">
        <f>AQ3*AQ6*AQ8/100</f>
        <v>121.64127706501685</v>
      </c>
      <c r="AS11" s="253">
        <f>AS3*AS6*AS8/100</f>
        <v>118.99426884302311</v>
      </c>
      <c r="AT11" s="253">
        <f>AT3*AT6*AT8/100</f>
        <v>122.52002495689045</v>
      </c>
      <c r="AV11" s="253">
        <f>AV3*AV6*AV8/100</f>
        <v>209.67663880653433</v>
      </c>
    </row>
    <row r="12" spans="1:48">
      <c r="A12" s="339" t="s">
        <v>563</v>
      </c>
      <c r="B12" s="114">
        <f>B3*(B6+2*B8)</f>
        <v>934.57408540356528</v>
      </c>
      <c r="C12" s="114">
        <f t="shared" ref="C12:N12" si="1">C3*(C6+2*C8)</f>
        <v>1421.4956760238517</v>
      </c>
      <c r="D12" s="114">
        <f t="shared" si="1"/>
        <v>2070.0218620291189</v>
      </c>
      <c r="E12" s="114">
        <f t="shared" si="1"/>
        <v>2070.0218620291189</v>
      </c>
      <c r="F12" s="114">
        <f t="shared" si="1"/>
        <v>1440.8199783080256</v>
      </c>
      <c r="G12" s="114">
        <f t="shared" si="1"/>
        <v>1989.7364468411349</v>
      </c>
      <c r="H12" s="114">
        <f t="shared" si="1"/>
        <v>1693.8958720971391</v>
      </c>
      <c r="I12" s="114">
        <f t="shared" si="1"/>
        <v>1763.3425834308875</v>
      </c>
      <c r="J12" s="114">
        <f t="shared" si="1"/>
        <v>1787.4979612861077</v>
      </c>
      <c r="K12" s="114">
        <f t="shared" si="1"/>
        <v>1044.1790959175917</v>
      </c>
      <c r="L12" s="114">
        <f t="shared" si="1"/>
        <v>1516.716175529119</v>
      </c>
      <c r="M12" s="114">
        <f t="shared" si="1"/>
        <v>3987.6441005789102</v>
      </c>
      <c r="N12" s="114">
        <f t="shared" si="1"/>
        <v>4914.0000000000009</v>
      </c>
      <c r="O12" s="128">
        <f>O3*(O8+O8+O6)</f>
        <v>6241.988800000001</v>
      </c>
      <c r="P12" s="114">
        <f>P3*(P6+2*P8)</f>
        <v>2696.5885798368081</v>
      </c>
      <c r="Q12" s="148">
        <f>Q3*(Q6+2*Q8)</f>
        <v>3048.2042936696917</v>
      </c>
      <c r="R12" s="148"/>
      <c r="S12" s="254">
        <f>S3*(S6+2*S8)</f>
        <v>2504.36</v>
      </c>
      <c r="T12" s="254">
        <f>T3*(T6+2*T8)</f>
        <v>2369.85</v>
      </c>
      <c r="U12" s="254">
        <f>U3*(U6+2*U8)</f>
        <v>1829.5200000000002</v>
      </c>
      <c r="W12" s="254">
        <f>W3*(W6+2*W8)</f>
        <v>3968.36</v>
      </c>
      <c r="Y12" s="254">
        <f>Y3*(Y6+2*Y8)</f>
        <v>5837</v>
      </c>
      <c r="Z12" s="254">
        <f>Z3*(Z6+2*Z8)</f>
        <v>6162.8</v>
      </c>
      <c r="AA12" s="254">
        <f>AA3*(AA6+2*AA8)</f>
        <v>4941</v>
      </c>
      <c r="AC12" s="254">
        <f>AC3*(AC6+2*AC8)</f>
        <v>2796.72</v>
      </c>
      <c r="AD12" s="254">
        <f>AD3*(AD6+2*AD8)</f>
        <v>4380.2300000000005</v>
      </c>
      <c r="AE12" s="254">
        <f>AE3*(AE6+2*AE8)</f>
        <v>6326.32</v>
      </c>
      <c r="AG12" s="254">
        <f>AG3*(AG6+2*AG8)</f>
        <v>2803.6</v>
      </c>
      <c r="AH12" s="254">
        <f>AH3*(AH6+2*AH8)</f>
        <v>4362.45</v>
      </c>
      <c r="AI12" s="254">
        <f>AI3*(AI6+2*AI8)</f>
        <v>6261.97</v>
      </c>
      <c r="AJ12" s="254">
        <f>AJ3*(AJ6+2*AJ8)</f>
        <v>4899.4000000000005</v>
      </c>
      <c r="AK12" s="254">
        <f>AK3*(AK6+2*AK8)</f>
        <v>3819.9</v>
      </c>
      <c r="AM12" s="254">
        <f>AM3*(AM6+2*AM8)</f>
        <v>3291.75</v>
      </c>
      <c r="AN12" s="254">
        <f>AN3*(AN6+2*AN8)</f>
        <v>2506.9856399999999</v>
      </c>
      <c r="AO12" s="254">
        <f>AO3*(AO6+2*AO8)</f>
        <v>2999.9360000000006</v>
      </c>
      <c r="AQ12" s="254">
        <f>AQ3*(AQ6+2*AQ8)</f>
        <v>3150.9848457855269</v>
      </c>
      <c r="AS12" s="254">
        <f>AS3*(AS6+2*AS8)</f>
        <v>3120.7785690039022</v>
      </c>
      <c r="AT12" s="254">
        <f>AT3*(AT6+2*AT8)</f>
        <v>3161.0126582504276</v>
      </c>
      <c r="AV12" s="254">
        <f>AV3*(AV6+2*AV8)</f>
        <v>4585.5361551452497</v>
      </c>
    </row>
    <row r="13" spans="1:48">
      <c r="A13" s="103" t="s">
        <v>564</v>
      </c>
      <c r="B13" s="114">
        <f>B3*B7</f>
        <v>512.75983184329073</v>
      </c>
      <c r="C13" s="114">
        <f t="shared" ref="C13:Q13" si="2">C3*C7</f>
        <v>527.93993840363805</v>
      </c>
      <c r="D13" s="114">
        <f t="shared" si="2"/>
        <v>1017.7868459295943</v>
      </c>
      <c r="E13" s="114">
        <f t="shared" si="2"/>
        <v>1017.7868459295943</v>
      </c>
      <c r="F13" s="114">
        <f t="shared" si="2"/>
        <v>550.74261509896337</v>
      </c>
      <c r="G13" s="114">
        <f t="shared" si="2"/>
        <v>1038.9706292010667</v>
      </c>
      <c r="H13" s="114">
        <f t="shared" si="2"/>
        <v>829.17979753006443</v>
      </c>
      <c r="I13" s="114">
        <f t="shared" si="2"/>
        <v>857.51591386022915</v>
      </c>
      <c r="J13" s="114">
        <f t="shared" si="2"/>
        <v>927.56650964036032</v>
      </c>
      <c r="K13" s="114">
        <f t="shared" si="2"/>
        <v>329.18326358976111</v>
      </c>
      <c r="L13" s="114">
        <f t="shared" si="2"/>
        <v>663.2695137845003</v>
      </c>
      <c r="M13" s="114">
        <f t="shared" si="2"/>
        <v>1713.322370210713</v>
      </c>
      <c r="N13" s="107">
        <f t="shared" si="2"/>
        <v>2524.5</v>
      </c>
      <c r="O13" s="128">
        <f t="shared" si="2"/>
        <v>2905.6543999999999</v>
      </c>
      <c r="P13" s="114">
        <f t="shared" si="2"/>
        <v>1275.5669348939286</v>
      </c>
      <c r="Q13" s="148">
        <f t="shared" si="2"/>
        <v>1121.2740589793127</v>
      </c>
      <c r="R13" s="148"/>
      <c r="S13" s="254">
        <f>S3*S7</f>
        <v>1120.2075400000001</v>
      </c>
      <c r="T13" s="254">
        <f>T3*T7</f>
        <v>894.95481599999994</v>
      </c>
      <c r="U13" s="254">
        <f>U3*U7</f>
        <v>913.05403200000012</v>
      </c>
      <c r="W13" s="254">
        <f>W3*W7</f>
        <v>1779.8306080000002</v>
      </c>
      <c r="Y13" s="254">
        <f>Y3*Y7</f>
        <v>2761.4340000000002</v>
      </c>
      <c r="Z13" s="254">
        <f>Z3*Z7</f>
        <v>2878.3968</v>
      </c>
      <c r="AA13" s="254">
        <f>AA3*AA7</f>
        <v>2527.7886000000003</v>
      </c>
      <c r="AC13" s="254">
        <f>AC3*AC7</f>
        <v>1356.9131600000001</v>
      </c>
      <c r="AD13" s="254">
        <f>AD3*AD7</f>
        <v>2099.45478</v>
      </c>
      <c r="AE13" s="254">
        <f>AE3*AE7</f>
        <v>3046.6149999999998</v>
      </c>
      <c r="AG13" s="254">
        <f>AG3*AG7</f>
        <v>1360.9586000000002</v>
      </c>
      <c r="AH13" s="254">
        <f>AH3*AH7</f>
        <v>2084.6694399999997</v>
      </c>
      <c r="AI13" s="254">
        <f>AI3*AI7</f>
        <v>3010.0928000000004</v>
      </c>
      <c r="AJ13" s="254">
        <f>AJ3*AJ7</f>
        <v>2414.00774</v>
      </c>
      <c r="AK13" s="254">
        <f>AK3*AK7</f>
        <v>1741.7863400000001</v>
      </c>
      <c r="AM13" s="254">
        <f>AM3*AM7</f>
        <v>1777.05</v>
      </c>
      <c r="AN13" s="254">
        <f>AN3*AN7</f>
        <v>1208.1700800000001</v>
      </c>
      <c r="AO13" s="254">
        <f>AO3*AO7</f>
        <v>1618.096</v>
      </c>
      <c r="AQ13" s="254">
        <f>AQ3*AQ7</f>
        <v>1561.971275940869</v>
      </c>
      <c r="AS13" s="254">
        <f>AS3*AS7</f>
        <v>1568.0672571638308</v>
      </c>
      <c r="AT13" s="254">
        <f>AT3*AT7</f>
        <v>1567.8319312362837</v>
      </c>
      <c r="AV13" s="254">
        <f>AV3*AV7</f>
        <v>1956.5856062726327</v>
      </c>
    </row>
    <row r="14" spans="1:48">
      <c r="A14" s="103" t="s">
        <v>565</v>
      </c>
      <c r="B14" s="114">
        <f>B3*B8</f>
        <v>238.6238744473423</v>
      </c>
      <c r="C14" s="114">
        <f t="shared" ref="C14:Q14" si="3">C3*C8</f>
        <v>411.22115260722626</v>
      </c>
      <c r="D14" s="114">
        <f t="shared" si="3"/>
        <v>590.05539965303012</v>
      </c>
      <c r="E14" s="114">
        <f t="shared" si="3"/>
        <v>590.05539965303012</v>
      </c>
      <c r="F14" s="114">
        <f t="shared" si="3"/>
        <v>411.22115260722626</v>
      </c>
      <c r="G14" s="114">
        <f t="shared" si="3"/>
        <v>525.89554799886196</v>
      </c>
      <c r="H14" s="114">
        <f t="shared" si="3"/>
        <v>467.89431432053834</v>
      </c>
      <c r="I14" s="114">
        <f t="shared" si="3"/>
        <v>477.06871264054922</v>
      </c>
      <c r="J14" s="114">
        <f t="shared" si="3"/>
        <v>477.06871264054922</v>
      </c>
      <c r="K14" s="114">
        <f t="shared" si="3"/>
        <v>301.08550624317007</v>
      </c>
      <c r="L14" s="114">
        <f t="shared" si="3"/>
        <v>426.7233308723093</v>
      </c>
      <c r="M14" s="114">
        <f t="shared" si="3"/>
        <v>1137.1608651840984</v>
      </c>
      <c r="N14" s="107">
        <f t="shared" si="3"/>
        <v>1323</v>
      </c>
      <c r="O14" s="128">
        <f t="shared" si="3"/>
        <v>1830.39</v>
      </c>
      <c r="P14" s="114">
        <f t="shared" si="3"/>
        <v>810.92056159871061</v>
      </c>
      <c r="Q14" s="148">
        <f t="shared" si="3"/>
        <v>844.41626663874365</v>
      </c>
      <c r="R14" s="148"/>
      <c r="S14" s="254">
        <f>S3*S8</f>
        <v>694.64</v>
      </c>
      <c r="T14" s="254">
        <f>T3*T8</f>
        <v>738.15</v>
      </c>
      <c r="U14" s="254">
        <f>U3*U8</f>
        <v>498.96</v>
      </c>
      <c r="W14" s="254">
        <f>W3*W8</f>
        <v>1132.04</v>
      </c>
      <c r="Y14" s="254">
        <f>Y3*Y8</f>
        <v>1690</v>
      </c>
      <c r="Z14" s="254">
        <f>Z3*Z8</f>
        <v>1803.3999999999999</v>
      </c>
      <c r="AA14" s="254">
        <f>AA3*AA8</f>
        <v>1323</v>
      </c>
      <c r="AC14" s="254">
        <f>AC3*AC8</f>
        <v>795.5</v>
      </c>
      <c r="AD14" s="254">
        <f>AD3*AD8</f>
        <v>1238.25</v>
      </c>
      <c r="AE14" s="254">
        <f>AE3*AE8</f>
        <v>1787.5</v>
      </c>
      <c r="AG14" s="254">
        <f>AG3*AG8</f>
        <v>795.5</v>
      </c>
      <c r="AH14" s="254">
        <f>AH3*AH8</f>
        <v>1238.25</v>
      </c>
      <c r="AI14" s="254">
        <f>AI3*AI8</f>
        <v>1787.5</v>
      </c>
      <c r="AJ14" s="254">
        <f>AJ3*AJ8</f>
        <v>1362.4</v>
      </c>
      <c r="AK14" s="254">
        <f>AK3*AK8</f>
        <v>1106.7</v>
      </c>
      <c r="AM14" s="254">
        <f>AM3*AM8</f>
        <v>999.9</v>
      </c>
      <c r="AN14" s="254">
        <f>AN3*AN8</f>
        <v>744.471</v>
      </c>
      <c r="AO14" s="254">
        <f>AO3*AO8</f>
        <v>899.66800000000001</v>
      </c>
      <c r="AQ14" s="254">
        <f>AQ3*AQ8</f>
        <v>881.43902846683773</v>
      </c>
      <c r="AS14" s="254">
        <f>AS3*AS8</f>
        <v>881.43902846683773</v>
      </c>
      <c r="AT14" s="254">
        <f>AT3*AT8</f>
        <v>881.43902846683773</v>
      </c>
      <c r="AV14" s="254">
        <f>AV3*AV8</f>
        <v>1407.0507600664305</v>
      </c>
    </row>
    <row r="15" spans="1:48">
      <c r="A15" s="339" t="s">
        <v>566</v>
      </c>
      <c r="B15" s="111"/>
      <c r="C15" s="107">
        <v>43.282126310655897</v>
      </c>
      <c r="D15" s="108">
        <v>55.626676420385301</v>
      </c>
      <c r="E15" s="108">
        <v>55.626676420385301</v>
      </c>
      <c r="F15" s="107">
        <v>43.282126310655897</v>
      </c>
      <c r="G15" s="105" t="s">
        <v>567</v>
      </c>
      <c r="H15" s="108">
        <v>54.864667154352603</v>
      </c>
      <c r="I15" s="110">
        <v>54.864667154352603</v>
      </c>
      <c r="J15" s="110">
        <v>54.864667154352603</v>
      </c>
      <c r="K15" s="107"/>
      <c r="L15" s="108">
        <v>55.626676420385301</v>
      </c>
      <c r="M15" s="107"/>
      <c r="O15" s="172"/>
      <c r="Q15" s="184"/>
      <c r="R15" s="184"/>
      <c r="S15" s="253"/>
      <c r="T15" s="253"/>
      <c r="U15" s="253"/>
      <c r="W15" s="253"/>
      <c r="Y15" s="253"/>
      <c r="Z15" s="253"/>
      <c r="AA15" s="253"/>
      <c r="AC15" s="253"/>
      <c r="AD15" s="253"/>
      <c r="AE15" s="253"/>
      <c r="AG15" s="253"/>
      <c r="AH15" s="253"/>
      <c r="AI15" s="253"/>
      <c r="AJ15" s="253"/>
      <c r="AK15" s="253"/>
      <c r="AM15" s="253"/>
      <c r="AN15" s="253"/>
      <c r="AO15" s="253"/>
      <c r="AQ15" s="251"/>
      <c r="AS15" s="251"/>
      <c r="AT15" s="251"/>
      <c r="AV15" s="251"/>
    </row>
    <row r="16" spans="1:48">
      <c r="A16" s="103" t="s">
        <v>568</v>
      </c>
      <c r="B16" s="111"/>
      <c r="C16" s="107">
        <v>10</v>
      </c>
      <c r="D16" s="105">
        <v>11</v>
      </c>
      <c r="E16" s="105">
        <v>11</v>
      </c>
      <c r="F16" s="107">
        <v>7</v>
      </c>
      <c r="G16" s="107">
        <v>12</v>
      </c>
      <c r="H16" s="105">
        <v>12</v>
      </c>
      <c r="I16" s="107">
        <v>12</v>
      </c>
      <c r="J16" s="107">
        <v>12</v>
      </c>
      <c r="K16" s="107"/>
      <c r="L16" s="105">
        <v>11</v>
      </c>
      <c r="M16" s="107"/>
      <c r="O16" s="172"/>
      <c r="Q16" s="184"/>
      <c r="R16" s="184"/>
      <c r="S16" s="253"/>
      <c r="T16" s="253"/>
      <c r="U16" s="253"/>
      <c r="W16" s="253"/>
      <c r="Y16" s="253"/>
      <c r="Z16" s="253"/>
      <c r="AA16" s="253"/>
      <c r="AC16" s="253"/>
      <c r="AD16" s="253"/>
      <c r="AE16" s="253"/>
      <c r="AG16" s="253"/>
      <c r="AH16" s="253"/>
      <c r="AI16" s="253"/>
      <c r="AJ16" s="253"/>
      <c r="AK16" s="253"/>
      <c r="AM16" s="253"/>
      <c r="AN16" s="253"/>
      <c r="AO16" s="253"/>
      <c r="AQ16" s="251"/>
      <c r="AS16" s="251"/>
      <c r="AT16" s="251"/>
      <c r="AV16" s="251"/>
    </row>
    <row r="17" spans="1:48">
      <c r="A17" s="339" t="s">
        <v>569</v>
      </c>
      <c r="B17" s="111"/>
      <c r="C17" s="159">
        <v>0.97199999999999998</v>
      </c>
      <c r="D17" s="105"/>
      <c r="E17" s="105"/>
      <c r="F17" s="159">
        <v>0.97199999999999998</v>
      </c>
      <c r="G17" s="159"/>
      <c r="H17" s="105"/>
      <c r="I17" s="159">
        <v>1</v>
      </c>
      <c r="J17" s="159">
        <v>1</v>
      </c>
      <c r="K17" s="159"/>
      <c r="L17" s="105"/>
      <c r="M17" s="159"/>
      <c r="O17" s="172"/>
      <c r="Q17" s="184"/>
      <c r="R17" s="184"/>
      <c r="S17" s="255"/>
      <c r="T17" s="255"/>
      <c r="U17" s="255"/>
      <c r="W17" s="255"/>
      <c r="Y17" s="255"/>
      <c r="Z17" s="255"/>
      <c r="AA17" s="255"/>
      <c r="AC17" s="255"/>
      <c r="AD17" s="255"/>
      <c r="AE17" s="255"/>
      <c r="AG17" s="255"/>
      <c r="AH17" s="255"/>
      <c r="AI17" s="255"/>
      <c r="AJ17" s="255"/>
      <c r="AK17" s="255"/>
      <c r="AM17" s="255"/>
      <c r="AN17" s="255"/>
      <c r="AO17" s="255"/>
      <c r="AQ17" s="251"/>
      <c r="AS17" s="251"/>
      <c r="AT17" s="251"/>
      <c r="AV17" s="251"/>
    </row>
    <row r="18" spans="1:48">
      <c r="A18" s="339" t="s">
        <v>570</v>
      </c>
      <c r="B18" s="160"/>
      <c r="C18" s="107"/>
      <c r="D18" s="105"/>
      <c r="E18" s="105"/>
      <c r="F18" s="107"/>
      <c r="G18" s="107"/>
      <c r="H18" s="161"/>
      <c r="I18" s="107"/>
      <c r="K18" s="107">
        <v>10</v>
      </c>
      <c r="L18" s="161"/>
      <c r="M18" s="107"/>
      <c r="N18" s="173"/>
      <c r="O18" s="174"/>
      <c r="P18" s="173"/>
      <c r="Q18" s="185"/>
      <c r="R18" s="185"/>
      <c r="S18" s="253"/>
      <c r="T18" s="253"/>
      <c r="U18" s="253"/>
      <c r="W18" s="253"/>
      <c r="Y18" s="253"/>
      <c r="Z18" s="253"/>
      <c r="AA18" s="253"/>
      <c r="AC18" s="253"/>
      <c r="AD18" s="253"/>
      <c r="AE18" s="253"/>
      <c r="AG18" s="253"/>
      <c r="AH18" s="253"/>
      <c r="AI18" s="253"/>
      <c r="AJ18" s="253"/>
      <c r="AK18" s="253"/>
      <c r="AM18" s="253"/>
      <c r="AN18" s="253"/>
      <c r="AO18" s="253"/>
      <c r="AQ18" s="251"/>
      <c r="AS18" s="251"/>
      <c r="AT18" s="251"/>
      <c r="AV18" s="251"/>
    </row>
    <row r="19" spans="1:48">
      <c r="A19" s="103"/>
      <c r="B19" s="160"/>
      <c r="C19" s="107"/>
      <c r="D19" s="105"/>
      <c r="E19" s="105"/>
      <c r="F19" s="107"/>
      <c r="G19" s="107"/>
      <c r="H19" s="161"/>
      <c r="I19" s="107"/>
      <c r="K19" s="107"/>
      <c r="L19" s="161"/>
      <c r="M19" s="107"/>
      <c r="N19" s="173"/>
      <c r="O19" s="174"/>
      <c r="P19" s="173"/>
      <c r="Q19" s="185"/>
      <c r="R19" s="185"/>
      <c r="S19" s="253"/>
      <c r="T19" s="253"/>
      <c r="U19" s="253"/>
      <c r="W19" s="253"/>
      <c r="Y19" s="253"/>
      <c r="Z19" s="253"/>
      <c r="AA19" s="253"/>
      <c r="AC19" s="253"/>
      <c r="AD19" s="253"/>
      <c r="AE19" s="253"/>
      <c r="AG19" s="253"/>
      <c r="AH19" s="253"/>
      <c r="AI19" s="253"/>
      <c r="AJ19" s="253"/>
      <c r="AK19" s="253"/>
      <c r="AM19" s="253"/>
      <c r="AN19" s="253"/>
      <c r="AO19" s="253"/>
      <c r="AQ19" s="251"/>
      <c r="AS19" s="251"/>
      <c r="AT19" s="251"/>
      <c r="AV19" s="251"/>
    </row>
    <row r="20" spans="1:48">
      <c r="A20" s="103" t="s">
        <v>571</v>
      </c>
      <c r="B20" s="160"/>
      <c r="C20" s="107"/>
      <c r="D20" s="105"/>
      <c r="E20" s="105"/>
      <c r="F20" s="107"/>
      <c r="G20" s="107"/>
      <c r="H20" s="161"/>
      <c r="I20" s="107"/>
      <c r="K20" s="107"/>
      <c r="L20" s="161" t="s">
        <v>572</v>
      </c>
      <c r="M20" s="107" t="s">
        <v>572</v>
      </c>
      <c r="N20" s="173"/>
      <c r="O20" s="174"/>
      <c r="P20" s="108" t="s">
        <v>572</v>
      </c>
      <c r="Q20" s="142" t="s">
        <v>572</v>
      </c>
      <c r="R20" s="142"/>
      <c r="S20" s="253"/>
      <c r="T20" s="253"/>
      <c r="U20" s="253"/>
      <c r="W20" s="253"/>
      <c r="Y20" s="253"/>
      <c r="Z20" s="253"/>
      <c r="AA20" s="253"/>
      <c r="AC20" s="253"/>
      <c r="AD20" s="253"/>
      <c r="AE20" s="253"/>
      <c r="AG20" s="253"/>
      <c r="AH20" s="253"/>
      <c r="AI20" s="253"/>
      <c r="AJ20" s="253"/>
      <c r="AK20" s="253"/>
      <c r="AM20" s="253"/>
      <c r="AN20" s="253"/>
      <c r="AO20" s="253"/>
      <c r="AQ20" s="251"/>
      <c r="AS20" s="251"/>
      <c r="AT20" s="251"/>
      <c r="AV20" s="251"/>
    </row>
    <row r="21" spans="1:48">
      <c r="A21" s="103" t="s">
        <v>573</v>
      </c>
      <c r="B21" s="160"/>
      <c r="C21" s="107"/>
      <c r="D21" s="105"/>
      <c r="E21" s="105"/>
      <c r="F21" s="107"/>
      <c r="G21" s="107"/>
      <c r="H21" s="161"/>
      <c r="I21" s="107"/>
      <c r="K21" s="107"/>
      <c r="L21" s="161" t="s">
        <v>574</v>
      </c>
      <c r="M21" s="107" t="s">
        <v>574</v>
      </c>
      <c r="N21" s="173"/>
      <c r="O21" s="174"/>
      <c r="P21" s="108" t="s">
        <v>572</v>
      </c>
      <c r="Q21" s="142" t="s">
        <v>572</v>
      </c>
      <c r="R21" s="142"/>
      <c r="S21" s="253"/>
      <c r="T21" s="253"/>
      <c r="U21" s="253"/>
      <c r="W21" s="253"/>
      <c r="Y21" s="253"/>
      <c r="Z21" s="253"/>
      <c r="AA21" s="253"/>
      <c r="AC21" s="253"/>
      <c r="AD21" s="253"/>
      <c r="AE21" s="253"/>
      <c r="AG21" s="253"/>
      <c r="AH21" s="253"/>
      <c r="AI21" s="253"/>
      <c r="AJ21" s="253"/>
      <c r="AK21" s="253"/>
      <c r="AM21" s="253"/>
      <c r="AN21" s="253"/>
      <c r="AO21" s="253"/>
      <c r="AQ21" s="251"/>
      <c r="AS21" s="251"/>
      <c r="AT21" s="251"/>
      <c r="AV21" s="251"/>
    </row>
    <row r="22" spans="1:48">
      <c r="A22" s="103"/>
      <c r="B22" s="160"/>
      <c r="C22" s="107"/>
      <c r="D22" s="105"/>
      <c r="E22" s="105"/>
      <c r="F22" s="107"/>
      <c r="G22" s="107"/>
      <c r="H22" s="161"/>
      <c r="I22" s="107"/>
      <c r="K22" s="107"/>
      <c r="L22" s="161"/>
      <c r="M22" s="107"/>
      <c r="N22" s="173"/>
      <c r="O22" s="174"/>
      <c r="P22" s="173"/>
      <c r="Q22" s="185"/>
      <c r="R22" s="185"/>
      <c r="S22" s="253"/>
      <c r="T22" s="253"/>
      <c r="U22" s="253"/>
      <c r="W22" s="253"/>
      <c r="Y22" s="253"/>
      <c r="Z22" s="253"/>
      <c r="AA22" s="253"/>
      <c r="AC22" s="253"/>
      <c r="AD22" s="253"/>
      <c r="AE22" s="253"/>
      <c r="AG22" s="253"/>
      <c r="AH22" s="253"/>
      <c r="AI22" s="253"/>
      <c r="AJ22" s="253"/>
      <c r="AK22" s="253"/>
      <c r="AM22" s="253"/>
      <c r="AN22" s="253"/>
      <c r="AO22" s="253"/>
      <c r="AQ22" s="251"/>
      <c r="AS22" s="251"/>
      <c r="AT22" s="251"/>
      <c r="AV22" s="251"/>
    </row>
    <row r="23" spans="1:48">
      <c r="A23" s="103" t="s">
        <v>575</v>
      </c>
      <c r="B23" s="160"/>
      <c r="C23" s="107"/>
      <c r="D23" s="105"/>
      <c r="E23" s="105"/>
      <c r="F23" s="107"/>
      <c r="G23" s="107"/>
      <c r="H23" s="161"/>
      <c r="I23" s="107"/>
      <c r="J23" s="107"/>
      <c r="K23" s="107"/>
      <c r="L23" s="161">
        <v>30205</v>
      </c>
      <c r="M23" s="107"/>
      <c r="N23" s="173"/>
      <c r="O23" s="174"/>
      <c r="P23" s="173"/>
      <c r="Q23" s="185"/>
      <c r="R23" s="185"/>
      <c r="S23" s="253"/>
      <c r="T23" s="253"/>
      <c r="U23" s="253"/>
      <c r="W23" s="253"/>
      <c r="Y23" s="253"/>
      <c r="Z23" s="253"/>
      <c r="AA23" s="253"/>
      <c r="AC23" s="253"/>
      <c r="AD23" s="253"/>
      <c r="AE23" s="253"/>
      <c r="AG23" s="253"/>
      <c r="AH23" s="253"/>
      <c r="AI23" s="253"/>
      <c r="AJ23" s="253"/>
      <c r="AK23" s="253"/>
      <c r="AM23" s="253"/>
      <c r="AN23" s="253"/>
      <c r="AO23" s="253"/>
      <c r="AQ23" s="251"/>
      <c r="AS23" s="251"/>
      <c r="AT23" s="251"/>
      <c r="AV23" s="251"/>
    </row>
    <row r="24" spans="1:48">
      <c r="A24" s="103" t="s">
        <v>575</v>
      </c>
      <c r="B24" s="160"/>
      <c r="C24" s="107"/>
      <c r="D24" s="105"/>
      <c r="E24" s="105"/>
      <c r="F24" s="107"/>
      <c r="G24" s="107"/>
      <c r="H24" s="161"/>
      <c r="I24" s="107"/>
      <c r="J24" s="107"/>
      <c r="K24" s="107"/>
      <c r="L24" s="161">
        <v>58985</v>
      </c>
      <c r="M24" s="107"/>
      <c r="N24" s="173"/>
      <c r="O24" s="174"/>
      <c r="P24" s="173"/>
      <c r="Q24" s="185"/>
      <c r="R24" s="185"/>
      <c r="S24" s="253"/>
      <c r="T24" s="253"/>
      <c r="U24" s="253"/>
      <c r="W24" s="253"/>
      <c r="Y24" s="253"/>
      <c r="Z24" s="253"/>
      <c r="AA24" s="253"/>
      <c r="AC24" s="253"/>
      <c r="AD24" s="253"/>
      <c r="AE24" s="253"/>
      <c r="AG24" s="253"/>
      <c r="AH24" s="253"/>
      <c r="AI24" s="253"/>
      <c r="AJ24" s="253"/>
      <c r="AK24" s="253"/>
      <c r="AM24" s="253"/>
      <c r="AN24" s="253"/>
      <c r="AO24" s="253"/>
      <c r="AQ24" s="251"/>
      <c r="AS24" s="251"/>
      <c r="AT24" s="251"/>
      <c r="AV24" s="251"/>
    </row>
    <row r="25" spans="1:48">
      <c r="A25" s="103" t="s">
        <v>576</v>
      </c>
      <c r="B25" s="160"/>
      <c r="C25" s="107"/>
      <c r="D25" s="105"/>
      <c r="E25" s="105"/>
      <c r="F25" s="107"/>
      <c r="G25" s="107"/>
      <c r="H25" s="161"/>
      <c r="I25" s="107"/>
      <c r="J25" s="107"/>
      <c r="K25" s="107"/>
      <c r="L25" s="161">
        <v>89187</v>
      </c>
      <c r="M25" s="107"/>
      <c r="N25" s="173"/>
      <c r="O25" s="173"/>
      <c r="P25" s="173"/>
      <c r="Q25" s="185"/>
      <c r="R25" s="185"/>
      <c r="S25" s="253"/>
      <c r="T25" s="253"/>
      <c r="U25" s="253"/>
      <c r="W25" s="253"/>
      <c r="Y25" s="253"/>
      <c r="Z25" s="253"/>
      <c r="AA25" s="253"/>
      <c r="AC25" s="253"/>
      <c r="AD25" s="253"/>
      <c r="AE25" s="253"/>
      <c r="AG25" s="253"/>
      <c r="AH25" s="253"/>
      <c r="AI25" s="253"/>
      <c r="AJ25" s="253"/>
      <c r="AK25" s="253"/>
      <c r="AM25" s="253"/>
      <c r="AN25" s="253"/>
      <c r="AO25" s="253"/>
      <c r="AQ25" s="251"/>
      <c r="AS25" s="251"/>
      <c r="AT25" s="251"/>
      <c r="AV25" s="251"/>
    </row>
    <row r="26" spans="1:48">
      <c r="A26" s="116"/>
      <c r="B26" s="160"/>
      <c r="C26" s="107"/>
      <c r="D26" s="105"/>
      <c r="E26" s="105"/>
      <c r="F26" s="107"/>
      <c r="G26" s="107"/>
      <c r="H26" s="161"/>
      <c r="I26" s="107"/>
      <c r="J26" s="107"/>
      <c r="K26" s="107"/>
      <c r="L26" s="161"/>
      <c r="M26" s="173"/>
      <c r="N26" s="173"/>
      <c r="O26" s="174"/>
      <c r="P26" s="175"/>
      <c r="Q26" s="141"/>
      <c r="R26" s="141"/>
      <c r="S26" s="253"/>
      <c r="T26" s="253"/>
      <c r="U26" s="253"/>
      <c r="W26" s="253"/>
      <c r="Y26" s="253"/>
      <c r="Z26" s="253"/>
      <c r="AA26" s="253"/>
      <c r="AC26" s="253"/>
      <c r="AD26" s="253"/>
      <c r="AE26" s="253"/>
      <c r="AG26" s="253"/>
      <c r="AH26" s="253"/>
      <c r="AI26" s="253"/>
      <c r="AJ26" s="253"/>
      <c r="AK26" s="253"/>
      <c r="AM26" s="253"/>
      <c r="AN26" s="253"/>
      <c r="AO26" s="253"/>
      <c r="AQ26" s="251"/>
      <c r="AS26" s="251"/>
      <c r="AT26" s="251"/>
      <c r="AV26" s="251"/>
    </row>
    <row r="27" spans="1:48">
      <c r="A27" s="339" t="s">
        <v>577</v>
      </c>
      <c r="B27" s="160"/>
      <c r="C27" s="107">
        <v>737.17104215555605</v>
      </c>
      <c r="D27" s="162"/>
      <c r="E27" s="162"/>
      <c r="F27" s="107">
        <v>737.17104215555605</v>
      </c>
      <c r="G27" s="163"/>
      <c r="H27" s="161"/>
      <c r="I27" s="107">
        <v>737.17104215555605</v>
      </c>
      <c r="J27" s="107">
        <v>737.17104215555605</v>
      </c>
      <c r="K27" s="163"/>
      <c r="L27" s="161"/>
      <c r="N27" s="177"/>
      <c r="O27" s="178"/>
      <c r="P27" s="176">
        <v>986</v>
      </c>
      <c r="Q27" s="141"/>
      <c r="R27" s="141"/>
      <c r="S27" s="253"/>
      <c r="T27" s="253"/>
      <c r="U27" s="253"/>
      <c r="W27" s="253"/>
      <c r="Y27" s="253"/>
      <c r="Z27" s="253"/>
      <c r="AA27" s="253"/>
      <c r="AC27" s="253"/>
      <c r="AD27" s="253"/>
      <c r="AE27" s="253"/>
      <c r="AG27" s="253"/>
      <c r="AH27" s="253"/>
      <c r="AI27" s="253"/>
      <c r="AJ27" s="253"/>
      <c r="AK27" s="253"/>
      <c r="AM27" s="253"/>
      <c r="AN27" s="253"/>
      <c r="AO27" s="253"/>
      <c r="AQ27" s="251"/>
      <c r="AS27" s="251"/>
      <c r="AT27" s="251"/>
      <c r="AV27" s="251"/>
    </row>
    <row r="28" spans="1:48">
      <c r="A28" s="339" t="s">
        <v>578</v>
      </c>
      <c r="B28" s="160"/>
      <c r="C28" s="107">
        <v>465.772483918815</v>
      </c>
      <c r="D28" s="162"/>
      <c r="E28" s="162"/>
      <c r="F28" s="107">
        <v>528.21340847140402</v>
      </c>
      <c r="G28" s="163"/>
      <c r="H28" s="161"/>
      <c r="I28" s="107">
        <v>465.772483918815</v>
      </c>
      <c r="J28" s="107">
        <v>465.772483918815</v>
      </c>
      <c r="K28" s="163"/>
      <c r="L28" s="161"/>
      <c r="N28" s="177"/>
      <c r="O28" s="178"/>
      <c r="P28" s="176">
        <v>785.5</v>
      </c>
      <c r="Q28" s="141"/>
      <c r="R28" s="141"/>
      <c r="S28" s="253"/>
      <c r="T28" s="253"/>
      <c r="U28" s="253"/>
      <c r="W28" s="253"/>
      <c r="Y28" s="253"/>
      <c r="Z28" s="253"/>
      <c r="AA28" s="253"/>
      <c r="AC28" s="253"/>
      <c r="AD28" s="253"/>
      <c r="AE28" s="253"/>
      <c r="AG28" s="253"/>
      <c r="AH28" s="253"/>
      <c r="AI28" s="253"/>
      <c r="AJ28" s="253"/>
      <c r="AK28" s="253"/>
      <c r="AM28" s="253"/>
      <c r="AN28" s="253"/>
      <c r="AO28" s="253"/>
      <c r="AQ28" s="251"/>
      <c r="AS28" s="251"/>
      <c r="AT28" s="251"/>
      <c r="AV28" s="251"/>
    </row>
    <row r="29" spans="1:48">
      <c r="A29" s="339" t="s">
        <v>579</v>
      </c>
      <c r="B29" s="160"/>
      <c r="C29" s="107">
        <v>71.361056631530502</v>
      </c>
      <c r="D29" s="162"/>
      <c r="E29" s="162"/>
      <c r="F29" s="107">
        <v>71.361056631530502</v>
      </c>
      <c r="G29" s="163"/>
      <c r="H29" s="161"/>
      <c r="I29" s="107">
        <v>71.361056631530502</v>
      </c>
      <c r="J29" s="107">
        <v>71.361056631530502</v>
      </c>
      <c r="K29" s="163"/>
      <c r="L29" s="161"/>
      <c r="N29" s="177"/>
      <c r="O29" s="178"/>
      <c r="P29" s="176">
        <v>138.69999999999999</v>
      </c>
      <c r="Q29" s="141"/>
      <c r="R29" s="141"/>
      <c r="S29" s="253"/>
      <c r="T29" s="253"/>
      <c r="U29" s="253"/>
      <c r="W29" s="253"/>
      <c r="Y29" s="253"/>
      <c r="Z29" s="253"/>
      <c r="AA29" s="253"/>
      <c r="AC29" s="253"/>
      <c r="AD29" s="253"/>
      <c r="AE29" s="253"/>
      <c r="AG29" s="253"/>
      <c r="AH29" s="253"/>
      <c r="AI29" s="253"/>
      <c r="AJ29" s="253"/>
      <c r="AK29" s="253"/>
      <c r="AM29" s="253"/>
      <c r="AN29" s="253"/>
      <c r="AO29" s="253"/>
      <c r="AQ29" s="251"/>
      <c r="AS29" s="251"/>
      <c r="AT29" s="251"/>
      <c r="AV29" s="251"/>
    </row>
    <row r="30" spans="1:48">
      <c r="A30" s="339" t="s">
        <v>580</v>
      </c>
      <c r="B30" s="160"/>
      <c r="C30" s="107">
        <v>0</v>
      </c>
      <c r="D30" s="162"/>
      <c r="E30" s="162"/>
      <c r="F30" s="107">
        <v>39.418488425035903</v>
      </c>
      <c r="G30" s="163"/>
      <c r="H30" s="161"/>
      <c r="I30" s="107"/>
      <c r="J30" s="107">
        <v>0</v>
      </c>
      <c r="K30" s="163"/>
      <c r="L30" s="161"/>
      <c r="N30" s="177"/>
      <c r="O30" s="178"/>
      <c r="P30" s="176">
        <v>61.9</v>
      </c>
      <c r="Q30" s="141"/>
      <c r="R30" s="141"/>
      <c r="S30" s="253"/>
      <c r="T30" s="253"/>
      <c r="U30" s="253"/>
      <c r="W30" s="253"/>
      <c r="Y30" s="253"/>
      <c r="Z30" s="253"/>
      <c r="AA30" s="253"/>
      <c r="AC30" s="253"/>
      <c r="AD30" s="253"/>
      <c r="AE30" s="253"/>
      <c r="AG30" s="253"/>
      <c r="AH30" s="253"/>
      <c r="AI30" s="253"/>
      <c r="AJ30" s="253"/>
      <c r="AK30" s="253"/>
      <c r="AM30" s="253"/>
      <c r="AN30" s="253"/>
      <c r="AO30" s="253"/>
      <c r="AQ30" s="251"/>
      <c r="AS30" s="251"/>
      <c r="AT30" s="251"/>
      <c r="AV30" s="251"/>
    </row>
    <row r="31" spans="1:48">
      <c r="A31" s="164" t="s">
        <v>581</v>
      </c>
      <c r="B31" s="165"/>
      <c r="C31" s="166">
        <v>1274.3045827059</v>
      </c>
      <c r="D31" s="167"/>
      <c r="E31" s="167"/>
      <c r="F31" s="166">
        <v>1376.1639956835299</v>
      </c>
      <c r="G31" s="168"/>
      <c r="H31" s="169">
        <v>800.12168854122797</v>
      </c>
      <c r="I31" s="166">
        <v>1274.3045827059</v>
      </c>
      <c r="J31" s="166">
        <v>1274.3045827059</v>
      </c>
      <c r="K31" s="168"/>
      <c r="L31" s="169">
        <v>800.12168854122797</v>
      </c>
      <c r="M31" s="180">
        <v>4370.8647186812404</v>
      </c>
      <c r="N31" s="181">
        <v>7261</v>
      </c>
      <c r="O31" s="182">
        <v>5437</v>
      </c>
      <c r="P31" s="179">
        <v>1972.1</v>
      </c>
      <c r="Q31" s="186">
        <v>2499</v>
      </c>
      <c r="R31" s="256"/>
      <c r="S31" s="257">
        <v>1175</v>
      </c>
      <c r="T31" s="257">
        <v>1370</v>
      </c>
      <c r="U31" s="257">
        <v>2678</v>
      </c>
      <c r="W31" s="257">
        <v>4371</v>
      </c>
      <c r="Y31" s="257">
        <v>4224</v>
      </c>
      <c r="Z31" s="257">
        <v>5437</v>
      </c>
      <c r="AA31" s="257">
        <v>7477</v>
      </c>
      <c r="AC31" s="257">
        <v>2580</v>
      </c>
      <c r="AD31" s="257">
        <v>5958</v>
      </c>
      <c r="AE31" s="257">
        <v>7341</v>
      </c>
      <c r="AG31" s="257">
        <v>2589</v>
      </c>
      <c r="AH31" s="257">
        <v>5914</v>
      </c>
      <c r="AI31" s="257">
        <v>7244</v>
      </c>
      <c r="AJ31" s="257">
        <v>5051</v>
      </c>
      <c r="AK31" s="257">
        <v>4442</v>
      </c>
      <c r="AM31" s="257">
        <v>4274</v>
      </c>
      <c r="AN31" s="267">
        <f>AM31/AM3*AN3</f>
        <v>3531.8781818181819</v>
      </c>
      <c r="AO31" s="267">
        <f>AN31/AN3*AO3</f>
        <v>3971.7979797979797</v>
      </c>
      <c r="AQ31" s="274">
        <f>132160.6/3.2808^3</f>
        <v>3742.5079607369248</v>
      </c>
      <c r="AS31" s="274">
        <v>3992</v>
      </c>
      <c r="AT31" s="274">
        <f>137470/3.2808^3</f>
        <v>3892.8589107684516</v>
      </c>
      <c r="AV31" s="274">
        <f>134417.6/3.2808^3</f>
        <v>3806.4214150295297</v>
      </c>
    </row>
    <row r="32" spans="1:48">
      <c r="A32" s="103"/>
      <c r="B32" s="105"/>
      <c r="C32" s="107"/>
      <c r="D32" s="105"/>
      <c r="E32" s="105"/>
      <c r="F32" s="107"/>
      <c r="G32" s="107"/>
      <c r="H32" s="105"/>
      <c r="I32" s="107"/>
      <c r="J32" s="107"/>
      <c r="K32" s="107"/>
      <c r="L32" s="105"/>
      <c r="O32" s="172"/>
      <c r="Q32" s="184"/>
      <c r="R32" s="184"/>
      <c r="S32" s="258"/>
      <c r="T32" s="258"/>
      <c r="U32" s="258"/>
      <c r="W32" s="258"/>
      <c r="Y32" s="258"/>
      <c r="Z32" s="258"/>
      <c r="AA32" s="258"/>
      <c r="AC32" s="258"/>
      <c r="AD32" s="258"/>
      <c r="AE32" s="258"/>
      <c r="AG32" s="258"/>
      <c r="AH32" s="258"/>
      <c r="AI32" s="258"/>
      <c r="AJ32" s="258"/>
      <c r="AK32" s="258"/>
      <c r="AM32" s="258"/>
      <c r="AN32" s="258"/>
      <c r="AO32" s="258"/>
      <c r="AQ32" s="258"/>
      <c r="AS32" s="258"/>
      <c r="AT32" s="258"/>
      <c r="AV32" s="258"/>
    </row>
    <row r="33" spans="1:48">
      <c r="A33" s="103" t="s">
        <v>582</v>
      </c>
      <c r="B33" s="105" t="s">
        <v>583</v>
      </c>
      <c r="C33" s="105" t="s">
        <v>583</v>
      </c>
      <c r="D33" s="105" t="s">
        <v>583</v>
      </c>
      <c r="E33" s="105" t="s">
        <v>583</v>
      </c>
      <c r="F33" s="105" t="s">
        <v>583</v>
      </c>
      <c r="G33" s="105" t="s">
        <v>583</v>
      </c>
      <c r="H33" s="105" t="s">
        <v>583</v>
      </c>
      <c r="I33" s="105" t="s">
        <v>583</v>
      </c>
      <c r="J33" s="105" t="s">
        <v>583</v>
      </c>
      <c r="K33" s="105" t="s">
        <v>583</v>
      </c>
      <c r="L33" s="105" t="s">
        <v>583</v>
      </c>
      <c r="M33" s="105" t="s">
        <v>583</v>
      </c>
      <c r="N33" s="105" t="s">
        <v>583</v>
      </c>
      <c r="O33" s="132" t="s">
        <v>583</v>
      </c>
      <c r="P33" s="105" t="s">
        <v>583</v>
      </c>
      <c r="Q33" s="341" t="s">
        <v>583</v>
      </c>
      <c r="R33" s="141"/>
      <c r="S33" s="251"/>
      <c r="T33" s="251"/>
      <c r="U33" s="251"/>
      <c r="W33" s="251"/>
      <c r="Y33" s="251"/>
      <c r="Z33" s="251"/>
      <c r="AA33" s="251"/>
      <c r="AC33" s="251"/>
      <c r="AD33" s="251"/>
      <c r="AE33" s="251"/>
      <c r="AG33" s="251"/>
      <c r="AH33" s="251"/>
      <c r="AI33" s="251"/>
      <c r="AJ33" s="251"/>
      <c r="AK33" s="251"/>
      <c r="AM33" s="251"/>
      <c r="AN33" s="251"/>
      <c r="AO33" s="251"/>
      <c r="AQ33" s="251"/>
      <c r="AS33" s="251"/>
      <c r="AT33" s="251"/>
      <c r="AV33" s="251"/>
    </row>
    <row r="34" spans="1:48">
      <c r="A34" s="115" t="s">
        <v>584</v>
      </c>
      <c r="B34" s="105" t="s">
        <v>539</v>
      </c>
      <c r="C34" s="340" t="s">
        <v>540</v>
      </c>
      <c r="D34" s="105" t="s">
        <v>541</v>
      </c>
      <c r="E34" s="105" t="s">
        <v>542</v>
      </c>
      <c r="F34" s="340" t="s">
        <v>543</v>
      </c>
      <c r="G34" s="105" t="s">
        <v>544</v>
      </c>
      <c r="H34" s="105" t="s">
        <v>585</v>
      </c>
      <c r="I34" s="340" t="s">
        <v>546</v>
      </c>
      <c r="J34" s="105" t="s">
        <v>547</v>
      </c>
      <c r="K34" s="340" t="s">
        <v>548</v>
      </c>
      <c r="L34" s="105" t="s">
        <v>549</v>
      </c>
      <c r="M34" s="340" t="s">
        <v>521</v>
      </c>
      <c r="N34" s="105" t="s">
        <v>550</v>
      </c>
      <c r="O34" s="132" t="s">
        <v>551</v>
      </c>
      <c r="P34" s="105" t="s">
        <v>552</v>
      </c>
      <c r="Q34" s="341" t="s">
        <v>553</v>
      </c>
      <c r="R34" s="141"/>
      <c r="S34" s="251"/>
      <c r="T34" s="251"/>
      <c r="U34" s="251"/>
      <c r="W34" s="251"/>
      <c r="Y34" s="251"/>
      <c r="Z34" s="251"/>
      <c r="AA34" s="251"/>
      <c r="AC34" s="251"/>
      <c r="AD34" s="251"/>
      <c r="AE34" s="251"/>
      <c r="AG34" s="251"/>
      <c r="AH34" s="251"/>
      <c r="AI34" s="251"/>
      <c r="AJ34" s="251"/>
      <c r="AK34" s="251"/>
      <c r="AM34" s="251"/>
      <c r="AN34" s="251"/>
      <c r="AO34" s="251"/>
      <c r="AQ34" s="251"/>
      <c r="AS34" s="251"/>
      <c r="AT34" s="251"/>
      <c r="AV34" s="251"/>
    </row>
    <row r="35" spans="1:48">
      <c r="A35" s="342" t="s">
        <v>586</v>
      </c>
      <c r="B35" s="117">
        <v>17.2018506758596</v>
      </c>
      <c r="C35" s="117">
        <v>57.734750478700903</v>
      </c>
      <c r="D35" s="117">
        <v>71.124013426471905</v>
      </c>
      <c r="E35" s="117">
        <v>76.204300099791396</v>
      </c>
      <c r="F35" s="117">
        <v>59.284235638094898</v>
      </c>
      <c r="G35" s="117">
        <v>106.868910459947</v>
      </c>
      <c r="H35" s="118">
        <v>102.621790801052</v>
      </c>
      <c r="I35" s="117">
        <v>105.378291818924</v>
      </c>
      <c r="J35" s="117">
        <v>90.143779312346894</v>
      </c>
      <c r="K35" s="117">
        <v>31.4365245194221</v>
      </c>
      <c r="L35" s="117">
        <v>66.043726753152498</v>
      </c>
      <c r="M35" s="117">
        <v>285.93885512111001</v>
      </c>
      <c r="N35" s="117">
        <v>343.30473388369802</v>
      </c>
      <c r="O35" s="133">
        <v>542.38156581692795</v>
      </c>
      <c r="P35" s="117">
        <v>103.47527896216999</v>
      </c>
      <c r="Q35" s="149">
        <v>158.39462657625</v>
      </c>
      <c r="R35" s="259"/>
      <c r="S35" s="251">
        <v>172.9</v>
      </c>
      <c r="T35" s="260">
        <v>143</v>
      </c>
      <c r="U35" s="260">
        <v>120.9</v>
      </c>
      <c r="W35" s="260">
        <v>310.39999999999998</v>
      </c>
      <c r="Y35" s="260">
        <v>385.8</v>
      </c>
      <c r="Z35" s="260">
        <v>470.4</v>
      </c>
      <c r="AA35" s="260">
        <v>416.4</v>
      </c>
      <c r="AC35" s="260">
        <v>197.2</v>
      </c>
      <c r="AD35" s="260">
        <v>313.10000000000002</v>
      </c>
      <c r="AE35" s="260">
        <v>484.4</v>
      </c>
      <c r="AG35" s="260">
        <v>195.7</v>
      </c>
      <c r="AH35" s="260">
        <v>317</v>
      </c>
      <c r="AI35" s="260">
        <v>477.8</v>
      </c>
      <c r="AJ35" s="260">
        <v>390.3</v>
      </c>
      <c r="AK35" s="260">
        <v>222.110133357525</v>
      </c>
      <c r="AL35" s="268"/>
      <c r="AM35" s="260">
        <v>166.82095238095201</v>
      </c>
      <c r="AN35" s="260">
        <v>78.264014554173301</v>
      </c>
      <c r="AO35" s="260">
        <v>56.900784613988897</v>
      </c>
      <c r="AQ35" s="260">
        <f>AQ86*2240/2204.6</f>
        <v>200.48627756866884</v>
      </c>
      <c r="AS35" s="260">
        <v>220.440841674805</v>
      </c>
      <c r="AT35" s="275">
        <v>230.29985046386699</v>
      </c>
      <c r="AV35" s="260">
        <f>AV86*2240/2204.6</f>
        <v>281.20402794157673</v>
      </c>
    </row>
    <row r="36" spans="1:48">
      <c r="A36" s="342" t="s">
        <v>587</v>
      </c>
      <c r="B36" s="117"/>
      <c r="C36" s="117">
        <v>17.8309217091536</v>
      </c>
      <c r="D36" s="117">
        <v>10.160573346638801</v>
      </c>
      <c r="E36" s="117">
        <v>19.203483625147399</v>
      </c>
      <c r="F36" s="117">
        <v>5.6695310519096296</v>
      </c>
      <c r="G36" s="117">
        <v>12.1114034291935</v>
      </c>
      <c r="H36" s="118">
        <v>10.160573346638801</v>
      </c>
      <c r="I36" s="117">
        <v>10.305724394447999</v>
      </c>
      <c r="J36" s="117">
        <v>11.147600471740899</v>
      </c>
      <c r="K36" s="117">
        <v>6.9463848317155001</v>
      </c>
      <c r="L36" s="117"/>
      <c r="M36" s="117"/>
      <c r="N36" s="117">
        <v>56.200774961444303</v>
      </c>
      <c r="O36" s="133">
        <v>88.447790982491199</v>
      </c>
      <c r="P36" s="117">
        <v>13.909824911548601</v>
      </c>
      <c r="Q36" s="149">
        <v>50.040823732196301</v>
      </c>
      <c r="R36" s="184"/>
      <c r="S36" s="251"/>
      <c r="T36" s="260">
        <v>24</v>
      </c>
      <c r="U36" s="260"/>
      <c r="W36" s="260"/>
      <c r="Y36" s="260">
        <v>52.7</v>
      </c>
      <c r="Z36" s="260">
        <v>72.599999999999994</v>
      </c>
      <c r="AA36" s="260">
        <v>37.5</v>
      </c>
      <c r="AC36" s="260">
        <v>10.4</v>
      </c>
      <c r="AD36" s="260">
        <v>37.9</v>
      </c>
      <c r="AE36" s="260">
        <v>37.1</v>
      </c>
      <c r="AG36" s="260">
        <v>10.3</v>
      </c>
      <c r="AH36" s="260">
        <v>37.799999999999997</v>
      </c>
      <c r="AI36" s="260">
        <v>54.4</v>
      </c>
      <c r="AJ36" s="260">
        <v>26.6</v>
      </c>
      <c r="AK36" s="260">
        <v>37.0860927152318</v>
      </c>
      <c r="AL36" s="268"/>
      <c r="AM36" s="260">
        <v>26.571619047618999</v>
      </c>
      <c r="AN36" s="260">
        <v>1.6261567246047</v>
      </c>
      <c r="AO36" s="260">
        <v>10.7001475460401</v>
      </c>
      <c r="AQ36" s="260">
        <f t="shared" ref="AQ36:AQ77" si="4">AQ87*2240/2204.6</f>
        <v>17.710327660458056</v>
      </c>
      <c r="AS36" s="260">
        <v>32.001667022705099</v>
      </c>
      <c r="AT36" s="275">
        <v>35.767833709716797</v>
      </c>
      <c r="AV36" s="260">
        <f t="shared" ref="AV36:AV77" si="5">AV87*2240/2204.6</f>
        <v>23.257552390456318</v>
      </c>
    </row>
    <row r="37" spans="1:48">
      <c r="A37" s="342" t="s">
        <v>588</v>
      </c>
      <c r="B37" s="117">
        <v>0.162569173546222</v>
      </c>
      <c r="C37" s="117">
        <v>0.94643531903648104</v>
      </c>
      <c r="D37" s="117">
        <v>3.0481720039916498</v>
      </c>
      <c r="E37" s="117">
        <v>3.0481720039916498</v>
      </c>
      <c r="F37" s="117">
        <v>1.60251687602433</v>
      </c>
      <c r="G37" s="117">
        <v>1.2497505216365801</v>
      </c>
      <c r="H37" s="118">
        <v>3.5562006713235998</v>
      </c>
      <c r="I37" s="117">
        <v>3.6259300962515102</v>
      </c>
      <c r="J37" s="117">
        <v>3.6259300962515102</v>
      </c>
      <c r="K37" s="117">
        <v>0.77627334693861405</v>
      </c>
      <c r="L37" s="117">
        <v>1.0465390547038</v>
      </c>
      <c r="M37" s="117">
        <v>9.7846321328132095</v>
      </c>
      <c r="N37" s="117">
        <v>14.2001958087635</v>
      </c>
      <c r="O37" s="133">
        <v>29.861925065771601</v>
      </c>
      <c r="P37" s="117">
        <v>2.1540415494874399</v>
      </c>
      <c r="Q37" s="149">
        <v>4.2674408055883202</v>
      </c>
      <c r="R37" s="259"/>
      <c r="S37" s="251">
        <v>10.199999999999999</v>
      </c>
      <c r="T37" s="260">
        <v>8.6999999999999993</v>
      </c>
      <c r="U37" s="260">
        <v>6.4</v>
      </c>
      <c r="W37" s="260">
        <v>13.1</v>
      </c>
      <c r="Y37" s="260">
        <v>27.3</v>
      </c>
      <c r="Z37" s="260">
        <v>33.1</v>
      </c>
      <c r="AA37" s="260">
        <v>27.1</v>
      </c>
      <c r="AC37" s="260">
        <v>10.8</v>
      </c>
      <c r="AD37" s="260">
        <v>21.7</v>
      </c>
      <c r="AE37" s="260">
        <v>35.700000000000003</v>
      </c>
      <c r="AG37" s="260">
        <v>6.9</v>
      </c>
      <c r="AH37" s="260">
        <v>17.2</v>
      </c>
      <c r="AI37" s="260">
        <v>26.7</v>
      </c>
      <c r="AJ37" s="260">
        <v>16.7</v>
      </c>
      <c r="AK37" s="260">
        <v>17.476186156218802</v>
      </c>
      <c r="AL37" s="268"/>
      <c r="AM37" s="260">
        <v>0</v>
      </c>
      <c r="AN37" s="260">
        <v>0.130037183303085</v>
      </c>
      <c r="AO37" s="260">
        <v>0.130037183303085</v>
      </c>
      <c r="AQ37" s="260">
        <f t="shared" si="4"/>
        <v>14.002823240790596</v>
      </c>
      <c r="AS37" s="260">
        <v>17.605100631713899</v>
      </c>
      <c r="AT37" s="275">
        <v>18.1106071472168</v>
      </c>
      <c r="AV37" s="260">
        <f t="shared" si="5"/>
        <v>18.187426290483536</v>
      </c>
    </row>
    <row r="38" spans="1:48">
      <c r="A38" s="342" t="s">
        <v>589</v>
      </c>
      <c r="B38" s="117">
        <v>0.406422933865554</v>
      </c>
      <c r="C38" s="117">
        <v>1.79930620320252</v>
      </c>
      <c r="D38" s="117">
        <v>5.0802866733194199</v>
      </c>
      <c r="E38" s="117">
        <v>5.9337748344370898</v>
      </c>
      <c r="F38" s="117">
        <v>0</v>
      </c>
      <c r="G38" s="117">
        <v>6.6043726753152496</v>
      </c>
      <c r="H38" s="118">
        <v>5.0802866733194199</v>
      </c>
      <c r="I38" s="117">
        <v>5.42270795644757</v>
      </c>
      <c r="J38" s="117">
        <v>5.5845798357445098</v>
      </c>
      <c r="K38" s="117">
        <v>0</v>
      </c>
      <c r="L38" s="117">
        <v>1.86954549578155</v>
      </c>
      <c r="M38" s="117">
        <v>12.5178263630591</v>
      </c>
      <c r="N38" s="117">
        <v>17.500241313617</v>
      </c>
      <c r="O38" s="133">
        <v>25.614805406876499</v>
      </c>
      <c r="P38" s="117">
        <v>1.9305089358613801</v>
      </c>
      <c r="Q38" s="149">
        <v>10.648280867277499</v>
      </c>
      <c r="R38" s="259"/>
      <c r="S38" s="251">
        <v>7.1</v>
      </c>
      <c r="T38" s="260">
        <v>2.4</v>
      </c>
      <c r="U38" s="260">
        <v>1.4</v>
      </c>
      <c r="W38" s="260">
        <v>4.2</v>
      </c>
      <c r="Y38" s="260">
        <v>12.7</v>
      </c>
      <c r="Z38" s="260">
        <v>11.8</v>
      </c>
      <c r="AA38" s="260">
        <v>18</v>
      </c>
      <c r="AC38" s="260">
        <v>3.4</v>
      </c>
      <c r="AD38" s="260">
        <v>6.6</v>
      </c>
      <c r="AE38" s="260">
        <v>11.5</v>
      </c>
      <c r="AG38" s="260">
        <v>3.4</v>
      </c>
      <c r="AH38" s="260">
        <v>7</v>
      </c>
      <c r="AI38" s="260">
        <v>11.2</v>
      </c>
      <c r="AJ38" s="260">
        <v>9.8000000000000007</v>
      </c>
      <c r="AK38" s="260">
        <v>5.1818924067858099</v>
      </c>
      <c r="AL38" s="268"/>
      <c r="AM38" s="260">
        <v>6.4563628800000004</v>
      </c>
      <c r="AN38" s="260">
        <v>10.472888293874099</v>
      </c>
      <c r="AO38" s="260">
        <v>9.3001282409507393</v>
      </c>
      <c r="AQ38" s="260">
        <f t="shared" si="4"/>
        <v>3.9107428562994135</v>
      </c>
      <c r="AS38" s="260">
        <v>4.3706946372985804</v>
      </c>
      <c r="AT38" s="275">
        <v>4.5360269546508798</v>
      </c>
      <c r="AV38" s="260">
        <f t="shared" si="5"/>
        <v>6.2690737548761684</v>
      </c>
    </row>
    <row r="39" spans="1:48">
      <c r="A39" s="342" t="s">
        <v>590</v>
      </c>
      <c r="B39" s="117">
        <v>8.5552027578699104</v>
      </c>
      <c r="C39" s="117">
        <v>23.5474420506069</v>
      </c>
      <c r="D39" s="117">
        <v>26.417490701260999</v>
      </c>
      <c r="E39" s="117">
        <v>26.823913635126601</v>
      </c>
      <c r="F39" s="117">
        <v>42.002317596217097</v>
      </c>
      <c r="G39" s="117">
        <v>37.004808128458698</v>
      </c>
      <c r="H39" s="118">
        <v>33.529892043908198</v>
      </c>
      <c r="I39" s="117">
        <v>35.447451229425802</v>
      </c>
      <c r="J39" s="117">
        <v>31.273647080169301</v>
      </c>
      <c r="K39" s="117">
        <v>33.362936969165702</v>
      </c>
      <c r="L39" s="117">
        <v>24.4666606187063</v>
      </c>
      <c r="M39" s="117">
        <v>91.353714959629897</v>
      </c>
      <c r="N39" s="117">
        <v>125.001723668693</v>
      </c>
      <c r="O39" s="133">
        <v>169.31579424839001</v>
      </c>
      <c r="P39" s="117">
        <v>58.352172729746897</v>
      </c>
      <c r="Q39" s="149">
        <v>26.8782999183525</v>
      </c>
      <c r="R39" s="259"/>
      <c r="S39" s="251">
        <v>59.9</v>
      </c>
      <c r="T39" s="260">
        <v>32.5</v>
      </c>
      <c r="U39" s="260">
        <v>29.8</v>
      </c>
      <c r="W39" s="260">
        <v>46.1</v>
      </c>
      <c r="Y39" s="260">
        <v>175.4</v>
      </c>
      <c r="Z39" s="260">
        <v>151</v>
      </c>
      <c r="AA39" s="260">
        <v>190.3</v>
      </c>
      <c r="AC39" s="260">
        <v>54.6</v>
      </c>
      <c r="AD39" s="260">
        <v>57.8</v>
      </c>
      <c r="AE39" s="260">
        <v>137.19999999999999</v>
      </c>
      <c r="AG39" s="260">
        <v>54.1</v>
      </c>
      <c r="AH39" s="260">
        <v>60.2</v>
      </c>
      <c r="AI39" s="260">
        <v>140.30000000000001</v>
      </c>
      <c r="AJ39" s="260">
        <v>64.099999999999994</v>
      </c>
      <c r="AK39" s="260">
        <v>64.8244579515558</v>
      </c>
      <c r="AL39" s="268"/>
      <c r="AM39" s="260">
        <v>57.722857142857102</v>
      </c>
      <c r="AN39" s="260">
        <v>22.384510111553301</v>
      </c>
      <c r="AO39" s="260">
        <v>25.630353421028801</v>
      </c>
      <c r="AQ39" s="260">
        <f t="shared" si="4"/>
        <v>53.644424604085891</v>
      </c>
      <c r="AS39" s="260">
        <v>39.104728698730497</v>
      </c>
      <c r="AT39" s="275">
        <v>53.2726440429688</v>
      </c>
      <c r="AV39" s="260">
        <f t="shared" si="5"/>
        <v>137.57416311348999</v>
      </c>
    </row>
    <row r="40" spans="1:48">
      <c r="A40" s="342" t="s">
        <v>591</v>
      </c>
      <c r="B40" s="117">
        <v>4.7957906196135296</v>
      </c>
      <c r="C40" s="117">
        <v>22.025971478911401</v>
      </c>
      <c r="D40" s="117">
        <v>14.224802685294399</v>
      </c>
      <c r="E40" s="117">
        <v>13.7167740179624</v>
      </c>
      <c r="F40" s="117">
        <v>0</v>
      </c>
      <c r="G40" s="117">
        <v>18.004535970244</v>
      </c>
      <c r="H40" s="118">
        <v>16.2569173546222</v>
      </c>
      <c r="I40" s="117">
        <v>16.881765448132001</v>
      </c>
      <c r="J40" s="117">
        <v>16.0830465807759</v>
      </c>
      <c r="K40" s="117">
        <v>0</v>
      </c>
      <c r="L40" s="117">
        <v>23.501406150775701</v>
      </c>
      <c r="M40" s="117">
        <v>43.273881883334901</v>
      </c>
      <c r="N40" s="117">
        <v>65.000896307720197</v>
      </c>
      <c r="O40" s="133">
        <v>119.874444343645</v>
      </c>
      <c r="P40" s="117">
        <v>28.5308899573619</v>
      </c>
      <c r="Q40" s="149">
        <v>79.705125646375805</v>
      </c>
      <c r="R40" s="259"/>
      <c r="S40" s="251">
        <v>17</v>
      </c>
      <c r="T40" s="260">
        <v>17</v>
      </c>
      <c r="U40" s="260">
        <v>3.1</v>
      </c>
      <c r="W40" s="260">
        <v>42.9</v>
      </c>
      <c r="Y40" s="260">
        <v>99.9</v>
      </c>
      <c r="Z40" s="260">
        <v>101.3</v>
      </c>
      <c r="AA40" s="260">
        <v>124.5</v>
      </c>
      <c r="AC40" s="260">
        <v>18.2</v>
      </c>
      <c r="AD40" s="260">
        <v>72.5</v>
      </c>
      <c r="AE40" s="260">
        <v>106</v>
      </c>
      <c r="AG40" s="260">
        <v>18.600000000000001</v>
      </c>
      <c r="AH40" s="260">
        <v>77.8</v>
      </c>
      <c r="AI40" s="260">
        <v>98.2</v>
      </c>
      <c r="AJ40" s="260">
        <v>124.8</v>
      </c>
      <c r="AK40" s="260">
        <v>38.711784450693997</v>
      </c>
      <c r="AL40" s="268"/>
      <c r="AM40" s="260">
        <v>43.052999999999997</v>
      </c>
      <c r="AN40" s="260">
        <v>36.6279894399661</v>
      </c>
      <c r="AO40" s="260">
        <v>22.6700897975979</v>
      </c>
      <c r="AQ40" s="260">
        <f t="shared" si="4"/>
        <v>48.961640624546774</v>
      </c>
      <c r="AS40" s="260">
        <v>53.160934448242202</v>
      </c>
      <c r="AT40" s="275">
        <v>45.092441558837898</v>
      </c>
      <c r="AV40" s="260">
        <f t="shared" si="5"/>
        <v>98.83189694275606</v>
      </c>
    </row>
    <row r="41" spans="1:48">
      <c r="A41" s="342" t="s">
        <v>592</v>
      </c>
      <c r="B41" s="117">
        <v>3.6374852580967101</v>
      </c>
      <c r="C41" s="117">
        <v>4.4937675768847001</v>
      </c>
      <c r="D41" s="117">
        <v>5.0802866733194199</v>
      </c>
      <c r="E41" s="117">
        <v>11.4814478817019</v>
      </c>
      <c r="F41" s="117">
        <v>8.1758656902321594</v>
      </c>
      <c r="G41" s="117">
        <v>11.562732468475</v>
      </c>
      <c r="H41" s="117">
        <v>10.160573346638801</v>
      </c>
      <c r="I41" s="117">
        <v>10.3598002750043</v>
      </c>
      <c r="J41" s="117">
        <v>10.3598002750043</v>
      </c>
      <c r="K41" s="117">
        <v>4.9800054431642904</v>
      </c>
      <c r="L41" s="117">
        <v>7.7525174634854404</v>
      </c>
      <c r="M41" s="117">
        <v>42.085094801778098</v>
      </c>
      <c r="N41" s="117">
        <v>33.000455048534903</v>
      </c>
      <c r="O41" s="134">
        <v>193.53860110677701</v>
      </c>
      <c r="P41" s="117">
        <v>26.874716501859702</v>
      </c>
      <c r="Q41" s="149">
        <v>31.0350299374036</v>
      </c>
      <c r="R41" s="259"/>
      <c r="S41" s="251"/>
      <c r="T41" s="251"/>
      <c r="U41" s="251"/>
      <c r="W41" s="260">
        <v>16.5</v>
      </c>
      <c r="Y41" s="260"/>
      <c r="Z41" s="260">
        <v>86.1</v>
      </c>
      <c r="AA41" s="260"/>
      <c r="AC41" s="260"/>
      <c r="AD41" s="260"/>
      <c r="AE41" s="260">
        <v>78.099999999999994</v>
      </c>
      <c r="AG41" s="260"/>
      <c r="AH41" s="260"/>
      <c r="AI41" s="260">
        <v>76.8</v>
      </c>
      <c r="AJ41" s="260">
        <v>2.5</v>
      </c>
      <c r="AK41" s="260"/>
      <c r="AM41" s="260">
        <v>19.88</v>
      </c>
      <c r="AN41" s="260">
        <v>6.4131555826597797</v>
      </c>
      <c r="AO41" s="260">
        <v>10.310142168193799</v>
      </c>
      <c r="AQ41" s="260">
        <f t="shared" si="4"/>
        <v>35.033949898342144</v>
      </c>
      <c r="AS41" s="260">
        <v>5.1824107170104998</v>
      </c>
      <c r="AT41" s="275">
        <v>4.6667742729187003</v>
      </c>
      <c r="AV41" s="260">
        <f t="shared" si="5"/>
        <v>70.473736732287037</v>
      </c>
    </row>
    <row r="42" spans="1:48">
      <c r="A42" s="342" t="s">
        <v>593</v>
      </c>
      <c r="B42" s="117">
        <v>4.3588859657080699</v>
      </c>
      <c r="C42" s="117">
        <v>16.3663797978781</v>
      </c>
      <c r="D42" s="117">
        <v>20.321146693277701</v>
      </c>
      <c r="E42" s="117">
        <v>28.144788170189599</v>
      </c>
      <c r="F42" s="117">
        <v>12.239089182691499</v>
      </c>
      <c r="G42" s="117">
        <v>31.081193867368199</v>
      </c>
      <c r="H42" s="117">
        <v>23.3693186972693</v>
      </c>
      <c r="I42" s="117">
        <v>24.327419107317802</v>
      </c>
      <c r="J42" s="117">
        <v>24.6606714238564</v>
      </c>
      <c r="K42" s="117">
        <v>9.2052104731065807</v>
      </c>
      <c r="L42" s="117">
        <v>19.762315159212601</v>
      </c>
      <c r="M42" s="117">
        <v>93.101333575251701</v>
      </c>
      <c r="N42" s="117">
        <v>110.00151682844999</v>
      </c>
      <c r="O42" s="133">
        <v>214.520185067586</v>
      </c>
      <c r="P42" s="117">
        <v>31.345368774380798</v>
      </c>
      <c r="Q42" s="149">
        <v>102.39903578880499</v>
      </c>
      <c r="R42" s="259"/>
      <c r="S42" s="251">
        <v>56.3</v>
      </c>
      <c r="T42" s="260">
        <v>57.2</v>
      </c>
      <c r="U42" s="260">
        <v>35.799999999999997</v>
      </c>
      <c r="W42" s="260">
        <v>78.599999999999994</v>
      </c>
      <c r="Y42" s="260">
        <v>183.4</v>
      </c>
      <c r="Z42" s="260">
        <v>166.3</v>
      </c>
      <c r="AA42" s="260">
        <v>110</v>
      </c>
      <c r="AC42" s="260">
        <v>73.099999999999994</v>
      </c>
      <c r="AD42" s="260">
        <v>103.5</v>
      </c>
      <c r="AE42" s="260">
        <v>181</v>
      </c>
      <c r="AG42" s="260">
        <v>73.2</v>
      </c>
      <c r="AH42" s="260">
        <v>102.9</v>
      </c>
      <c r="AI42" s="260">
        <v>181.2</v>
      </c>
      <c r="AJ42" s="260">
        <v>147.9</v>
      </c>
      <c r="AK42" s="260">
        <v>67.669418488614696</v>
      </c>
      <c r="AL42" s="268"/>
      <c r="AM42" s="260">
        <v>67.483999999999995</v>
      </c>
      <c r="AN42" s="260">
        <v>12.9285680415628</v>
      </c>
      <c r="AO42" s="260">
        <v>21.800300607819999</v>
      </c>
      <c r="AQ42" s="260">
        <f t="shared" si="4"/>
        <v>88.33201753792909</v>
      </c>
      <c r="AS42" s="260">
        <v>83.460853576660199</v>
      </c>
      <c r="AT42" s="275">
        <v>99.993011474609403</v>
      </c>
      <c r="AV42" s="260">
        <f t="shared" si="5"/>
        <v>151.31125827814569</v>
      </c>
    </row>
    <row r="43" spans="1:48">
      <c r="A43" s="342" t="s">
        <v>594</v>
      </c>
      <c r="B43" s="117">
        <v>1.1481447881701901</v>
      </c>
      <c r="C43" s="117">
        <v>3.9799870907794901</v>
      </c>
      <c r="D43" s="117">
        <v>10.160573346638801</v>
      </c>
      <c r="E43" s="117">
        <v>9.1445160119749591</v>
      </c>
      <c r="F43" s="117">
        <v>12.5431578575004</v>
      </c>
      <c r="G43" s="117">
        <v>12.5584686564456</v>
      </c>
      <c r="H43" s="118">
        <v>10.160573346638801</v>
      </c>
      <c r="I43" s="117">
        <v>10.3031451172504</v>
      </c>
      <c r="J43" s="117">
        <v>10.610701687914601</v>
      </c>
      <c r="K43" s="117">
        <v>2.8764089642063801</v>
      </c>
      <c r="L43" s="117">
        <v>4.13535335208201</v>
      </c>
      <c r="M43" s="117">
        <v>42.471196588950399</v>
      </c>
      <c r="N43" s="117">
        <v>20.000275786990802</v>
      </c>
      <c r="O43" s="133">
        <v>97.1858840606006</v>
      </c>
      <c r="P43" s="117">
        <v>2.5604644833529902</v>
      </c>
      <c r="Q43" s="149">
        <v>8.6669690646829292</v>
      </c>
      <c r="R43" s="259"/>
      <c r="S43" s="251">
        <v>13.2</v>
      </c>
      <c r="T43" s="260">
        <v>13.4</v>
      </c>
      <c r="U43" s="260">
        <v>8.4</v>
      </c>
      <c r="W43" s="260">
        <v>22.9</v>
      </c>
      <c r="Y43" s="260">
        <v>42.9</v>
      </c>
      <c r="Z43" s="260">
        <v>62.4</v>
      </c>
      <c r="AA43" s="260">
        <v>25.7</v>
      </c>
      <c r="AC43" s="260">
        <v>17.100000000000001</v>
      </c>
      <c r="AD43" s="260">
        <v>24.2</v>
      </c>
      <c r="AE43" s="260">
        <v>63.7</v>
      </c>
      <c r="AG43" s="260">
        <v>17.100000000000001</v>
      </c>
      <c r="AH43" s="260">
        <v>24.1</v>
      </c>
      <c r="AI43" s="260">
        <v>63.4</v>
      </c>
      <c r="AJ43" s="260">
        <v>35.299999999999997</v>
      </c>
      <c r="AK43" s="260">
        <v>11.4814478817019</v>
      </c>
      <c r="AL43" s="268"/>
      <c r="AM43" s="260">
        <v>27.56</v>
      </c>
      <c r="AN43" s="260">
        <v>2.4800341975868601</v>
      </c>
      <c r="AO43" s="260">
        <v>12.000165472194499</v>
      </c>
      <c r="AQ43" s="260">
        <f t="shared" si="4"/>
        <v>50.006842244476992</v>
      </c>
      <c r="AS43" s="260">
        <v>20.929105758666999</v>
      </c>
      <c r="AT43" s="275">
        <v>24.652751922607401</v>
      </c>
      <c r="AV43" s="260">
        <f t="shared" si="5"/>
        <v>79.120384650276705</v>
      </c>
    </row>
    <row r="44" spans="1:48">
      <c r="A44" s="342" t="s">
        <v>595</v>
      </c>
      <c r="B44" s="117">
        <v>12.863285856844801</v>
      </c>
      <c r="C44" s="117">
        <v>31.8343463666878</v>
      </c>
      <c r="D44" s="117">
        <v>50.8028667331942</v>
      </c>
      <c r="E44" s="117">
        <v>52.936587135988397</v>
      </c>
      <c r="F44" s="117">
        <v>30.978829848172499</v>
      </c>
      <c r="G44" s="117">
        <v>61.014242946566299</v>
      </c>
      <c r="H44" s="117">
        <v>48.770752063866503</v>
      </c>
      <c r="I44" s="117">
        <v>50.437427624592402</v>
      </c>
      <c r="J44" s="117">
        <v>57.607967431733599</v>
      </c>
      <c r="K44" s="117">
        <v>23.9325954821736</v>
      </c>
      <c r="L44" s="117">
        <v>38.0818289032024</v>
      </c>
      <c r="M44" s="117">
        <v>181.10205933049099</v>
      </c>
      <c r="N44" s="117">
        <v>228.50315086636999</v>
      </c>
      <c r="O44" s="133">
        <v>248.29393087181401</v>
      </c>
      <c r="P44" s="117">
        <v>83.469110042638107</v>
      </c>
      <c r="Q44" s="149">
        <v>150.76441622063001</v>
      </c>
      <c r="R44" s="259"/>
      <c r="S44" s="251">
        <v>101.2</v>
      </c>
      <c r="T44" s="260">
        <v>57</v>
      </c>
      <c r="U44" s="260">
        <v>80.599999999999994</v>
      </c>
      <c r="W44" s="260">
        <v>167.8</v>
      </c>
      <c r="Y44" s="260">
        <v>238</v>
      </c>
      <c r="Z44" s="260">
        <v>204.3</v>
      </c>
      <c r="AA44" s="260">
        <v>282.89999999999998</v>
      </c>
      <c r="AC44" s="260">
        <v>107.5</v>
      </c>
      <c r="AD44" s="260">
        <v>204.1</v>
      </c>
      <c r="AE44" s="260">
        <v>237.8</v>
      </c>
      <c r="AG44" s="260">
        <v>107.6</v>
      </c>
      <c r="AH44" s="260">
        <v>202.9</v>
      </c>
      <c r="AI44" s="260">
        <v>231.3</v>
      </c>
      <c r="AJ44" s="260">
        <v>263.3</v>
      </c>
      <c r="AK44" s="260">
        <v>155.761589403974</v>
      </c>
      <c r="AL44" s="268"/>
      <c r="AM44" s="260">
        <v>142.279</v>
      </c>
      <c r="AN44" s="260">
        <v>34.205622159465896</v>
      </c>
      <c r="AO44" s="260">
        <v>31.480434088723602</v>
      </c>
      <c r="AQ44" s="260">
        <f t="shared" si="4"/>
        <v>86.788444796003574</v>
      </c>
      <c r="AS44" s="260">
        <v>108.84588623046901</v>
      </c>
      <c r="AT44" s="275">
        <v>111.928497314453</v>
      </c>
      <c r="AV44" s="260">
        <f t="shared" si="5"/>
        <v>100.08164746439263</v>
      </c>
    </row>
    <row r="45" spans="1:48">
      <c r="A45" s="342" t="s">
        <v>596</v>
      </c>
      <c r="B45" s="117"/>
      <c r="C45" s="117"/>
      <c r="D45" s="117"/>
      <c r="E45" s="117"/>
      <c r="F45" s="117"/>
      <c r="G45" s="117"/>
      <c r="H45" s="117"/>
      <c r="I45" s="117"/>
      <c r="J45" s="117"/>
      <c r="K45" s="117"/>
      <c r="L45" s="117"/>
      <c r="M45" s="117"/>
      <c r="N45" s="117"/>
      <c r="O45" s="133"/>
      <c r="P45" s="117">
        <v>0</v>
      </c>
      <c r="Q45" s="149">
        <v>81.818423296743006</v>
      </c>
      <c r="R45" s="259"/>
      <c r="S45" s="251"/>
      <c r="T45" s="260"/>
      <c r="U45" s="260"/>
      <c r="W45" s="260">
        <v>124</v>
      </c>
      <c r="Y45" s="260">
        <v>203.4</v>
      </c>
      <c r="Z45" s="260"/>
      <c r="AA45" s="260"/>
      <c r="AC45" s="260"/>
      <c r="AD45" s="260">
        <v>132.69999999999999</v>
      </c>
      <c r="AE45" s="260"/>
      <c r="AG45" s="260"/>
      <c r="AH45" s="260">
        <v>131.69999999999999</v>
      </c>
      <c r="AI45" s="260"/>
      <c r="AJ45" s="260">
        <v>153</v>
      </c>
      <c r="AK45" s="260">
        <v>109.4293749433</v>
      </c>
      <c r="AL45" s="268"/>
      <c r="AM45" s="260">
        <v>0</v>
      </c>
      <c r="AN45" s="269">
        <v>0</v>
      </c>
      <c r="AO45" s="269">
        <v>0</v>
      </c>
      <c r="AQ45" s="260">
        <f t="shared" si="4"/>
        <v>84.46402428490336</v>
      </c>
      <c r="AS45" s="260">
        <v>85.739715576171903</v>
      </c>
      <c r="AT45" s="275">
        <v>93.066802978515597</v>
      </c>
      <c r="AV45" s="260">
        <f t="shared" si="5"/>
        <v>106.44216637938857</v>
      </c>
    </row>
    <row r="46" spans="1:48">
      <c r="A46" s="342" t="s">
        <v>597</v>
      </c>
      <c r="B46" s="117"/>
      <c r="C46" s="117"/>
      <c r="D46" s="117"/>
      <c r="E46" s="117"/>
      <c r="F46" s="117"/>
      <c r="G46" s="117">
        <v>0</v>
      </c>
      <c r="H46" s="117">
        <v>0</v>
      </c>
      <c r="I46" s="117">
        <v>0</v>
      </c>
      <c r="J46" s="117">
        <v>0</v>
      </c>
      <c r="K46" s="117">
        <v>0</v>
      </c>
      <c r="L46" s="117"/>
      <c r="M46" s="117">
        <v>95.163929964619399</v>
      </c>
      <c r="N46" s="117">
        <v>111.101531996734</v>
      </c>
      <c r="O46" s="133">
        <v>262.061507756509</v>
      </c>
      <c r="P46" s="117">
        <v>74.029937403610603</v>
      </c>
      <c r="Q46" s="149"/>
      <c r="R46" s="259"/>
      <c r="S46" s="251"/>
      <c r="T46" s="260">
        <v>64.900000000000006</v>
      </c>
      <c r="U46" s="260"/>
      <c r="W46" s="260"/>
      <c r="Y46" s="260">
        <v>221.4</v>
      </c>
      <c r="Z46" s="260">
        <v>233.6</v>
      </c>
      <c r="AA46" s="260"/>
      <c r="AC46" s="260">
        <v>121.5</v>
      </c>
      <c r="AD46" s="260"/>
      <c r="AE46" s="260">
        <v>255.9</v>
      </c>
      <c r="AG46" s="260">
        <v>122.1</v>
      </c>
      <c r="AH46" s="260"/>
      <c r="AI46" s="260">
        <v>251.7</v>
      </c>
      <c r="AJ46" s="260"/>
      <c r="AK46" s="260"/>
      <c r="AM46" s="260">
        <v>0</v>
      </c>
      <c r="AN46" s="260">
        <v>0</v>
      </c>
      <c r="AO46" s="260">
        <v>0</v>
      </c>
      <c r="AQ46" s="260">
        <f t="shared" si="4"/>
        <v>103.90730654086909</v>
      </c>
      <c r="AS46" s="260">
        <v>124.00531005859401</v>
      </c>
      <c r="AT46" s="275">
        <v>129.92897033691401</v>
      </c>
      <c r="AV46" s="260">
        <f t="shared" si="5"/>
        <v>146.12936587135988</v>
      </c>
    </row>
    <row r="47" spans="1:48">
      <c r="A47" s="116" t="s">
        <v>598</v>
      </c>
      <c r="B47" s="117"/>
      <c r="C47" s="117"/>
      <c r="D47" s="117"/>
      <c r="E47" s="117"/>
      <c r="F47" s="117"/>
      <c r="G47" s="117"/>
      <c r="H47" s="117"/>
      <c r="I47" s="117"/>
      <c r="J47" s="117"/>
      <c r="K47" s="117"/>
      <c r="L47" s="117"/>
      <c r="M47" s="117"/>
      <c r="N47" s="117"/>
      <c r="O47" s="133"/>
      <c r="P47" s="117">
        <v>0</v>
      </c>
      <c r="Q47" s="149"/>
      <c r="R47" s="259"/>
      <c r="S47" s="251"/>
      <c r="T47" s="260"/>
      <c r="U47" s="260"/>
      <c r="W47" s="260"/>
      <c r="Y47" s="260"/>
      <c r="Z47" s="260"/>
      <c r="AA47" s="260"/>
      <c r="AC47" s="260"/>
      <c r="AD47" s="260"/>
      <c r="AE47" s="260"/>
      <c r="AG47" s="260"/>
      <c r="AH47" s="260"/>
      <c r="AI47" s="260"/>
      <c r="AJ47" s="260"/>
      <c r="AK47" s="260"/>
      <c r="AM47" s="260">
        <v>0</v>
      </c>
      <c r="AN47" s="260">
        <v>0</v>
      </c>
      <c r="AO47" s="260">
        <v>0</v>
      </c>
      <c r="AQ47" s="260"/>
      <c r="AS47" s="260">
        <v>0</v>
      </c>
      <c r="AT47" s="275">
        <v>0</v>
      </c>
      <c r="AV47" s="260">
        <f t="shared" si="5"/>
        <v>0</v>
      </c>
    </row>
    <row r="48" spans="1:48">
      <c r="A48" s="342" t="s">
        <v>599</v>
      </c>
      <c r="B48" s="117">
        <v>4.3182436723215103</v>
      </c>
      <c r="C48" s="117">
        <v>11.9047562219951</v>
      </c>
      <c r="D48" s="117">
        <v>16.2569173546222</v>
      </c>
      <c r="E48" s="117">
        <v>22.048444162206302</v>
      </c>
      <c r="F48" s="117">
        <v>11.8612283439951</v>
      </c>
      <c r="G48" s="117">
        <v>26.6918261816202</v>
      </c>
      <c r="H48" s="117">
        <v>21.337204027941599</v>
      </c>
      <c r="I48" s="117">
        <v>22.066374585759199</v>
      </c>
      <c r="J48" s="117">
        <v>20.4353261362605</v>
      </c>
      <c r="K48" s="117">
        <v>10.9897487072485</v>
      </c>
      <c r="L48" s="117">
        <v>14.9563639662524</v>
      </c>
      <c r="M48" s="117">
        <v>40.550848226435598</v>
      </c>
      <c r="N48" s="117">
        <v>107.401480976141</v>
      </c>
      <c r="O48" s="133">
        <v>157.37712056608899</v>
      </c>
      <c r="P48" s="117">
        <v>47.937585049442099</v>
      </c>
      <c r="Q48" s="149">
        <v>66.706399346820206</v>
      </c>
      <c r="R48" s="259"/>
      <c r="S48" s="251">
        <v>46.3</v>
      </c>
      <c r="T48" s="260">
        <v>36.6</v>
      </c>
      <c r="U48" s="260">
        <v>27.9</v>
      </c>
      <c r="W48" s="260">
        <v>58.3</v>
      </c>
      <c r="Y48" s="260">
        <v>115.6</v>
      </c>
      <c r="Z48" s="260">
        <v>126.4</v>
      </c>
      <c r="AA48" s="260">
        <v>129.69999999999999</v>
      </c>
      <c r="AC48" s="260">
        <v>37.5</v>
      </c>
      <c r="AD48" s="260">
        <v>68.5</v>
      </c>
      <c r="AE48" s="260">
        <v>137.1</v>
      </c>
      <c r="AG48" s="260">
        <v>36.799999999999997</v>
      </c>
      <c r="AH48" s="260">
        <v>68</v>
      </c>
      <c r="AI48" s="260">
        <v>131.30000000000001</v>
      </c>
      <c r="AJ48" s="260">
        <v>58.9</v>
      </c>
      <c r="AK48" s="260">
        <v>59.134536877438101</v>
      </c>
      <c r="AL48" s="268"/>
      <c r="AM48" s="260">
        <v>40.1</v>
      </c>
      <c r="AN48" s="260">
        <v>10.504923815956399</v>
      </c>
      <c r="AO48" s="260">
        <v>20.160277993286801</v>
      </c>
      <c r="AQ48" s="260">
        <f t="shared" si="4"/>
        <v>57.496170788199656</v>
      </c>
      <c r="AS48" s="260">
        <v>28.261215209960898</v>
      </c>
      <c r="AT48" s="275">
        <v>36.571159362792997</v>
      </c>
      <c r="AV48" s="260">
        <f t="shared" si="5"/>
        <v>76.204300099791354</v>
      </c>
    </row>
    <row r="49" spans="1:48">
      <c r="A49" s="342" t="s">
        <v>600</v>
      </c>
      <c r="B49" s="117"/>
      <c r="C49" s="117"/>
      <c r="D49" s="117"/>
      <c r="E49" s="117"/>
      <c r="F49" s="117"/>
      <c r="G49" s="117"/>
      <c r="H49" s="117">
        <v>0</v>
      </c>
      <c r="I49" s="117">
        <v>0</v>
      </c>
      <c r="J49" s="117">
        <v>0</v>
      </c>
      <c r="K49" s="117">
        <v>0</v>
      </c>
      <c r="L49" s="117">
        <v>10.3434636668783</v>
      </c>
      <c r="M49" s="117">
        <v>12.8023224167649</v>
      </c>
      <c r="N49" s="117">
        <v>84.901170715776104</v>
      </c>
      <c r="O49" s="133">
        <v>107.986573528078</v>
      </c>
      <c r="P49" s="117"/>
      <c r="Q49" s="149"/>
      <c r="R49" s="259"/>
      <c r="S49" s="251">
        <v>17.600000000000001</v>
      </c>
      <c r="T49" s="260"/>
      <c r="U49" s="260">
        <v>11.2</v>
      </c>
      <c r="W49" s="260">
        <v>15.5</v>
      </c>
      <c r="Y49" s="260"/>
      <c r="Z49" s="260">
        <v>87.2</v>
      </c>
      <c r="AA49" s="260">
        <v>7</v>
      </c>
      <c r="AC49" s="260"/>
      <c r="AD49" s="260"/>
      <c r="AE49" s="260">
        <v>81.099999999999994</v>
      </c>
      <c r="AG49" s="260"/>
      <c r="AH49" s="260"/>
      <c r="AI49" s="260">
        <v>106.7</v>
      </c>
      <c r="AJ49" s="260"/>
      <c r="AK49" s="260"/>
      <c r="AM49" s="260">
        <v>48.18</v>
      </c>
      <c r="AN49" s="269">
        <v>9.6277129831143409</v>
      </c>
      <c r="AO49" s="269">
        <v>21.820300883607</v>
      </c>
      <c r="AQ49" s="260"/>
      <c r="AS49" s="260">
        <v>0</v>
      </c>
      <c r="AT49" s="275">
        <v>0</v>
      </c>
      <c r="AV49" s="260">
        <f t="shared" si="5"/>
        <v>0</v>
      </c>
    </row>
    <row r="50" spans="1:48">
      <c r="A50" s="342" t="s">
        <v>601</v>
      </c>
      <c r="B50" s="117"/>
      <c r="C50" s="117"/>
      <c r="D50" s="117"/>
      <c r="E50" s="117"/>
      <c r="F50" s="117"/>
      <c r="G50" s="117"/>
      <c r="H50" s="117"/>
      <c r="I50" s="117"/>
      <c r="J50" s="117"/>
      <c r="K50" s="117"/>
      <c r="L50" s="117"/>
      <c r="M50" s="117"/>
      <c r="N50" s="117"/>
      <c r="O50" s="133"/>
      <c r="P50" s="117"/>
      <c r="Q50" s="149"/>
      <c r="R50" s="259"/>
      <c r="S50" s="251"/>
      <c r="T50" s="260"/>
      <c r="U50" s="260"/>
      <c r="W50" s="260"/>
      <c r="Y50" s="260"/>
      <c r="Z50" s="260"/>
      <c r="AA50" s="260">
        <v>1.1000000000000001</v>
      </c>
      <c r="AC50" s="260"/>
      <c r="AD50" s="260"/>
      <c r="AE50" s="260"/>
      <c r="AG50" s="260"/>
      <c r="AH50" s="260"/>
      <c r="AI50" s="260"/>
      <c r="AJ50" s="260"/>
      <c r="AK50" s="260"/>
      <c r="AM50" s="260"/>
      <c r="AN50" s="260"/>
      <c r="AO50" s="260"/>
      <c r="AQ50" s="260"/>
      <c r="AS50" s="260">
        <v>0</v>
      </c>
      <c r="AT50" s="275">
        <v>0</v>
      </c>
      <c r="AV50" s="260">
        <f t="shared" si="5"/>
        <v>0</v>
      </c>
    </row>
    <row r="51" spans="1:48">
      <c r="A51" s="342" t="s">
        <v>602</v>
      </c>
      <c r="B51" s="117"/>
      <c r="C51" s="117"/>
      <c r="D51" s="117"/>
      <c r="E51" s="117"/>
      <c r="F51" s="117"/>
      <c r="G51" s="117"/>
      <c r="H51" s="117">
        <v>0</v>
      </c>
      <c r="I51" s="117">
        <v>0</v>
      </c>
      <c r="J51" s="117">
        <v>0</v>
      </c>
      <c r="K51" s="117">
        <v>7.0623015513018199</v>
      </c>
      <c r="L51" s="117"/>
      <c r="M51" s="117">
        <v>9.6119023859203505</v>
      </c>
      <c r="N51" s="117">
        <v>21.600297849950099</v>
      </c>
      <c r="O51" s="133">
        <v>24.812120112492099</v>
      </c>
      <c r="P51" s="117">
        <v>3.81021500498957</v>
      </c>
      <c r="Q51" s="149">
        <v>0.27433548035924898</v>
      </c>
      <c r="R51" s="259"/>
      <c r="S51" s="251"/>
      <c r="T51" s="260"/>
      <c r="U51" s="260"/>
      <c r="W51" s="260"/>
      <c r="Y51" s="260"/>
      <c r="Z51" s="260"/>
      <c r="AA51" s="260"/>
      <c r="AC51" s="260"/>
      <c r="AD51" s="260"/>
      <c r="AE51" s="260"/>
      <c r="AG51" s="260"/>
      <c r="AH51" s="260"/>
      <c r="AI51" s="260"/>
      <c r="AJ51" s="260"/>
      <c r="AK51" s="260"/>
      <c r="AM51" s="260">
        <v>0</v>
      </c>
      <c r="AN51" s="260">
        <v>0</v>
      </c>
      <c r="AO51" s="260">
        <v>0</v>
      </c>
      <c r="AQ51" s="260"/>
      <c r="AS51" s="260">
        <v>0</v>
      </c>
      <c r="AT51" s="275">
        <v>0</v>
      </c>
      <c r="AV51" s="260">
        <f t="shared" si="5"/>
        <v>0</v>
      </c>
    </row>
    <row r="52" spans="1:48">
      <c r="A52" s="342" t="s">
        <v>603</v>
      </c>
      <c r="B52" s="117">
        <v>7.3765762496598004</v>
      </c>
      <c r="C52" s="117">
        <v>21.153627869001198</v>
      </c>
      <c r="D52" s="117">
        <v>26.417490701260999</v>
      </c>
      <c r="E52" s="117">
        <v>15.850494420756601</v>
      </c>
      <c r="F52" s="117">
        <v>22.069222534700199</v>
      </c>
      <c r="G52" s="117">
        <v>35.318152952916599</v>
      </c>
      <c r="H52" s="117"/>
      <c r="I52" s="117">
        <v>37.444434364510599</v>
      </c>
      <c r="J52" s="117">
        <v>31.9631917354622</v>
      </c>
      <c r="K52" s="117">
        <v>12.677595028576601</v>
      </c>
      <c r="L52" s="117">
        <v>7.7728386101787201</v>
      </c>
      <c r="M52" s="117">
        <v>45.377120566089097</v>
      </c>
      <c r="N52" s="117"/>
      <c r="O52" s="133">
        <v>167.51737276603501</v>
      </c>
      <c r="P52" s="117">
        <v>26.6918261816202</v>
      </c>
      <c r="Q52" s="149">
        <v>43.284042456681597</v>
      </c>
      <c r="R52" s="259"/>
      <c r="S52" s="251"/>
      <c r="T52" s="260"/>
      <c r="U52" s="260"/>
      <c r="W52" s="260"/>
      <c r="Y52" s="260"/>
      <c r="Z52" s="260"/>
      <c r="AA52" s="260"/>
      <c r="AC52" s="260"/>
      <c r="AD52" s="260"/>
      <c r="AE52" s="260"/>
      <c r="AG52" s="260"/>
      <c r="AH52" s="260"/>
      <c r="AI52" s="260"/>
      <c r="AJ52" s="260"/>
      <c r="AK52" s="260"/>
      <c r="AM52" s="260"/>
      <c r="AN52" s="260"/>
      <c r="AO52" s="260"/>
      <c r="AQ52" s="260">
        <f t="shared" si="4"/>
        <v>32.052163002358689</v>
      </c>
      <c r="AS52" s="260">
        <v>120.3</v>
      </c>
      <c r="AT52" s="276">
        <v>161.42189025878901</v>
      </c>
      <c r="AV52" s="260">
        <f t="shared" si="5"/>
        <v>51.392179987299286</v>
      </c>
    </row>
    <row r="53" spans="1:48">
      <c r="A53" s="342" t="s">
        <v>604</v>
      </c>
      <c r="B53" s="117">
        <v>6.3198766216093603</v>
      </c>
      <c r="C53" s="117">
        <v>13.691955229973701</v>
      </c>
      <c r="D53" s="117">
        <v>25.4014333665971</v>
      </c>
      <c r="E53" s="117">
        <v>16.866551755420499</v>
      </c>
      <c r="F53" s="117">
        <v>15.8135067585957</v>
      </c>
      <c r="G53" s="117">
        <v>49.502313344824501</v>
      </c>
      <c r="H53" s="117"/>
      <c r="I53" s="117">
        <v>32.717499773201503</v>
      </c>
      <c r="J53" s="117">
        <v>45.0380876349451</v>
      </c>
      <c r="K53" s="117">
        <v>6.2158704526898303</v>
      </c>
      <c r="L53" s="117">
        <v>7.6915540234056099</v>
      </c>
      <c r="M53" s="117">
        <v>56.563911820738497</v>
      </c>
      <c r="N53" s="117"/>
      <c r="O53" s="133">
        <v>147.328313526263</v>
      </c>
      <c r="P53" s="117">
        <v>29.292932958359799</v>
      </c>
      <c r="Q53" s="149">
        <v>58.218561190238603</v>
      </c>
      <c r="R53" s="259"/>
      <c r="S53" s="251"/>
      <c r="T53" s="260"/>
      <c r="U53" s="260"/>
      <c r="W53" s="260"/>
      <c r="Y53" s="260"/>
      <c r="Z53" s="260"/>
      <c r="AA53" s="260"/>
      <c r="AC53" s="260"/>
      <c r="AD53" s="260"/>
      <c r="AE53" s="260"/>
      <c r="AG53" s="260"/>
      <c r="AH53" s="260"/>
      <c r="AI53" s="260"/>
      <c r="AJ53" s="260"/>
      <c r="AK53" s="260"/>
      <c r="AM53" s="260"/>
      <c r="AN53" s="260"/>
      <c r="AO53" s="260"/>
      <c r="AQ53" s="260">
        <f t="shared" si="4"/>
        <v>57.947119091898756</v>
      </c>
      <c r="AS53" s="260">
        <v>0</v>
      </c>
      <c r="AT53" s="275">
        <v>0</v>
      </c>
      <c r="AV53" s="260">
        <f t="shared" si="5"/>
        <v>70.046992651728203</v>
      </c>
    </row>
    <row r="54" spans="1:48">
      <c r="A54" s="342" t="s">
        <v>605</v>
      </c>
      <c r="B54" s="117">
        <v>1.6968157488886899</v>
      </c>
      <c r="C54" s="117">
        <v>1.9736151682845</v>
      </c>
      <c r="D54" s="117">
        <v>12.192688015966599</v>
      </c>
      <c r="E54" s="117">
        <v>9.24612174544135</v>
      </c>
      <c r="F54" s="117">
        <v>2.13638755329765</v>
      </c>
      <c r="G54" s="117">
        <v>25.8484985938492</v>
      </c>
      <c r="H54" s="117"/>
      <c r="I54" s="117">
        <v>10.373469110042601</v>
      </c>
      <c r="J54" s="117">
        <v>25.990677673954501</v>
      </c>
      <c r="K54" s="117">
        <v>2.6958438205099</v>
      </c>
      <c r="L54" s="117">
        <v>1.7984214823550799</v>
      </c>
      <c r="M54" s="117">
        <v>6.5027669418488596</v>
      </c>
      <c r="N54" s="117"/>
      <c r="O54" s="133">
        <v>97.571985847772893</v>
      </c>
      <c r="P54" s="117">
        <v>7.0717590492606401</v>
      </c>
      <c r="Q54" s="149">
        <v>12.3202032114669</v>
      </c>
      <c r="R54" s="259"/>
      <c r="S54" s="251"/>
      <c r="T54" s="260"/>
      <c r="U54" s="260"/>
      <c r="W54" s="260"/>
      <c r="Y54" s="260"/>
      <c r="Z54" s="260"/>
      <c r="AA54" s="260"/>
      <c r="AC54" s="260"/>
      <c r="AD54" s="260"/>
      <c r="AE54" s="260"/>
      <c r="AG54" s="260"/>
      <c r="AH54" s="260"/>
      <c r="AI54" s="260"/>
      <c r="AJ54" s="260"/>
      <c r="AK54" s="260"/>
      <c r="AM54" s="260"/>
      <c r="AN54" s="260"/>
      <c r="AO54" s="260"/>
      <c r="AQ54" s="260">
        <f t="shared" si="4"/>
        <v>37.826310895400511</v>
      </c>
      <c r="AS54" s="260">
        <v>0</v>
      </c>
      <c r="AT54" s="275">
        <v>0</v>
      </c>
      <c r="AV54" s="260">
        <f t="shared" si="5"/>
        <v>35.927787353714962</v>
      </c>
    </row>
    <row r="55" spans="1:48">
      <c r="A55" s="342" t="s">
        <v>606</v>
      </c>
      <c r="B55" s="117">
        <v>6.0963440079833099E-2</v>
      </c>
      <c r="C55" s="117">
        <v>0.406422933865554</v>
      </c>
      <c r="D55" s="117">
        <v>5.0802866733194199</v>
      </c>
      <c r="E55" s="117">
        <v>5.0802866733194199</v>
      </c>
      <c r="F55" s="117">
        <v>1.1800997913453699</v>
      </c>
      <c r="G55" s="117">
        <v>9.5102966524539596</v>
      </c>
      <c r="H55" s="117"/>
      <c r="I55" s="117">
        <v>4.0204572258005999</v>
      </c>
      <c r="J55" s="117">
        <v>7.00954504218452</v>
      </c>
      <c r="K55" s="117">
        <v>0</v>
      </c>
      <c r="L55" s="117"/>
      <c r="M55" s="117"/>
      <c r="O55" s="133">
        <v>75.482899392180002</v>
      </c>
      <c r="P55" s="117">
        <v>0.68075841422480299</v>
      </c>
      <c r="Q55" s="149">
        <v>2.12305180078019</v>
      </c>
      <c r="R55" s="184"/>
      <c r="S55" s="251"/>
      <c r="T55" s="260"/>
      <c r="U55" s="260"/>
      <c r="W55" s="260"/>
      <c r="Y55" s="260"/>
      <c r="Z55" s="260"/>
      <c r="AA55" s="260"/>
      <c r="AC55" s="260"/>
      <c r="AD55" s="260"/>
      <c r="AE55" s="260"/>
      <c r="AG55" s="260"/>
      <c r="AH55" s="260"/>
      <c r="AI55" s="260"/>
      <c r="AJ55" s="260"/>
      <c r="AK55" s="260"/>
      <c r="AM55" s="260"/>
      <c r="AN55" s="260"/>
      <c r="AO55" s="260"/>
      <c r="AQ55" s="260">
        <f t="shared" si="4"/>
        <v>5.2477546947292035</v>
      </c>
      <c r="AS55" s="260">
        <v>0</v>
      </c>
      <c r="AT55" s="275">
        <v>0</v>
      </c>
      <c r="AV55" s="260">
        <f t="shared" si="5"/>
        <v>4.9177174997732021</v>
      </c>
    </row>
    <row r="56" spans="1:48">
      <c r="A56" s="342" t="s">
        <v>607</v>
      </c>
      <c r="B56" s="117"/>
      <c r="C56" s="117"/>
      <c r="D56" s="117">
        <v>1.0160573346638799</v>
      </c>
      <c r="E56" s="117">
        <v>0.406422933865554</v>
      </c>
      <c r="F56" s="117">
        <v>0.26787225850601598</v>
      </c>
      <c r="G56" s="117">
        <v>2.7230336568992102</v>
      </c>
      <c r="H56" s="117">
        <v>0.95799691554023403</v>
      </c>
      <c r="I56" s="117">
        <v>0.95799691554023403</v>
      </c>
      <c r="J56" s="117">
        <v>0.92987390002721604</v>
      </c>
      <c r="K56" s="117">
        <v>0</v>
      </c>
      <c r="L56" s="117"/>
      <c r="M56" s="117"/>
      <c r="O56" s="133">
        <v>28.4800870906287</v>
      </c>
      <c r="P56" s="117">
        <v>0</v>
      </c>
      <c r="Q56" s="149"/>
      <c r="R56" s="184"/>
      <c r="S56" s="251"/>
      <c r="T56" s="260"/>
      <c r="U56" s="260"/>
      <c r="W56" s="260"/>
      <c r="Y56" s="260"/>
      <c r="Z56" s="260"/>
      <c r="AA56" s="260"/>
      <c r="AC56" s="260"/>
      <c r="AD56" s="260"/>
      <c r="AE56" s="260"/>
      <c r="AG56" s="260"/>
      <c r="AH56" s="260"/>
      <c r="AI56" s="260"/>
      <c r="AJ56" s="260"/>
      <c r="AK56" s="260"/>
      <c r="AM56" s="260"/>
      <c r="AN56" s="260"/>
      <c r="AO56" s="260"/>
      <c r="AQ56" s="260"/>
      <c r="AS56" s="260">
        <v>0</v>
      </c>
      <c r="AT56" s="275">
        <v>0</v>
      </c>
      <c r="AV56" s="260">
        <f t="shared" si="5"/>
        <v>0</v>
      </c>
    </row>
    <row r="57" spans="1:48">
      <c r="A57" s="116" t="s">
        <v>608</v>
      </c>
      <c r="B57" s="117"/>
      <c r="C57" s="117"/>
      <c r="D57" s="117"/>
      <c r="E57" s="117"/>
      <c r="F57" s="117"/>
      <c r="G57" s="117">
        <v>0.24385376031933201</v>
      </c>
      <c r="H57" s="117"/>
      <c r="I57" s="117"/>
      <c r="J57" s="117"/>
      <c r="K57" s="117"/>
      <c r="L57" s="117"/>
      <c r="M57" s="117"/>
      <c r="O57" s="133">
        <v>2.5198221899664301</v>
      </c>
      <c r="P57" s="117">
        <v>0</v>
      </c>
      <c r="Q57" s="149"/>
      <c r="R57" s="184"/>
      <c r="S57" s="251"/>
      <c r="T57" s="260"/>
      <c r="U57" s="260"/>
      <c r="W57" s="260"/>
      <c r="Y57" s="260"/>
      <c r="Z57" s="260"/>
      <c r="AA57" s="260"/>
      <c r="AC57" s="260"/>
      <c r="AD57" s="260"/>
      <c r="AE57" s="260"/>
      <c r="AG57" s="260"/>
      <c r="AH57" s="260"/>
      <c r="AI57" s="260"/>
      <c r="AJ57" s="260"/>
      <c r="AK57" s="260"/>
      <c r="AM57" s="260"/>
      <c r="AN57" s="260"/>
      <c r="AO57" s="260"/>
      <c r="AQ57" s="260"/>
      <c r="AS57" s="260">
        <v>0</v>
      </c>
      <c r="AT57" s="275">
        <v>0</v>
      </c>
      <c r="AV57" s="260">
        <f t="shared" si="5"/>
        <v>0</v>
      </c>
    </row>
    <row r="58" spans="1:48">
      <c r="A58" s="342" t="s">
        <v>609</v>
      </c>
      <c r="B58" s="117">
        <v>3.12945659076476</v>
      </c>
      <c r="C58" s="117">
        <v>2.72321082319477</v>
      </c>
      <c r="D58" s="117">
        <v>14.224802685294399</v>
      </c>
      <c r="E58" s="117">
        <v>13.208745350630499</v>
      </c>
      <c r="F58" s="117">
        <v>2.0053681882278198</v>
      </c>
      <c r="G58" s="117">
        <v>18.5024040642293</v>
      </c>
      <c r="H58" s="117">
        <v>14.224802685294399</v>
      </c>
      <c r="I58" s="117">
        <v>15.183582278053199</v>
      </c>
      <c r="J58" s="117">
        <v>15.636823540084601</v>
      </c>
      <c r="K58" s="117">
        <v>9.5869891306857404</v>
      </c>
      <c r="L58" s="117">
        <v>13.605007711149399</v>
      </c>
      <c r="M58" s="117">
        <v>39.951374398983901</v>
      </c>
      <c r="N58" s="117">
        <v>54.500751519550001</v>
      </c>
      <c r="O58" s="133">
        <v>82.666424748253604</v>
      </c>
      <c r="P58" s="117">
        <v>18.431280050802901</v>
      </c>
      <c r="Q58" s="149">
        <v>27.555474916084599</v>
      </c>
      <c r="R58" s="184"/>
      <c r="S58" s="251">
        <v>11</v>
      </c>
      <c r="T58" s="260">
        <v>13.7</v>
      </c>
      <c r="U58" s="260">
        <v>34.6</v>
      </c>
      <c r="W58" s="260">
        <v>49.5</v>
      </c>
      <c r="Y58" s="260">
        <v>69.5</v>
      </c>
      <c r="Z58" s="260">
        <v>160.5</v>
      </c>
      <c r="AA58" s="260">
        <v>77.5</v>
      </c>
      <c r="AC58" s="260">
        <v>57.3</v>
      </c>
      <c r="AD58" s="260">
        <v>109.1</v>
      </c>
      <c r="AE58" s="260">
        <v>194.4</v>
      </c>
      <c r="AG58" s="260">
        <v>48.1</v>
      </c>
      <c r="AH58" s="260">
        <v>74.2</v>
      </c>
      <c r="AI58" s="260">
        <v>149.1</v>
      </c>
      <c r="AJ58" s="260">
        <v>50.7</v>
      </c>
      <c r="AK58" s="260">
        <v>33.631497777374598</v>
      </c>
      <c r="AL58" s="268"/>
      <c r="AM58" s="260">
        <v>1.97858</v>
      </c>
      <c r="AN58" s="260">
        <v>5.0820700774743699</v>
      </c>
      <c r="AO58" s="260">
        <v>5.0820700774743699</v>
      </c>
      <c r="AQ58" s="260">
        <f t="shared" si="4"/>
        <v>58.25523459866082</v>
      </c>
      <c r="AS58" s="260">
        <v>39.934116363525398</v>
      </c>
      <c r="AT58" s="275">
        <v>36.581993103027301</v>
      </c>
      <c r="AV58" s="260">
        <f t="shared" si="5"/>
        <v>84.657897124194861</v>
      </c>
    </row>
    <row r="59" spans="1:48">
      <c r="A59" s="342" t="s">
        <v>610</v>
      </c>
      <c r="B59" s="117">
        <v>1.1786265082101099</v>
      </c>
      <c r="C59" s="117"/>
      <c r="D59" s="117">
        <v>2.0321146693277701</v>
      </c>
      <c r="E59" s="117">
        <v>2.0321146693277701</v>
      </c>
      <c r="F59" s="117">
        <v>1.0160573346638799</v>
      </c>
      <c r="G59" s="117">
        <v>2.9567268438719001</v>
      </c>
      <c r="I59" s="117">
        <v>1.0160573346638799</v>
      </c>
      <c r="J59" s="117">
        <v>3.864163567087</v>
      </c>
      <c r="K59" s="117">
        <v>0</v>
      </c>
      <c r="L59" s="117">
        <v>0.69091898757144199</v>
      </c>
      <c r="M59" s="117">
        <v>3.7594121382563701</v>
      </c>
      <c r="N59" s="117">
        <v>21.400295092080199</v>
      </c>
      <c r="O59" s="133">
        <v>39.880250385557503</v>
      </c>
      <c r="P59" s="117">
        <v>3.8610178717227601</v>
      </c>
      <c r="Q59" s="149">
        <v>3.6100517100607799</v>
      </c>
      <c r="R59" s="259"/>
      <c r="S59" s="251">
        <v>0.2</v>
      </c>
      <c r="T59" s="260">
        <v>0.2</v>
      </c>
      <c r="U59" s="260">
        <v>2</v>
      </c>
      <c r="W59" s="260">
        <v>2</v>
      </c>
      <c r="Y59" s="260">
        <v>20.5</v>
      </c>
      <c r="Z59" s="260">
        <v>7.5</v>
      </c>
      <c r="AA59" s="260">
        <v>36.6</v>
      </c>
      <c r="AC59" s="260">
        <v>4.5</v>
      </c>
      <c r="AD59" s="260">
        <v>3.1</v>
      </c>
      <c r="AE59" s="260">
        <v>5.8</v>
      </c>
      <c r="AG59" s="260">
        <v>5.0999999999999996</v>
      </c>
      <c r="AH59" s="260">
        <v>3.1</v>
      </c>
      <c r="AI59" s="260">
        <v>5.8</v>
      </c>
      <c r="AJ59" s="260">
        <v>2</v>
      </c>
      <c r="AK59" s="260">
        <v>2.1337204027941601</v>
      </c>
      <c r="AL59" s="268"/>
      <c r="AM59" s="260">
        <v>0</v>
      </c>
      <c r="AN59" s="260">
        <v>1.2840065534835601</v>
      </c>
      <c r="AO59" s="260">
        <v>1.2840065534835601</v>
      </c>
      <c r="AQ59" s="260">
        <f t="shared" si="4"/>
        <v>16.609237503402024</v>
      </c>
      <c r="AS59" s="260">
        <v>0.43544870615005499</v>
      </c>
      <c r="AT59" s="275">
        <v>0.43544870615005499</v>
      </c>
      <c r="AV59" s="260">
        <f t="shared" si="5"/>
        <v>19.802957452599109</v>
      </c>
    </row>
    <row r="60" spans="1:48">
      <c r="A60" s="342" t="s">
        <v>611</v>
      </c>
      <c r="B60" s="117">
        <v>0.25401433366597098</v>
      </c>
      <c r="C60" s="117">
        <v>1.9914723759412101</v>
      </c>
      <c r="D60" s="117">
        <v>1.0160573346638799</v>
      </c>
      <c r="E60" s="117">
        <v>1.0160573346638799</v>
      </c>
      <c r="F60" s="117">
        <v>0.56899210741177497</v>
      </c>
      <c r="G60" s="117">
        <v>1.0160573346638799</v>
      </c>
      <c r="H60" s="117">
        <v>1.0160573346638799</v>
      </c>
      <c r="I60" s="117">
        <v>1.0160573346638799</v>
      </c>
      <c r="J60" s="117">
        <v>1.0160573346638799</v>
      </c>
      <c r="K60" s="117">
        <v>0.56899210741177497</v>
      </c>
      <c r="L60" s="117">
        <v>1.9914723759412101</v>
      </c>
      <c r="M60" s="117">
        <v>3.2920257643109898</v>
      </c>
      <c r="N60" s="117">
        <v>4.1000565363331196</v>
      </c>
      <c r="O60" s="133">
        <v>6.83806586228794</v>
      </c>
      <c r="P60" s="117">
        <v>0.375941213825637</v>
      </c>
      <c r="Q60" s="149">
        <v>0.23369318697269301</v>
      </c>
      <c r="R60" s="259"/>
      <c r="S60" s="251">
        <v>3.4</v>
      </c>
      <c r="T60" s="260">
        <v>2.4</v>
      </c>
      <c r="U60" s="260">
        <v>1.3</v>
      </c>
      <c r="W60" s="260">
        <v>2.8</v>
      </c>
      <c r="Y60" s="260">
        <v>5.2</v>
      </c>
      <c r="Z60" s="260">
        <v>5.3</v>
      </c>
      <c r="AA60" s="260">
        <v>4.2</v>
      </c>
      <c r="AC60" s="260">
        <v>1.4</v>
      </c>
      <c r="AD60" s="260">
        <v>3.7</v>
      </c>
      <c r="AE60" s="260">
        <v>5.3</v>
      </c>
      <c r="AG60" s="260">
        <v>1.4</v>
      </c>
      <c r="AH60" s="260">
        <v>3.7</v>
      </c>
      <c r="AI60" s="260">
        <v>5.2</v>
      </c>
      <c r="AJ60" s="260">
        <v>4</v>
      </c>
      <c r="AK60" s="260">
        <v>3.3529892043908198</v>
      </c>
      <c r="AL60" s="268"/>
      <c r="AM60" s="260">
        <v>12.5</v>
      </c>
      <c r="AN60" s="260">
        <v>0.27007722686025398</v>
      </c>
      <c r="AO60" s="260">
        <v>0.27007722686025398</v>
      </c>
      <c r="AQ60" s="260">
        <f t="shared" si="4"/>
        <v>1.4010197099244881</v>
      </c>
      <c r="AS60" s="260">
        <v>5.2815313339233398</v>
      </c>
      <c r="AT60" s="275">
        <v>5.2964034080505398</v>
      </c>
      <c r="AV60" s="260">
        <f t="shared" si="5"/>
        <v>1.706976322235326</v>
      </c>
    </row>
    <row r="61" spans="1:48">
      <c r="A61" s="116" t="s">
        <v>612</v>
      </c>
      <c r="B61" s="117"/>
      <c r="C61" s="117"/>
      <c r="D61" s="117"/>
      <c r="E61" s="117"/>
      <c r="F61" s="117">
        <v>0</v>
      </c>
      <c r="G61" s="117">
        <v>10.160573346638801</v>
      </c>
      <c r="I61" s="117">
        <v>10.160573346638801</v>
      </c>
      <c r="J61" s="117">
        <v>10.160573346638801</v>
      </c>
      <c r="K61" s="117">
        <v>0</v>
      </c>
      <c r="L61" s="117"/>
      <c r="M61" s="117"/>
      <c r="N61" s="117"/>
      <c r="O61" s="133">
        <v>48.669146330400103</v>
      </c>
      <c r="P61" s="117">
        <v>13.6151682844961</v>
      </c>
      <c r="Q61" s="149"/>
      <c r="R61" s="259"/>
      <c r="S61" s="251"/>
      <c r="T61" s="260"/>
      <c r="U61" s="260"/>
      <c r="W61" s="260"/>
      <c r="Y61" s="260">
        <v>29</v>
      </c>
      <c r="Z61" s="260">
        <v>82.5</v>
      </c>
      <c r="AA61" s="260"/>
      <c r="AC61" s="260"/>
      <c r="AD61" s="260"/>
      <c r="AE61" s="260">
        <v>82.5</v>
      </c>
      <c r="AG61" s="260"/>
      <c r="AH61" s="260"/>
      <c r="AI61" s="260">
        <v>82.5</v>
      </c>
      <c r="AJ61" s="260"/>
      <c r="AK61" s="260"/>
      <c r="AM61" s="260">
        <v>6</v>
      </c>
      <c r="AN61" s="260">
        <v>0</v>
      </c>
      <c r="AO61" s="260">
        <v>0</v>
      </c>
      <c r="AQ61" s="260"/>
      <c r="AS61" s="260">
        <v>0</v>
      </c>
      <c r="AT61" s="275">
        <v>0</v>
      </c>
      <c r="AV61" s="260">
        <f t="shared" si="5"/>
        <v>19.447337385466753</v>
      </c>
    </row>
    <row r="62" spans="1:48">
      <c r="A62" s="342" t="s">
        <v>613</v>
      </c>
      <c r="B62" s="117"/>
      <c r="C62" s="117">
        <v>0.42674408055883201</v>
      </c>
      <c r="D62" s="117"/>
      <c r="E62" s="117"/>
      <c r="F62" s="117">
        <v>0.42674408055883201</v>
      </c>
      <c r="G62" s="117">
        <v>4.8161117663068103</v>
      </c>
      <c r="H62" s="117"/>
      <c r="I62" s="117">
        <v>4.8127978398108802</v>
      </c>
      <c r="J62" s="117">
        <v>4.8127978398108802</v>
      </c>
      <c r="K62" s="117">
        <v>0.42674408055883201</v>
      </c>
      <c r="L62" s="117">
        <v>0.25401433366597098</v>
      </c>
      <c r="M62" s="117">
        <v>0</v>
      </c>
      <c r="N62" s="117">
        <v>43.000592942030302</v>
      </c>
      <c r="O62" s="133">
        <v>85.887326499138197</v>
      </c>
      <c r="P62" s="117">
        <v>4.8161117663068103</v>
      </c>
      <c r="Q62" s="149"/>
      <c r="R62" s="259"/>
      <c r="S62" s="251"/>
      <c r="T62" s="260"/>
      <c r="U62" s="260">
        <v>7.5</v>
      </c>
      <c r="W62" s="260">
        <v>7.5</v>
      </c>
      <c r="Y62" s="260">
        <v>87</v>
      </c>
      <c r="Z62" s="260">
        <v>87</v>
      </c>
      <c r="AA62" s="260">
        <v>46.8</v>
      </c>
      <c r="AC62" s="260"/>
      <c r="AD62" s="260">
        <v>7.5</v>
      </c>
      <c r="AE62" s="260">
        <v>87</v>
      </c>
      <c r="AG62" s="260"/>
      <c r="AH62" s="260">
        <v>7.5</v>
      </c>
      <c r="AI62" s="260">
        <v>87</v>
      </c>
      <c r="AJ62" s="260">
        <v>7.5</v>
      </c>
      <c r="AK62" s="260"/>
      <c r="AL62" s="268"/>
      <c r="AM62" s="260">
        <v>0</v>
      </c>
      <c r="AN62" s="260">
        <v>0</v>
      </c>
      <c r="AO62" s="260">
        <v>0</v>
      </c>
      <c r="AQ62" s="260"/>
      <c r="AS62" s="260">
        <v>0</v>
      </c>
      <c r="AT62" s="275">
        <v>0</v>
      </c>
      <c r="AV62" s="260">
        <f t="shared" si="5"/>
        <v>0</v>
      </c>
    </row>
    <row r="63" spans="1:48">
      <c r="A63" s="342" t="s">
        <v>614</v>
      </c>
      <c r="B63" s="117">
        <v>1.7272974689286</v>
      </c>
      <c r="C63" s="117">
        <v>4.5921928248130301</v>
      </c>
      <c r="D63" s="117">
        <v>4.0642293386555401</v>
      </c>
      <c r="E63" s="117">
        <v>4.0642293386555401</v>
      </c>
      <c r="F63" s="117">
        <v>5.1992630916326599</v>
      </c>
      <c r="G63" s="117">
        <v>4.6230608727206803</v>
      </c>
      <c r="H63" s="117">
        <v>4.0642293386555401</v>
      </c>
      <c r="I63" s="117">
        <v>4.14392011000173</v>
      </c>
      <c r="J63" s="117">
        <v>4.14392011000173</v>
      </c>
      <c r="K63" s="117">
        <v>3.8067661405804398</v>
      </c>
      <c r="L63" s="117">
        <v>4.7653088995736201</v>
      </c>
      <c r="M63" s="117">
        <v>18.3906377574163</v>
      </c>
      <c r="N63" s="117">
        <v>15.600215113852901</v>
      </c>
      <c r="O63" s="133">
        <v>40.906468293567997</v>
      </c>
      <c r="P63" s="117">
        <v>12.213009162659899</v>
      </c>
      <c r="Q63" s="149">
        <v>5.1514106867459004</v>
      </c>
      <c r="R63" s="259"/>
      <c r="S63" s="251">
        <v>7.2</v>
      </c>
      <c r="T63" s="260">
        <v>7.6</v>
      </c>
      <c r="U63" s="260">
        <v>5.5</v>
      </c>
      <c r="W63" s="260">
        <v>13.1</v>
      </c>
      <c r="Y63" s="260">
        <v>26.9</v>
      </c>
      <c r="Z63" s="260">
        <v>26.5</v>
      </c>
      <c r="AA63" s="260">
        <v>15.8</v>
      </c>
      <c r="AC63" s="260">
        <v>10.3</v>
      </c>
      <c r="AD63" s="260">
        <v>15.2</v>
      </c>
      <c r="AE63" s="260">
        <v>27.3</v>
      </c>
      <c r="AG63" s="260">
        <v>10.3</v>
      </c>
      <c r="AH63" s="260">
        <v>15.1</v>
      </c>
      <c r="AI63" s="260">
        <v>27.8</v>
      </c>
      <c r="AJ63" s="260">
        <v>18</v>
      </c>
      <c r="AK63" s="260">
        <v>18.3906377574163</v>
      </c>
      <c r="AL63" s="268"/>
      <c r="AM63" s="260">
        <v>14.6</v>
      </c>
      <c r="AN63" s="260">
        <v>7.2120622431941896</v>
      </c>
      <c r="AO63" s="260">
        <v>7.2120622431941896</v>
      </c>
      <c r="AQ63" s="260">
        <f t="shared" si="4"/>
        <v>13.811882079345644</v>
      </c>
      <c r="AS63" s="260">
        <v>13.246298789978001</v>
      </c>
      <c r="AT63" s="275">
        <v>14.4018898010254</v>
      </c>
      <c r="AV63" s="260">
        <f t="shared" si="5"/>
        <v>0</v>
      </c>
    </row>
    <row r="64" spans="1:48">
      <c r="A64" s="342" t="s">
        <v>615</v>
      </c>
      <c r="B64" s="117">
        <v>0.83316701442438501</v>
      </c>
      <c r="C64" s="117">
        <v>1.6968157488886899</v>
      </c>
      <c r="D64" s="117">
        <v>2.0321146693277701</v>
      </c>
      <c r="E64" s="117">
        <v>2.0321146693277701</v>
      </c>
      <c r="F64" s="117">
        <v>0</v>
      </c>
      <c r="G64" s="117">
        <v>2.0321146693277701</v>
      </c>
      <c r="H64" s="117">
        <v>2.0321146693277701</v>
      </c>
      <c r="I64" s="117">
        <v>2.0321146693277701</v>
      </c>
      <c r="J64" s="117">
        <v>2.0321146693277701</v>
      </c>
      <c r="K64" s="117">
        <v>0</v>
      </c>
      <c r="L64" s="117">
        <v>1.6968157488886899</v>
      </c>
      <c r="M64" s="117">
        <v>2.2454867096071802</v>
      </c>
      <c r="N64" s="117">
        <v>6.0000827360972497</v>
      </c>
      <c r="O64" s="133">
        <v>19.802957452599099</v>
      </c>
      <c r="P64" s="117">
        <v>5.5171913272248903</v>
      </c>
      <c r="Q64" s="149">
        <v>1.76793976231516</v>
      </c>
      <c r="R64" s="259"/>
      <c r="S64" s="251">
        <v>4.4000000000000004</v>
      </c>
      <c r="T64" s="260">
        <v>2.4</v>
      </c>
      <c r="U64" s="260">
        <v>8.6999999999999993</v>
      </c>
      <c r="W64" s="260">
        <v>6.4</v>
      </c>
      <c r="Y64" s="260">
        <v>13.1</v>
      </c>
      <c r="Z64" s="260">
        <v>16.600000000000001</v>
      </c>
      <c r="AA64" s="260">
        <v>22.5</v>
      </c>
      <c r="AC64" s="260">
        <v>4</v>
      </c>
      <c r="AD64" s="260">
        <v>8.5</v>
      </c>
      <c r="AE64" s="260">
        <v>10.4</v>
      </c>
      <c r="AG64" s="260">
        <v>4</v>
      </c>
      <c r="AH64" s="260">
        <v>8.5</v>
      </c>
      <c r="AI64" s="260">
        <v>10.3</v>
      </c>
      <c r="AJ64" s="260">
        <v>7.3</v>
      </c>
      <c r="AK64" s="260">
        <v>0.81284586773110801</v>
      </c>
      <c r="AL64" s="268"/>
      <c r="AM64" s="260">
        <v>2</v>
      </c>
      <c r="AN64" s="260">
        <v>3.2609324428312201</v>
      </c>
      <c r="AO64" s="260">
        <v>3.2609324428312201</v>
      </c>
      <c r="AQ64" s="260">
        <f t="shared" si="4"/>
        <v>0.9748255047139196</v>
      </c>
      <c r="AS64" s="260">
        <v>5.6047391891479501</v>
      </c>
      <c r="AT64" s="275">
        <v>12.1900844573975</v>
      </c>
      <c r="AV64" s="260">
        <f t="shared" si="5"/>
        <v>5.1818924067858116</v>
      </c>
    </row>
    <row r="65" spans="1:48">
      <c r="A65" s="116" t="s">
        <v>616</v>
      </c>
      <c r="B65" s="117"/>
      <c r="C65" s="117"/>
      <c r="D65" s="117"/>
      <c r="E65" s="117"/>
      <c r="F65" s="117">
        <v>0</v>
      </c>
      <c r="G65" s="117">
        <v>3.3733103510841</v>
      </c>
      <c r="H65" s="117"/>
      <c r="I65" s="117">
        <v>0</v>
      </c>
      <c r="J65" s="117">
        <v>1.0393731289122701</v>
      </c>
      <c r="K65" s="117">
        <v>0</v>
      </c>
      <c r="L65" s="117"/>
      <c r="M65" s="117">
        <v>1.9406695092080199</v>
      </c>
      <c r="N65" s="117">
        <v>6.9000951465118403</v>
      </c>
      <c r="O65" s="133">
        <v>19.4778191055067</v>
      </c>
      <c r="P65" s="117">
        <v>3.7289304182164602</v>
      </c>
      <c r="Q65" s="149">
        <v>1.21926880159666</v>
      </c>
      <c r="R65" s="259"/>
      <c r="S65" s="251">
        <v>2.1</v>
      </c>
      <c r="T65" s="260">
        <v>2</v>
      </c>
      <c r="U65" s="260">
        <v>1.9</v>
      </c>
      <c r="W65" s="260">
        <v>4.5</v>
      </c>
      <c r="Y65" s="260">
        <v>7.6</v>
      </c>
      <c r="Z65" s="260">
        <v>8.4</v>
      </c>
      <c r="AA65" s="260">
        <v>7.1</v>
      </c>
      <c r="AC65" s="260">
        <v>3.3</v>
      </c>
      <c r="AD65" s="260">
        <v>5.6</v>
      </c>
      <c r="AE65" s="260">
        <v>9.1999999999999993</v>
      </c>
      <c r="AG65" s="260">
        <v>3.3</v>
      </c>
      <c r="AH65" s="260">
        <v>5.6</v>
      </c>
      <c r="AI65" s="260">
        <v>9.1999999999999993</v>
      </c>
      <c r="AJ65" s="260">
        <v>6.4</v>
      </c>
      <c r="AK65" s="260">
        <v>4.2674408055883202</v>
      </c>
      <c r="AL65" s="268"/>
      <c r="AM65" s="260">
        <v>30.45</v>
      </c>
      <c r="AN65" s="260">
        <v>2.6807665480943701</v>
      </c>
      <c r="AO65" s="260">
        <v>6.9000951465118403</v>
      </c>
      <c r="AQ65" s="260">
        <f t="shared" si="4"/>
        <v>26.799243614806784</v>
      </c>
      <c r="AS65" s="260">
        <v>4.4479312896728498</v>
      </c>
      <c r="AT65" s="275">
        <v>4.7354202270507804</v>
      </c>
      <c r="AV65" s="260">
        <f t="shared" si="5"/>
        <v>33.966796697813663</v>
      </c>
    </row>
    <row r="66" spans="1:48">
      <c r="A66" s="116" t="s">
        <v>617</v>
      </c>
      <c r="B66" s="117">
        <v>0.96525446793069003</v>
      </c>
      <c r="C66" s="117">
        <v>0.59947382745169198</v>
      </c>
      <c r="D66" s="117">
        <v>2.0321146693277701</v>
      </c>
      <c r="E66" s="117">
        <v>2.0321146693277701</v>
      </c>
      <c r="F66" s="117">
        <v>1.9406695092080199</v>
      </c>
      <c r="G66" s="117">
        <v>2.2861290029937398</v>
      </c>
      <c r="H66" s="117">
        <v>2.2861290029937398</v>
      </c>
      <c r="I66" s="117">
        <v>2.2861290029937398</v>
      </c>
      <c r="J66" s="117">
        <v>2.2861290029937398</v>
      </c>
      <c r="K66" s="117">
        <v>0.46288396988115799</v>
      </c>
      <c r="L66" s="117">
        <v>1.58504944207566</v>
      </c>
      <c r="M66" s="117">
        <v>7.0717590492606401</v>
      </c>
      <c r="N66" s="117">
        <v>4.2000579152680801</v>
      </c>
      <c r="O66" s="133">
        <v>16.683661435181001</v>
      </c>
      <c r="P66" s="117">
        <v>2.7535153769391298</v>
      </c>
      <c r="Q66" s="149">
        <v>2.20484441622063</v>
      </c>
      <c r="R66" s="259"/>
      <c r="S66" s="251">
        <v>2</v>
      </c>
      <c r="T66" s="260">
        <v>1</v>
      </c>
      <c r="U66" s="260">
        <v>1.9683928571428599</v>
      </c>
      <c r="W66" s="260">
        <v>1</v>
      </c>
      <c r="Y66" s="260">
        <v>16.5</v>
      </c>
      <c r="Z66" s="260">
        <v>2</v>
      </c>
      <c r="AA66" s="260">
        <v>4.2</v>
      </c>
      <c r="AC66" s="260">
        <v>2</v>
      </c>
      <c r="AD66" s="260">
        <v>4.8</v>
      </c>
      <c r="AE66" s="260">
        <v>1</v>
      </c>
      <c r="AG66" s="260">
        <v>2</v>
      </c>
      <c r="AH66" s="260">
        <v>4.8</v>
      </c>
      <c r="AI66" s="260">
        <v>1</v>
      </c>
      <c r="AJ66" s="260">
        <v>4.8</v>
      </c>
      <c r="AK66" s="260">
        <v>32.1074117753788</v>
      </c>
      <c r="AL66" s="268"/>
      <c r="AM66" s="260">
        <v>5</v>
      </c>
      <c r="AN66" s="260">
        <v>1.9805663303085299</v>
      </c>
      <c r="AO66" s="260">
        <v>1.9805663303085299</v>
      </c>
      <c r="AQ66" s="260">
        <f t="shared" si="4"/>
        <v>15.931779007529711</v>
      </c>
      <c r="AS66" s="260">
        <v>1.01604700088501</v>
      </c>
      <c r="AT66" s="275">
        <v>1.01604700088501</v>
      </c>
      <c r="AV66" s="260">
        <f t="shared" si="5"/>
        <v>15.525356073664156</v>
      </c>
    </row>
    <row r="67" spans="1:48">
      <c r="A67" s="116" t="s">
        <v>618</v>
      </c>
      <c r="B67" s="117"/>
      <c r="C67" s="117"/>
      <c r="D67" s="117"/>
      <c r="E67" s="117"/>
      <c r="F67" s="117">
        <v>0</v>
      </c>
      <c r="G67" s="117">
        <v>0</v>
      </c>
      <c r="H67" s="117"/>
      <c r="I67" s="117">
        <v>0</v>
      </c>
      <c r="J67" s="117">
        <v>0</v>
      </c>
      <c r="K67" s="117">
        <v>9.0719404880703999E-2</v>
      </c>
      <c r="L67" s="117"/>
      <c r="M67" s="117"/>
      <c r="N67" s="117"/>
      <c r="O67" s="133">
        <v>6.83806586228794</v>
      </c>
      <c r="P67" s="117">
        <v>0</v>
      </c>
      <c r="Q67" s="149"/>
      <c r="R67" s="259"/>
      <c r="S67" s="251"/>
      <c r="T67" s="260"/>
      <c r="U67" s="260"/>
      <c r="W67" s="260"/>
      <c r="Y67" s="260"/>
      <c r="Z67" s="260"/>
      <c r="AA67" s="260"/>
      <c r="AC67" s="260"/>
      <c r="AD67" s="260"/>
      <c r="AE67" s="260"/>
      <c r="AG67" s="260"/>
      <c r="AH67" s="260"/>
      <c r="AI67" s="260"/>
      <c r="AJ67" s="260"/>
      <c r="AK67" s="260"/>
      <c r="AM67" s="260">
        <v>1.33</v>
      </c>
      <c r="AN67" s="260">
        <v>0</v>
      </c>
      <c r="AO67" s="260">
        <v>0</v>
      </c>
      <c r="AQ67" s="260"/>
      <c r="AS67" s="260">
        <v>0</v>
      </c>
      <c r="AT67" s="275">
        <v>0</v>
      </c>
      <c r="AV67" s="260">
        <f t="shared" si="5"/>
        <v>0</v>
      </c>
    </row>
    <row r="68" spans="1:48">
      <c r="A68" s="116" t="s">
        <v>619</v>
      </c>
      <c r="B68" s="117">
        <v>3.9931053252290698</v>
      </c>
      <c r="C68" s="117">
        <v>25.775423750340199</v>
      </c>
      <c r="D68" s="117">
        <v>22.353261362605501</v>
      </c>
      <c r="E68" s="117">
        <v>21.337204027941599</v>
      </c>
      <c r="F68" s="117">
        <v>22.111270374066301</v>
      </c>
      <c r="G68" s="117">
        <v>25.381112219903802</v>
      </c>
      <c r="H68" s="117"/>
      <c r="I68" s="117">
        <v>22.111270374066301</v>
      </c>
      <c r="J68" s="117">
        <v>20.7290937131452</v>
      </c>
      <c r="K68" s="117">
        <v>11.4662730654087</v>
      </c>
      <c r="L68" s="117">
        <v>16.145151047809101</v>
      </c>
      <c r="M68" s="117">
        <v>46.108681847047102</v>
      </c>
      <c r="N68" s="117">
        <v>85.101173473646</v>
      </c>
      <c r="O68" s="133">
        <v>104.75551120384701</v>
      </c>
      <c r="P68" s="117">
        <v>37.5738002358705</v>
      </c>
      <c r="Q68" s="149">
        <v>15.282228068583899</v>
      </c>
      <c r="R68" s="259"/>
      <c r="S68" s="251">
        <v>65.7</v>
      </c>
      <c r="T68" s="260">
        <v>38.200000000000003</v>
      </c>
      <c r="U68" s="260">
        <v>47.4</v>
      </c>
      <c r="W68" s="260">
        <v>57.4</v>
      </c>
      <c r="Y68" s="260">
        <v>164.3</v>
      </c>
      <c r="Z68" s="260">
        <v>120.3</v>
      </c>
      <c r="AA68" s="269">
        <v>129.30000000000001</v>
      </c>
      <c r="AC68" s="260">
        <v>57.4</v>
      </c>
      <c r="AD68" s="260">
        <v>103.6</v>
      </c>
      <c r="AE68" s="260">
        <v>150.9</v>
      </c>
      <c r="AG68" s="260">
        <v>94</v>
      </c>
      <c r="AH68" s="260">
        <v>134.30000000000001</v>
      </c>
      <c r="AI68" s="260">
        <v>170.5</v>
      </c>
      <c r="AJ68" s="260">
        <v>76.599999999999994</v>
      </c>
      <c r="AK68" s="260">
        <v>94.696543590674096</v>
      </c>
      <c r="AL68" s="268"/>
      <c r="AM68" s="260">
        <v>52.5</v>
      </c>
      <c r="AN68" s="260">
        <v>9.2466440188747701</v>
      </c>
      <c r="AO68" s="260">
        <v>21.500296471015201</v>
      </c>
      <c r="AQ68" s="260">
        <f t="shared" si="4"/>
        <v>33.534972330581517</v>
      </c>
      <c r="AS68" s="260">
        <v>80.0350341796875</v>
      </c>
      <c r="AT68" s="275">
        <v>80.081069946289105</v>
      </c>
      <c r="AV68" s="260">
        <f t="shared" si="5"/>
        <v>39.78880522543772</v>
      </c>
    </row>
    <row r="69" spans="1:48">
      <c r="A69" s="116" t="s">
        <v>620</v>
      </c>
      <c r="B69" s="117">
        <v>0.82300644107774701</v>
      </c>
      <c r="C69" s="117">
        <v>3.3842200343828899</v>
      </c>
      <c r="D69" s="117"/>
      <c r="E69" s="117"/>
      <c r="F69" s="117">
        <v>4.1265038679812598</v>
      </c>
      <c r="G69" s="117">
        <v>7.5493059965526603</v>
      </c>
      <c r="H69" s="117"/>
      <c r="I69" s="117">
        <v>8.2262187702806102</v>
      </c>
      <c r="J69" s="117">
        <v>8.1593280199152005</v>
      </c>
      <c r="K69" s="117">
        <v>2.1399340978789301</v>
      </c>
      <c r="L69" s="117">
        <v>3.8711784450694</v>
      </c>
      <c r="M69" s="117">
        <v>38.843871904200299</v>
      </c>
      <c r="N69" s="117">
        <v>31.700437122380499</v>
      </c>
      <c r="O69" s="133">
        <v>44.066406604372702</v>
      </c>
      <c r="P69" s="117">
        <v>12.0097976957271</v>
      </c>
      <c r="Q69" s="149">
        <v>9.0733919985484803</v>
      </c>
      <c r="R69" s="259"/>
      <c r="S69" s="251">
        <v>23.4</v>
      </c>
      <c r="T69" s="260">
        <v>10.4</v>
      </c>
      <c r="U69" s="260">
        <v>13</v>
      </c>
      <c r="W69" s="260">
        <v>44.3</v>
      </c>
      <c r="Y69" s="260">
        <v>36.200000000000003</v>
      </c>
      <c r="Z69" s="260">
        <v>43.2</v>
      </c>
      <c r="AA69" s="269">
        <v>33.9</v>
      </c>
      <c r="AC69" s="260">
        <v>22</v>
      </c>
      <c r="AD69" s="260">
        <v>57.2</v>
      </c>
      <c r="AE69" s="260">
        <v>78.900000000000006</v>
      </c>
      <c r="AG69" s="260">
        <v>3.4</v>
      </c>
      <c r="AH69" s="260">
        <v>5</v>
      </c>
      <c r="AI69" s="260">
        <v>9.6</v>
      </c>
      <c r="AJ69" s="260">
        <v>50.2</v>
      </c>
      <c r="AK69" s="260">
        <v>46.5354259276059</v>
      </c>
      <c r="AL69" s="268"/>
      <c r="AM69" s="260">
        <v>9.77</v>
      </c>
      <c r="AN69" s="260">
        <v>11.3682506787659</v>
      </c>
      <c r="AO69" s="260">
        <v>5.2000717046176197</v>
      </c>
      <c r="AQ69" s="260">
        <f t="shared" si="4"/>
        <v>10.491845947580254</v>
      </c>
      <c r="AS69" s="260">
        <v>23.806686401367202</v>
      </c>
      <c r="AT69" s="275">
        <v>23.806686401367202</v>
      </c>
      <c r="AV69" s="260">
        <f t="shared" si="5"/>
        <v>15.647282953823824</v>
      </c>
    </row>
    <row r="70" spans="1:48">
      <c r="A70" s="116" t="s">
        <v>621</v>
      </c>
      <c r="B70" s="117">
        <v>1.9609906559013</v>
      </c>
      <c r="C70" s="117">
        <v>4.13432182378161</v>
      </c>
      <c r="D70" s="117">
        <v>45.722580059874801</v>
      </c>
      <c r="E70" s="117">
        <v>43.690465390546997</v>
      </c>
      <c r="F70" s="117">
        <v>3.5486625902400002</v>
      </c>
      <c r="G70" s="117">
        <v>4.2369590855484001</v>
      </c>
      <c r="H70" s="117"/>
      <c r="I70" s="117">
        <v>4.6163749636948497</v>
      </c>
      <c r="J70" s="117">
        <v>5.12011612083825</v>
      </c>
      <c r="K70" s="117">
        <v>2.41961142047681</v>
      </c>
      <c r="L70" s="117">
        <v>4.2979225256282296</v>
      </c>
      <c r="M70" s="117">
        <v>17.811485076657899</v>
      </c>
      <c r="N70" s="117">
        <v>35.000482627234</v>
      </c>
      <c r="O70" s="133">
        <v>48.852036650639597</v>
      </c>
      <c r="P70" s="117">
        <v>6.3198766216093603</v>
      </c>
      <c r="Q70" s="149">
        <v>5.7712056608908604</v>
      </c>
      <c r="R70" s="259"/>
      <c r="S70" s="251">
        <v>8</v>
      </c>
      <c r="T70" s="260">
        <v>3.1</v>
      </c>
      <c r="U70" s="260">
        <v>12.8</v>
      </c>
      <c r="W70" s="260">
        <v>11.8</v>
      </c>
      <c r="Y70" s="260">
        <v>62.4</v>
      </c>
      <c r="Z70" s="260">
        <v>62.2</v>
      </c>
      <c r="AA70" s="269">
        <v>47.5</v>
      </c>
      <c r="AC70" s="260">
        <v>5</v>
      </c>
      <c r="AD70" s="260">
        <v>14.2</v>
      </c>
      <c r="AE70" s="260">
        <v>32.4</v>
      </c>
      <c r="AG70" s="260">
        <v>5</v>
      </c>
      <c r="AH70" s="260">
        <v>14.2</v>
      </c>
      <c r="AI70" s="260">
        <v>32.4</v>
      </c>
      <c r="AJ70" s="260">
        <v>15</v>
      </c>
      <c r="AK70" s="260">
        <v>12.091082282500199</v>
      </c>
      <c r="AL70" s="268"/>
      <c r="AM70" s="260">
        <v>5.73</v>
      </c>
      <c r="AN70" s="260">
        <v>2.2806521379310301</v>
      </c>
      <c r="AO70" s="260">
        <v>3.6000496416583498</v>
      </c>
      <c r="AQ70" s="260">
        <f t="shared" si="4"/>
        <v>0.40531600485028974</v>
      </c>
      <c r="AS70" s="260">
        <v>2.6827337741851802</v>
      </c>
      <c r="AT70" s="275">
        <v>5.4515457153320304</v>
      </c>
      <c r="AV70" s="260">
        <f t="shared" si="5"/>
        <v>6.360518914995918</v>
      </c>
    </row>
    <row r="71" spans="1:48">
      <c r="A71" s="116" t="s">
        <v>622</v>
      </c>
      <c r="B71" s="117">
        <v>2.2962895763403801</v>
      </c>
      <c r="C71" s="117">
        <v>6.8659252924511396</v>
      </c>
      <c r="D71" s="117"/>
      <c r="E71" s="117"/>
      <c r="F71" s="117">
        <v>4.5385023340374699</v>
      </c>
      <c r="G71" s="117">
        <v>15.840333847409999</v>
      </c>
      <c r="H71" s="117"/>
      <c r="I71" s="117">
        <v>13.552955469156</v>
      </c>
      <c r="J71" s="117">
        <v>13.383478642698901</v>
      </c>
      <c r="K71" s="117">
        <v>6.2061152259556298</v>
      </c>
      <c r="L71" s="117">
        <v>9.3985303456409302</v>
      </c>
      <c r="M71" s="117">
        <v>48.973963530799203</v>
      </c>
      <c r="N71" s="117">
        <v>69.800962496598004</v>
      </c>
      <c r="O71" s="133">
        <v>81.884060600562506</v>
      </c>
      <c r="P71" s="117">
        <v>27.118570262179102</v>
      </c>
      <c r="Q71" s="149">
        <v>9.0733919985484892</v>
      </c>
      <c r="R71" s="259"/>
      <c r="S71" s="251">
        <v>17.5</v>
      </c>
      <c r="T71" s="260">
        <v>14.2</v>
      </c>
      <c r="U71" s="260">
        <v>21.2</v>
      </c>
      <c r="W71" s="260">
        <v>50.3</v>
      </c>
      <c r="Y71" s="260">
        <v>75</v>
      </c>
      <c r="Z71" s="260">
        <v>80.8</v>
      </c>
      <c r="AA71" s="269">
        <v>71.599999999999994</v>
      </c>
      <c r="AC71" s="260">
        <v>27.8</v>
      </c>
      <c r="AD71" s="260">
        <v>61.7</v>
      </c>
      <c r="AE71" s="260">
        <v>88.9</v>
      </c>
      <c r="AG71" s="260">
        <v>28.4</v>
      </c>
      <c r="AH71" s="260">
        <v>62.4</v>
      </c>
      <c r="AI71" s="260">
        <v>90.9</v>
      </c>
      <c r="AJ71" s="260">
        <v>65.900000000000006</v>
      </c>
      <c r="AK71" s="260">
        <v>50.193232332395901</v>
      </c>
      <c r="AL71" s="268"/>
      <c r="AM71" s="260">
        <v>12.54</v>
      </c>
      <c r="AN71" s="260">
        <v>5.25150163339383</v>
      </c>
      <c r="AO71" s="260">
        <v>7.0700974907012597</v>
      </c>
      <c r="AQ71" s="260">
        <f t="shared" si="4"/>
        <v>8.9108228250022687</v>
      </c>
      <c r="AS71" s="260">
        <v>22.813920974731399</v>
      </c>
      <c r="AT71" s="275">
        <v>23.4169921875</v>
      </c>
      <c r="AV71" s="260">
        <f t="shared" si="5"/>
        <v>16.256917354622153</v>
      </c>
    </row>
    <row r="72" spans="1:48">
      <c r="A72" s="116" t="s">
        <v>623</v>
      </c>
      <c r="B72" s="117">
        <v>0.67059784087816399</v>
      </c>
      <c r="C72" s="117">
        <v>3.6028461357888002</v>
      </c>
      <c r="D72" s="117"/>
      <c r="E72" s="117"/>
      <c r="F72" s="117">
        <v>3.5549929825837201</v>
      </c>
      <c r="G72" s="117">
        <v>8.9108228250022705</v>
      </c>
      <c r="H72" s="117"/>
      <c r="I72" s="117">
        <v>6.8651795374443996</v>
      </c>
      <c r="J72" s="117">
        <v>6.7383941862381098</v>
      </c>
      <c r="K72" s="117">
        <v>2.6380469684691499</v>
      </c>
      <c r="L72" s="117">
        <v>4.2369590855484001</v>
      </c>
      <c r="M72" s="117">
        <v>12.416220629592701</v>
      </c>
      <c r="N72" s="117">
        <v>18.300252345096599</v>
      </c>
      <c r="O72" s="133">
        <v>38.579696997187703</v>
      </c>
      <c r="P72" s="117">
        <v>6.13698630136986</v>
      </c>
      <c r="Q72" s="149">
        <v>4.8973963530799196</v>
      </c>
      <c r="R72" s="259"/>
      <c r="S72" s="251">
        <v>4.5</v>
      </c>
      <c r="T72" s="260">
        <v>2.6</v>
      </c>
      <c r="U72" s="260">
        <v>6.3</v>
      </c>
      <c r="W72" s="260">
        <v>7.9</v>
      </c>
      <c r="Y72" s="260">
        <v>22.9</v>
      </c>
      <c r="Z72" s="260">
        <v>27</v>
      </c>
      <c r="AA72" s="269">
        <v>18.8</v>
      </c>
      <c r="AC72" s="260">
        <v>4.5</v>
      </c>
      <c r="AD72" s="260">
        <v>8.9</v>
      </c>
      <c r="AE72" s="260">
        <v>14.9</v>
      </c>
      <c r="AG72" s="260">
        <v>4.5</v>
      </c>
      <c r="AH72" s="260">
        <v>8.6999999999999993</v>
      </c>
      <c r="AI72" s="260">
        <v>14.7</v>
      </c>
      <c r="AJ72" s="260">
        <v>9.4</v>
      </c>
      <c r="AK72" s="260">
        <v>9.6525446793068994</v>
      </c>
      <c r="AL72" s="268"/>
      <c r="AM72" s="260">
        <v>3.1</v>
      </c>
      <c r="AN72" s="260">
        <v>2.02452156436344</v>
      </c>
      <c r="AO72" s="260">
        <v>1.2200168230064401</v>
      </c>
      <c r="AQ72" s="260">
        <f t="shared" si="4"/>
        <v>2.7226883533338717</v>
      </c>
      <c r="AS72" s="260">
        <v>3.6096985340118399</v>
      </c>
      <c r="AT72" s="275">
        <v>6.8575935363769496</v>
      </c>
      <c r="AV72" s="260">
        <f t="shared" si="5"/>
        <v>1.9406695092080195</v>
      </c>
    </row>
    <row r="73" spans="1:48">
      <c r="A73" s="116" t="s">
        <v>624</v>
      </c>
      <c r="B73" s="117">
        <v>1.5952100154222999</v>
      </c>
      <c r="C73" s="117">
        <v>7.1148507665789698</v>
      </c>
      <c r="D73" s="117"/>
      <c r="E73" s="117"/>
      <c r="F73" s="117">
        <v>7.1148507665789698</v>
      </c>
      <c r="G73" s="117">
        <v>5.3241404336387603</v>
      </c>
      <c r="H73" s="117">
        <v>6.6779461126735002</v>
      </c>
      <c r="I73" s="117">
        <v>7.1148507665789698</v>
      </c>
      <c r="J73" s="117">
        <v>6.8811122199038399</v>
      </c>
      <c r="K73" s="117">
        <v>5.0827360972511997</v>
      </c>
      <c r="L73" s="117">
        <v>1.62569173546222</v>
      </c>
      <c r="M73" s="117">
        <v>6.6551755420484398</v>
      </c>
      <c r="N73" s="117">
        <v>13.000179261544</v>
      </c>
      <c r="O73" s="133">
        <v>29.465662705252701</v>
      </c>
      <c r="P73" s="117">
        <v>10.719404880703999</v>
      </c>
      <c r="Q73" s="149">
        <v>1.1176630681302699</v>
      </c>
      <c r="R73" s="259"/>
      <c r="S73" s="251">
        <v>3</v>
      </c>
      <c r="T73" s="260">
        <v>1.4</v>
      </c>
      <c r="U73" s="260">
        <v>6.9</v>
      </c>
      <c r="W73" s="260">
        <v>15.7</v>
      </c>
      <c r="Y73" s="260">
        <v>36.6</v>
      </c>
      <c r="Z73" s="260">
        <v>49.9</v>
      </c>
      <c r="AA73" s="269">
        <v>26.2</v>
      </c>
      <c r="AC73" s="260">
        <v>6.8</v>
      </c>
      <c r="AD73" s="260">
        <v>19.7</v>
      </c>
      <c r="AE73" s="260">
        <v>50.3</v>
      </c>
      <c r="AG73" s="260">
        <v>6.8</v>
      </c>
      <c r="AH73" s="260">
        <v>19.7</v>
      </c>
      <c r="AI73" s="260">
        <v>50.3</v>
      </c>
      <c r="AJ73" s="260">
        <v>19.7</v>
      </c>
      <c r="AK73" s="260">
        <v>15.952100154223</v>
      </c>
      <c r="AL73" s="268"/>
      <c r="AM73" s="260">
        <v>1.82</v>
      </c>
      <c r="AN73" s="260">
        <v>1.3203775535390201</v>
      </c>
      <c r="AO73" s="260">
        <v>2.5900357144153099</v>
      </c>
      <c r="AQ73" s="260">
        <f t="shared" si="4"/>
        <v>0.5080286673319423</v>
      </c>
      <c r="AS73" s="260">
        <v>1.52951300144196</v>
      </c>
      <c r="AT73" s="275">
        <v>1.5331186056137101</v>
      </c>
      <c r="AV73" s="260">
        <f t="shared" si="5"/>
        <v>1.9000272158214644</v>
      </c>
    </row>
    <row r="74" spans="1:48">
      <c r="A74" s="116" t="s">
        <v>625</v>
      </c>
      <c r="B74" s="117">
        <v>5.0802866733194202E-2</v>
      </c>
      <c r="C74" s="117"/>
      <c r="D74" s="117"/>
      <c r="E74" s="117"/>
      <c r="F74" s="117"/>
      <c r="G74" s="117"/>
      <c r="H74" s="117"/>
      <c r="I74" s="117"/>
      <c r="J74" s="117"/>
      <c r="K74" s="117"/>
      <c r="L74" s="117"/>
      <c r="M74" s="117"/>
      <c r="N74" s="117"/>
      <c r="O74" s="133"/>
      <c r="P74" s="117">
        <v>0</v>
      </c>
      <c r="Q74" s="149"/>
      <c r="R74" s="259"/>
      <c r="S74" s="251"/>
      <c r="T74" s="260"/>
      <c r="U74" s="260"/>
      <c r="W74" s="260"/>
      <c r="Y74" s="260"/>
      <c r="Z74" s="260"/>
      <c r="AA74" s="260"/>
      <c r="AC74" s="260"/>
      <c r="AD74" s="260"/>
      <c r="AE74" s="260"/>
      <c r="AG74" s="260"/>
      <c r="AH74" s="260"/>
      <c r="AI74" s="260"/>
      <c r="AJ74" s="260"/>
      <c r="AK74" s="260"/>
      <c r="AM74" s="260"/>
      <c r="AN74" s="260">
        <v>0</v>
      </c>
      <c r="AO74" s="260">
        <v>0</v>
      </c>
      <c r="AQ74" s="260">
        <f t="shared" si="4"/>
        <v>0</v>
      </c>
      <c r="AS74" s="260">
        <v>0</v>
      </c>
      <c r="AT74" s="251"/>
      <c r="AV74" s="260">
        <f t="shared" si="5"/>
        <v>0</v>
      </c>
    </row>
    <row r="75" spans="1:48">
      <c r="A75" s="116" t="s">
        <v>626</v>
      </c>
      <c r="B75" s="117"/>
      <c r="C75" s="117"/>
      <c r="D75" s="117"/>
      <c r="E75" s="117"/>
      <c r="F75" s="117"/>
      <c r="G75" s="117"/>
      <c r="H75" s="117"/>
      <c r="I75" s="117"/>
      <c r="J75" s="117"/>
      <c r="K75" s="117"/>
      <c r="L75" s="117">
        <v>1.7272974689286</v>
      </c>
      <c r="M75" s="117">
        <v>106.24911548580199</v>
      </c>
      <c r="N75" s="117"/>
      <c r="O75" s="133"/>
      <c r="P75" s="117">
        <v>0</v>
      </c>
      <c r="Q75" s="149"/>
      <c r="R75" s="259"/>
      <c r="S75" s="251"/>
      <c r="T75" s="260"/>
      <c r="U75" s="260"/>
      <c r="W75" s="260">
        <v>106.2</v>
      </c>
      <c r="Y75" s="260"/>
      <c r="Z75" s="260"/>
      <c r="AA75" s="260"/>
      <c r="AC75" s="260"/>
      <c r="AD75" s="260"/>
      <c r="AE75" s="260"/>
      <c r="AG75" s="260"/>
      <c r="AH75" s="260"/>
      <c r="AI75" s="260"/>
      <c r="AJ75" s="260"/>
      <c r="AK75" s="260"/>
      <c r="AM75" s="260">
        <v>0</v>
      </c>
      <c r="AN75" s="260">
        <v>0</v>
      </c>
      <c r="AO75" s="260">
        <v>0</v>
      </c>
      <c r="AQ75" s="260"/>
      <c r="AS75" s="260"/>
      <c r="AT75" s="275">
        <v>0</v>
      </c>
      <c r="AV75" s="260">
        <f t="shared" si="5"/>
        <v>0</v>
      </c>
    </row>
    <row r="76" spans="1:48">
      <c r="A76" s="116" t="s">
        <v>627</v>
      </c>
      <c r="B76" s="117">
        <v>0.84332758777102401</v>
      </c>
      <c r="C76" s="117">
        <v>7.3149295744783398</v>
      </c>
      <c r="D76" s="117">
        <v>6.0963440079833102</v>
      </c>
      <c r="E76" s="117">
        <v>6.0861834346366699</v>
      </c>
      <c r="F76" s="117">
        <v>7.1255977553116203</v>
      </c>
      <c r="G76" s="117">
        <v>22.7190420030845</v>
      </c>
      <c r="H76" s="117"/>
      <c r="I76" s="117">
        <v>12.1564037211004</v>
      </c>
      <c r="J76" s="117">
        <v>12.5379018441156</v>
      </c>
      <c r="K76" s="117">
        <v>6.7059784087816396</v>
      </c>
      <c r="L76" s="117">
        <v>4.4300099791345398</v>
      </c>
      <c r="M76" s="117">
        <v>19.548943118933099</v>
      </c>
      <c r="N76" s="117"/>
      <c r="O76" s="133"/>
      <c r="P76" s="117">
        <v>17.679397623151601</v>
      </c>
      <c r="Q76" s="149">
        <v>38.5696541966797</v>
      </c>
      <c r="R76" s="259"/>
      <c r="S76" s="251">
        <f>7.7+11</f>
        <v>18.7</v>
      </c>
      <c r="T76" s="260">
        <f>22.9+8.8</f>
        <v>31.7</v>
      </c>
      <c r="U76" s="260">
        <f>26.1+10.1</f>
        <v>36.200000000000003</v>
      </c>
      <c r="W76" s="260">
        <f>48.6+19.3</f>
        <v>67.900000000000006</v>
      </c>
      <c r="Y76" s="260">
        <f>95.5+40.3</f>
        <v>135.80000000000001</v>
      </c>
      <c r="Z76" s="260">
        <f>103.9+44.3</f>
        <v>148.19999999999999</v>
      </c>
      <c r="AA76" s="260">
        <f>83.9+34.8</f>
        <v>118.7</v>
      </c>
      <c r="AC76" s="260">
        <f>36.1+14.1</f>
        <v>50.2</v>
      </c>
      <c r="AD76" s="260">
        <f>61+24.5</f>
        <v>85.5</v>
      </c>
      <c r="AE76" s="260">
        <f>102.9+43.8</f>
        <v>146.69999999999999</v>
      </c>
      <c r="AG76" s="260">
        <f>36.3+14.2</f>
        <v>50.5</v>
      </c>
      <c r="AH76" s="260">
        <f>59.1+23.7</f>
        <v>82.8</v>
      </c>
      <c r="AI76" s="260">
        <f>99.9+42.4</f>
        <v>142.30000000000001</v>
      </c>
      <c r="AJ76" s="260">
        <f>65.8+26.6</f>
        <v>92.4</v>
      </c>
      <c r="AK76" s="260"/>
      <c r="AM76" s="260">
        <v>13.234184571771401</v>
      </c>
      <c r="AN76" s="260">
        <v>8.9008277092070092</v>
      </c>
      <c r="AO76" s="260">
        <v>10.9024282622015</v>
      </c>
      <c r="AQ76" s="260">
        <f t="shared" si="4"/>
        <v>20.222232616637825</v>
      </c>
      <c r="AS76" s="260">
        <v>46.9731349945068</v>
      </c>
      <c r="AT76" s="275">
        <v>51.604146957397496</v>
      </c>
      <c r="AV76" s="260">
        <f t="shared" si="5"/>
        <v>23.267712963802957</v>
      </c>
    </row>
    <row r="77" spans="1:48">
      <c r="A77" s="116" t="s">
        <v>628</v>
      </c>
      <c r="B77" s="117">
        <v>0.70107956091807999</v>
      </c>
      <c r="C77" s="117">
        <v>1.5139254286491901</v>
      </c>
      <c r="D77" s="117">
        <v>3.0481720039916498</v>
      </c>
      <c r="E77" s="117">
        <v>3.0481720039916498</v>
      </c>
      <c r="F77" s="117">
        <v>3.0481720039916498</v>
      </c>
      <c r="G77" s="117">
        <v>3.0481720039916498</v>
      </c>
      <c r="H77" s="117">
        <v>3.0481720039916498</v>
      </c>
      <c r="I77" s="117">
        <v>3.0481720039916498</v>
      </c>
      <c r="J77" s="117">
        <v>3.0481720039916498</v>
      </c>
      <c r="K77" s="117">
        <v>3.0481720039916498</v>
      </c>
      <c r="L77" s="117">
        <v>2.04227524267441</v>
      </c>
      <c r="M77" s="117">
        <v>18.563367504309198</v>
      </c>
      <c r="N77" s="117">
        <v>14.0001930508936</v>
      </c>
      <c r="O77" s="133">
        <v>27.911094983216898</v>
      </c>
      <c r="P77" s="117">
        <v>3.0481720039916498</v>
      </c>
      <c r="Q77" s="149">
        <v>4.5824185793341199</v>
      </c>
      <c r="R77" s="259"/>
      <c r="S77" s="251">
        <v>3.4</v>
      </c>
      <c r="T77" s="260">
        <v>2.4</v>
      </c>
      <c r="U77" s="260">
        <v>1.3</v>
      </c>
      <c r="W77" s="260">
        <v>15</v>
      </c>
      <c r="Y77" s="260">
        <v>30.5</v>
      </c>
      <c r="Z77" s="260">
        <v>5.4</v>
      </c>
      <c r="AA77" s="260">
        <v>4.3</v>
      </c>
      <c r="AC77" s="260">
        <v>1.4</v>
      </c>
      <c r="AD77" s="260">
        <v>3.8</v>
      </c>
      <c r="AE77" s="260">
        <v>5.5</v>
      </c>
      <c r="AG77" s="260">
        <v>1.4</v>
      </c>
      <c r="AH77" s="260">
        <v>3.7</v>
      </c>
      <c r="AI77" s="260">
        <v>5.3</v>
      </c>
      <c r="AJ77" s="260">
        <v>4</v>
      </c>
      <c r="AK77" s="260">
        <v>13.310351084096901</v>
      </c>
      <c r="AL77" s="268"/>
      <c r="AM77" s="260">
        <v>0.3</v>
      </c>
      <c r="AN77" s="260">
        <v>0.30008580762250497</v>
      </c>
      <c r="AO77" s="260">
        <v>0.30008580762250497</v>
      </c>
      <c r="AQ77" s="260">
        <f t="shared" si="4"/>
        <v>0</v>
      </c>
      <c r="AS77" s="260">
        <v>5.3901791572570801</v>
      </c>
      <c r="AT77" s="275">
        <v>5.40505075454712</v>
      </c>
      <c r="AV77" s="260">
        <f t="shared" si="5"/>
        <v>0.95509389458405147</v>
      </c>
    </row>
    <row r="78" spans="1:48">
      <c r="A78" s="120"/>
      <c r="B78" s="121"/>
      <c r="C78" s="121"/>
      <c r="D78" s="121"/>
      <c r="E78" s="121"/>
      <c r="F78" s="121"/>
      <c r="G78" s="121"/>
      <c r="H78" s="121"/>
      <c r="I78" s="121"/>
      <c r="J78" s="121"/>
      <c r="K78" s="121"/>
      <c r="L78" s="121"/>
      <c r="M78" s="135"/>
      <c r="N78" s="135"/>
      <c r="O78" s="136"/>
      <c r="P78" s="135"/>
      <c r="Q78" s="150"/>
      <c r="R78" s="150"/>
      <c r="S78" s="281"/>
      <c r="T78" s="282"/>
      <c r="U78" s="282"/>
      <c r="W78" s="282"/>
      <c r="Y78" s="282"/>
      <c r="Z78" s="282"/>
      <c r="AA78" s="282"/>
      <c r="AC78" s="282"/>
      <c r="AD78" s="282"/>
      <c r="AE78" s="282"/>
      <c r="AG78" s="282"/>
      <c r="AH78" s="282"/>
      <c r="AI78" s="282"/>
      <c r="AJ78" s="282"/>
      <c r="AK78" s="282"/>
      <c r="AM78" s="282"/>
      <c r="AN78" s="282"/>
      <c r="AO78" s="282"/>
      <c r="AQ78" s="282"/>
      <c r="AS78" s="282"/>
      <c r="AT78" s="282"/>
      <c r="AV78" s="282"/>
    </row>
    <row r="79" spans="1:48">
      <c r="A79" s="342" t="s">
        <v>629</v>
      </c>
      <c r="B79" s="122">
        <f t="shared" ref="B79:G79" si="6">SUM(B35:B78)</f>
        <v>93.924340016329552</v>
      </c>
      <c r="C79" s="122">
        <f t="shared" si="6"/>
        <v>301.42603798226133</v>
      </c>
      <c r="D79" s="122">
        <f t="shared" si="6"/>
        <v>405.4068765308898</v>
      </c>
      <c r="E79" s="122">
        <f t="shared" si="6"/>
        <v>414.6834799963712</v>
      </c>
      <c r="F79" s="122">
        <f t="shared" si="6"/>
        <v>292.14950796777651</v>
      </c>
      <c r="G79" s="122">
        <f t="shared" si="6"/>
        <v>590.67477093350192</v>
      </c>
      <c r="H79" s="122">
        <v>478.57156506317699</v>
      </c>
      <c r="I79" s="122">
        <f>SUM(I35:I78)</f>
        <v>498.4125525651155</v>
      </c>
      <c r="J79" s="122">
        <f>SUM(J35:J78)</f>
        <v>514.05397560873917</v>
      </c>
      <c r="K79" s="122">
        <f>SUM(K35:K78)</f>
        <v>207.80766171243178</v>
      </c>
      <c r="L79" s="122">
        <f>SUM(L35:L78)</f>
        <v>301.5861380749343</v>
      </c>
      <c r="M79" s="122">
        <f>SUM(M35:M78)</f>
        <v>1460.023587045268</v>
      </c>
      <c r="N79" s="122">
        <f>N129*0.98421</f>
        <v>1972.2584190000002</v>
      </c>
      <c r="O79" s="137">
        <f>SUM(O35:O78)</f>
        <v>3543.3373854667525</v>
      </c>
      <c r="P79" s="122">
        <f>SUM(P35:P77)</f>
        <v>728.03556200671335</v>
      </c>
      <c r="Q79" s="151">
        <f>SUM(Q35:Q77)</f>
        <v>1017.6550987444438</v>
      </c>
      <c r="R79" s="151"/>
      <c r="S79" s="260">
        <f>SUM(S35:S78)+S134</f>
        <v>748.80000000000018</v>
      </c>
      <c r="T79" s="260">
        <f>SUM(T35:T78)+T134</f>
        <v>612.50000000000011</v>
      </c>
      <c r="U79" s="260">
        <f>SUM(U35:U78)+U134</f>
        <v>699.66839285714286</v>
      </c>
      <c r="W79" s="260">
        <f>SUM(W35:W78)+W134</f>
        <v>1456.6000000000001</v>
      </c>
      <c r="Y79" s="260">
        <f>SUM(Y35:Y78)+Y134</f>
        <v>2814.3</v>
      </c>
      <c r="Z79" s="260">
        <f>SUM(Z35:Z78)+Z134</f>
        <v>3069.4</v>
      </c>
      <c r="AA79" s="269">
        <f>SUM(AA35:AA78)+AA134+274-SUM(AA68:AA73)</f>
        <v>2410.1999999999998</v>
      </c>
      <c r="AC79" s="260">
        <f>SUM(AC35:AC78)+AC134</f>
        <v>979.89999999999986</v>
      </c>
      <c r="AD79" s="260">
        <f>SUM(AD35:AD78)+AD134</f>
        <v>1703.4</v>
      </c>
      <c r="AE79" s="260">
        <f>SUM(AE35:AE78)+AE134</f>
        <v>3032.9000000000005</v>
      </c>
      <c r="AG79" s="260">
        <f>SUM(AG35:AG78)+AG134</f>
        <v>984.89999999999986</v>
      </c>
      <c r="AH79" s="260">
        <f>SUM(AH35:AH78)+AH134</f>
        <v>1647.3</v>
      </c>
      <c r="AI79" s="260">
        <f>SUM(AI35:AI78)+AI134</f>
        <v>2936.900000000001</v>
      </c>
      <c r="AJ79" s="260"/>
      <c r="AK79" s="260">
        <f>SUM(AK35:AK78)+AK134</f>
        <v>1338.6947382745168</v>
      </c>
      <c r="AM79" s="260">
        <f>SUM(AM35:AM78)+AM134</f>
        <v>895.86055602319948</v>
      </c>
      <c r="AN79" s="260">
        <f>SUM(AN35:AN78)+AN134</f>
        <v>305.92895561376469</v>
      </c>
      <c r="AO79" s="260">
        <f>SUM(AO35:AO78)+AO134</f>
        <v>374.57605395263744</v>
      </c>
      <c r="AQ79" s="260">
        <f>SUM(AQ35:AQ77)</f>
        <v>1188.3974690936616</v>
      </c>
      <c r="AS79" s="260">
        <f>SUM(AS35:AS77)</f>
        <v>1200.2154779315006</v>
      </c>
      <c r="AT79" s="260">
        <f>SUM(AT35:AT77)</f>
        <v>1322.1227526068685</v>
      </c>
      <c r="AV79" s="260">
        <f>SUM(AV35:AV77)</f>
        <v>1743.777918896852</v>
      </c>
    </row>
    <row r="80" spans="1:48">
      <c r="A80" s="123"/>
      <c r="B80" s="124"/>
      <c r="C80" s="124"/>
      <c r="D80" s="124"/>
      <c r="E80" s="124"/>
      <c r="F80" s="124"/>
      <c r="G80" s="124"/>
      <c r="H80" s="124"/>
      <c r="I80" s="124"/>
      <c r="J80" s="124"/>
      <c r="K80" s="124"/>
      <c r="L80" s="124"/>
      <c r="M80" s="124"/>
      <c r="N80" s="138"/>
      <c r="O80" s="139"/>
      <c r="P80" s="124"/>
      <c r="Q80" s="152"/>
      <c r="R80" s="152"/>
      <c r="S80" s="283"/>
      <c r="T80" s="284"/>
      <c r="U80" s="284"/>
      <c r="W80" s="284"/>
      <c r="Y80" s="284"/>
      <c r="Z80" s="284"/>
      <c r="AA80" s="284"/>
      <c r="AC80" s="284"/>
      <c r="AD80" s="284"/>
      <c r="AE80" s="284"/>
      <c r="AG80" s="284"/>
      <c r="AH80" s="284"/>
      <c r="AI80" s="284"/>
      <c r="AJ80" s="284"/>
      <c r="AK80" s="284"/>
      <c r="AM80" s="284"/>
      <c r="AN80" s="284"/>
      <c r="AO80" s="284"/>
      <c r="AQ80" s="284"/>
      <c r="AS80" s="284"/>
      <c r="AT80" s="284"/>
      <c r="AV80" s="284"/>
    </row>
    <row r="81" spans="1:48" hidden="1">
      <c r="A81" s="125"/>
      <c r="B81" s="126"/>
      <c r="C81" s="126"/>
      <c r="D81" s="126"/>
      <c r="E81" s="126"/>
      <c r="F81" s="126"/>
      <c r="G81" s="126"/>
      <c r="H81" s="126"/>
      <c r="I81" s="126"/>
      <c r="J81" s="126"/>
      <c r="K81" s="126"/>
      <c r="L81" s="126"/>
      <c r="M81" s="126"/>
      <c r="N81" s="279"/>
      <c r="O81" s="279"/>
      <c r="P81" s="126"/>
      <c r="Q81" s="285"/>
      <c r="T81" s="286"/>
      <c r="U81" s="286"/>
      <c r="W81" s="286"/>
      <c r="Y81" s="286"/>
      <c r="Z81" s="286"/>
      <c r="AA81" s="286"/>
      <c r="AC81" s="286"/>
      <c r="AD81" s="286"/>
      <c r="AE81" s="286"/>
      <c r="AG81" s="286"/>
      <c r="AH81" s="286"/>
      <c r="AI81" s="286"/>
      <c r="AJ81" s="286"/>
      <c r="AK81" s="286"/>
      <c r="AM81" s="286"/>
      <c r="AN81" s="286"/>
      <c r="AO81" s="286"/>
    </row>
    <row r="82" spans="1:48" hidden="1">
      <c r="A82" s="277"/>
      <c r="N82" s="280" t="s">
        <v>630</v>
      </c>
      <c r="O82" s="280" t="s">
        <v>630</v>
      </c>
      <c r="Q82" s="184"/>
      <c r="T82" s="286"/>
      <c r="U82" s="286"/>
      <c r="W82" s="286"/>
      <c r="Y82" s="286"/>
      <c r="Z82" s="286"/>
      <c r="AA82" s="286"/>
      <c r="AC82" s="286"/>
      <c r="AD82" s="286"/>
      <c r="AE82" s="286"/>
      <c r="AG82" s="286"/>
      <c r="AH82" s="286"/>
      <c r="AI82" s="286"/>
      <c r="AJ82" s="286"/>
      <c r="AK82" s="286"/>
      <c r="AM82" s="286"/>
      <c r="AN82" s="286"/>
      <c r="AO82" s="286"/>
    </row>
    <row r="83" spans="1:48" hidden="1">
      <c r="A83" s="277"/>
      <c r="N83" s="128" t="s">
        <v>583</v>
      </c>
      <c r="O83" s="128" t="s">
        <v>583</v>
      </c>
      <c r="Q83" s="184"/>
      <c r="T83" s="286"/>
      <c r="U83" s="286"/>
      <c r="W83" s="286"/>
      <c r="Y83" s="286"/>
      <c r="Z83" s="286"/>
      <c r="AA83" s="286"/>
      <c r="AC83" s="286"/>
      <c r="AD83" s="286"/>
      <c r="AE83" s="286"/>
      <c r="AG83" s="286"/>
      <c r="AH83" s="286"/>
      <c r="AI83" s="286"/>
      <c r="AJ83" s="286"/>
      <c r="AK83" s="286"/>
      <c r="AM83" s="286"/>
      <c r="AN83" s="286"/>
      <c r="AO83" s="286"/>
    </row>
    <row r="84" spans="1:48" hidden="1">
      <c r="A84" s="277"/>
      <c r="N84" s="280"/>
      <c r="O84" s="280"/>
      <c r="Q84" s="184"/>
      <c r="T84" s="286"/>
      <c r="U84" s="286"/>
      <c r="W84" s="286"/>
      <c r="Y84" s="286"/>
      <c r="Z84" s="286"/>
      <c r="AA84" s="286"/>
      <c r="AC84" s="286"/>
      <c r="AD84" s="286"/>
      <c r="AE84" s="286"/>
      <c r="AG84" s="286"/>
      <c r="AH84" s="286"/>
      <c r="AI84" s="286"/>
      <c r="AJ84" s="286"/>
      <c r="AK84" s="286"/>
      <c r="AM84" s="286"/>
      <c r="AN84" s="286"/>
      <c r="AO84" s="286"/>
    </row>
    <row r="85" spans="1:48" hidden="1">
      <c r="A85" s="277"/>
      <c r="N85" s="343" t="s">
        <v>550</v>
      </c>
      <c r="O85" s="343" t="s">
        <v>550</v>
      </c>
      <c r="Q85" s="184"/>
      <c r="T85" s="286"/>
      <c r="U85" s="286"/>
      <c r="W85" s="286"/>
      <c r="Y85" s="286"/>
      <c r="Z85" s="286"/>
      <c r="AA85" s="286"/>
      <c r="AC85" s="286"/>
      <c r="AD85" s="286"/>
      <c r="AE85" s="286"/>
      <c r="AG85" s="286"/>
      <c r="AH85" s="286"/>
      <c r="AI85" s="286"/>
      <c r="AJ85" s="286"/>
      <c r="AK85" s="286"/>
      <c r="AM85" s="286"/>
      <c r="AN85" s="286"/>
      <c r="AO85" s="286"/>
    </row>
    <row r="86" spans="1:48" hidden="1">
      <c r="A86" s="277"/>
      <c r="N86" s="133">
        <v>343.3</v>
      </c>
      <c r="O86" s="133">
        <v>343.3</v>
      </c>
      <c r="Q86" s="184"/>
      <c r="T86" s="286"/>
      <c r="U86" s="286"/>
      <c r="W86" s="286"/>
      <c r="Y86" s="286"/>
      <c r="Z86" s="286"/>
      <c r="AA86" s="286"/>
      <c r="AC86" s="286"/>
      <c r="AD86" s="286"/>
      <c r="AE86" s="286"/>
      <c r="AG86" s="286"/>
      <c r="AH86" s="286"/>
      <c r="AI86" s="286"/>
      <c r="AJ86" s="286"/>
      <c r="AK86" s="286"/>
      <c r="AM86" s="286"/>
      <c r="AN86" s="286"/>
      <c r="AO86" s="286"/>
      <c r="AQ86" s="119">
        <v>197.317878360664</v>
      </c>
      <c r="AV86" s="119">
        <v>276.76</v>
      </c>
    </row>
    <row r="87" spans="1:48" hidden="1">
      <c r="A87" s="277"/>
      <c r="N87" s="172">
        <v>56.2</v>
      </c>
      <c r="O87" s="172">
        <v>56.2</v>
      </c>
      <c r="Q87" s="184"/>
      <c r="T87" s="286"/>
      <c r="U87" s="286"/>
      <c r="W87" s="286"/>
      <c r="Y87" s="286"/>
      <c r="Z87" s="286"/>
      <c r="AA87" s="286"/>
      <c r="AC87" s="286"/>
      <c r="AD87" s="286"/>
      <c r="AE87" s="286"/>
      <c r="AG87" s="286"/>
      <c r="AH87" s="286"/>
      <c r="AI87" s="286"/>
      <c r="AJ87" s="286"/>
      <c r="AK87" s="286"/>
      <c r="AM87" s="286"/>
      <c r="AN87" s="286"/>
      <c r="AO87" s="286"/>
      <c r="AQ87" s="119">
        <v>17.430441232252601</v>
      </c>
      <c r="AV87" s="119">
        <v>22.89</v>
      </c>
    </row>
    <row r="88" spans="1:48" hidden="1">
      <c r="A88" s="277"/>
      <c r="N88" s="133">
        <v>14.2</v>
      </c>
      <c r="O88" s="133">
        <v>14.2</v>
      </c>
      <c r="Q88" s="184"/>
      <c r="T88" s="286"/>
      <c r="U88" s="286"/>
      <c r="W88" s="286"/>
      <c r="Y88" s="286"/>
      <c r="Z88" s="286"/>
      <c r="AA88" s="286"/>
      <c r="AC88" s="286"/>
      <c r="AD88" s="286"/>
      <c r="AE88" s="286"/>
      <c r="AG88" s="286"/>
      <c r="AH88" s="286"/>
      <c r="AI88" s="286"/>
      <c r="AJ88" s="286"/>
      <c r="AK88" s="286"/>
      <c r="AM88" s="286"/>
      <c r="AN88" s="286"/>
      <c r="AO88" s="286"/>
      <c r="AQ88" s="119">
        <v>13.7815286235031</v>
      </c>
      <c r="AV88" s="119">
        <v>17.899999999999999</v>
      </c>
    </row>
    <row r="89" spans="1:48" hidden="1">
      <c r="A89" s="277"/>
      <c r="N89" s="133">
        <v>17.5</v>
      </c>
      <c r="O89" s="133">
        <v>17.5</v>
      </c>
      <c r="Q89" s="184"/>
      <c r="T89" s="286"/>
      <c r="U89" s="286"/>
      <c r="W89" s="286"/>
      <c r="Y89" s="286"/>
      <c r="Z89" s="286"/>
      <c r="AA89" s="286"/>
      <c r="AC89" s="286"/>
      <c r="AD89" s="286"/>
      <c r="AE89" s="286"/>
      <c r="AG89" s="286"/>
      <c r="AH89" s="286"/>
      <c r="AI89" s="286"/>
      <c r="AJ89" s="286"/>
      <c r="AK89" s="286"/>
      <c r="AM89" s="286"/>
      <c r="AN89" s="286"/>
      <c r="AO89" s="286"/>
      <c r="AQ89" s="119">
        <v>3.8489391522311101</v>
      </c>
      <c r="AV89" s="119">
        <v>6.17</v>
      </c>
    </row>
    <row r="90" spans="1:48" hidden="1">
      <c r="A90" s="277"/>
      <c r="N90" s="133">
        <v>125</v>
      </c>
      <c r="O90" s="133">
        <v>125</v>
      </c>
      <c r="Q90" s="184"/>
      <c r="T90" s="286"/>
      <c r="U90" s="286"/>
      <c r="W90" s="286"/>
      <c r="Y90" s="286"/>
      <c r="Z90" s="286"/>
      <c r="AA90" s="286"/>
      <c r="AC90" s="286"/>
      <c r="AD90" s="286"/>
      <c r="AE90" s="286"/>
      <c r="AG90" s="286"/>
      <c r="AH90" s="286"/>
      <c r="AI90" s="286"/>
      <c r="AJ90" s="286"/>
      <c r="AK90" s="286"/>
      <c r="AM90" s="286"/>
      <c r="AN90" s="286"/>
      <c r="AO90" s="286"/>
      <c r="AQ90" s="119">
        <v>52.796651108110602</v>
      </c>
      <c r="AV90" s="119">
        <v>135.4</v>
      </c>
    </row>
    <row r="91" spans="1:48" hidden="1">
      <c r="A91" s="277"/>
      <c r="N91" s="133">
        <v>65</v>
      </c>
      <c r="O91" s="133">
        <v>65</v>
      </c>
      <c r="Q91" s="184"/>
      <c r="T91" s="286"/>
      <c r="U91" s="286"/>
      <c r="W91" s="286"/>
      <c r="Y91" s="286"/>
      <c r="Z91" s="286"/>
      <c r="AA91" s="286"/>
      <c r="AC91" s="286"/>
      <c r="AD91" s="286"/>
      <c r="AE91" s="286"/>
      <c r="AG91" s="286"/>
      <c r="AH91" s="286"/>
      <c r="AI91" s="286"/>
      <c r="AJ91" s="286"/>
      <c r="AK91" s="286"/>
      <c r="AM91" s="286"/>
      <c r="AN91" s="286"/>
      <c r="AO91" s="286"/>
      <c r="AQ91" s="119">
        <v>48.187871839676703</v>
      </c>
      <c r="AV91" s="119">
        <v>97.27</v>
      </c>
    </row>
    <row r="92" spans="1:48" hidden="1">
      <c r="A92" s="277"/>
      <c r="N92" s="133">
        <v>33</v>
      </c>
      <c r="O92" s="133">
        <v>33</v>
      </c>
      <c r="Q92" s="184"/>
      <c r="T92" s="286"/>
      <c r="U92" s="286"/>
      <c r="W92" s="286"/>
      <c r="Y92" s="286"/>
      <c r="Z92" s="286"/>
      <c r="AA92" s="286"/>
      <c r="AC92" s="286"/>
      <c r="AD92" s="286"/>
      <c r="AE92" s="286"/>
      <c r="AG92" s="286"/>
      <c r="AH92" s="286"/>
      <c r="AI92" s="286"/>
      <c r="AJ92" s="286"/>
      <c r="AK92" s="286"/>
      <c r="AM92" s="286"/>
      <c r="AN92" s="286"/>
      <c r="AO92" s="286"/>
      <c r="AQ92" s="119">
        <v>34.480288368698702</v>
      </c>
      <c r="AV92" s="119">
        <v>69.36</v>
      </c>
    </row>
    <row r="93" spans="1:48" hidden="1">
      <c r="A93" s="277"/>
      <c r="N93" s="133">
        <v>110</v>
      </c>
      <c r="O93" s="133">
        <v>110</v>
      </c>
      <c r="Q93" s="184"/>
      <c r="T93" s="286"/>
      <c r="U93" s="286"/>
      <c r="W93" s="286"/>
      <c r="Y93" s="286"/>
      <c r="Z93" s="286"/>
      <c r="AA93" s="286"/>
      <c r="AC93" s="286"/>
      <c r="AD93" s="286"/>
      <c r="AE93" s="286"/>
      <c r="AG93" s="286"/>
      <c r="AH93" s="286"/>
      <c r="AI93" s="286"/>
      <c r="AJ93" s="286"/>
      <c r="AK93" s="286"/>
      <c r="AM93" s="286"/>
      <c r="AN93" s="286"/>
      <c r="AO93" s="286"/>
      <c r="AQ93" s="119">
        <v>86.936056189338601</v>
      </c>
      <c r="AV93" s="119">
        <v>148.91999999999999</v>
      </c>
    </row>
    <row r="94" spans="1:48" hidden="1">
      <c r="A94" s="277"/>
      <c r="N94" s="133">
        <v>20</v>
      </c>
      <c r="O94" s="133">
        <v>20</v>
      </c>
      <c r="Q94" s="184"/>
      <c r="T94" s="286"/>
      <c r="U94" s="286"/>
      <c r="W94" s="286"/>
      <c r="Y94" s="286"/>
      <c r="Z94" s="286"/>
      <c r="AA94" s="286"/>
      <c r="AC94" s="286"/>
      <c r="AD94" s="286"/>
      <c r="AE94" s="286"/>
      <c r="AG94" s="286"/>
      <c r="AH94" s="286"/>
      <c r="AI94" s="286"/>
      <c r="AJ94" s="286"/>
      <c r="AK94" s="286"/>
      <c r="AM94" s="286"/>
      <c r="AN94" s="286"/>
      <c r="AO94" s="286"/>
      <c r="AQ94" s="119">
        <v>49.216555541149098</v>
      </c>
      <c r="AV94" s="119">
        <v>77.87</v>
      </c>
    </row>
    <row r="95" spans="1:48" hidden="1">
      <c r="A95" s="277"/>
      <c r="N95" s="133">
        <v>228.5</v>
      </c>
      <c r="O95" s="133">
        <v>228.5</v>
      </c>
      <c r="Q95" s="184"/>
      <c r="T95" s="286"/>
      <c r="U95" s="286"/>
      <c r="W95" s="286"/>
      <c r="Y95" s="286"/>
      <c r="Z95" s="286"/>
      <c r="AA95" s="286"/>
      <c r="AC95" s="286"/>
      <c r="AD95" s="286"/>
      <c r="AE95" s="286"/>
      <c r="AG95" s="286"/>
      <c r="AH95" s="286"/>
      <c r="AI95" s="286"/>
      <c r="AJ95" s="286"/>
      <c r="AK95" s="286"/>
      <c r="AM95" s="286"/>
      <c r="AN95" s="286"/>
      <c r="AO95" s="286"/>
      <c r="AQ95" s="119">
        <v>85.416877409495299</v>
      </c>
      <c r="AV95" s="119">
        <v>98.5</v>
      </c>
    </row>
    <row r="96" spans="1:48" hidden="1">
      <c r="A96" s="277"/>
      <c r="N96" s="133"/>
      <c r="O96" s="133"/>
      <c r="Q96" s="184"/>
      <c r="T96" s="286"/>
      <c r="U96" s="286"/>
      <c r="W96" s="286"/>
      <c r="Y96" s="286"/>
      <c r="Z96" s="286"/>
      <c r="AA96" s="286"/>
      <c r="AC96" s="286"/>
      <c r="AD96" s="286"/>
      <c r="AE96" s="286"/>
      <c r="AG96" s="286"/>
      <c r="AH96" s="286"/>
      <c r="AI96" s="286"/>
      <c r="AJ96" s="286"/>
      <c r="AK96" s="286"/>
      <c r="AM96" s="286"/>
      <c r="AN96" s="286"/>
      <c r="AO96" s="286"/>
      <c r="AQ96" s="119">
        <v>83.129191043972298</v>
      </c>
      <c r="AV96" s="119">
        <v>104.76</v>
      </c>
    </row>
    <row r="97" spans="1:48" hidden="1">
      <c r="A97" s="277"/>
      <c r="N97" s="133">
        <v>111.1</v>
      </c>
      <c r="O97" s="133">
        <v>111.1</v>
      </c>
      <c r="Q97" s="184"/>
      <c r="T97" s="286"/>
      <c r="U97" s="286"/>
      <c r="W97" s="286"/>
      <c r="Y97" s="286"/>
      <c r="Z97" s="286"/>
      <c r="AA97" s="286"/>
      <c r="AC97" s="286"/>
      <c r="AD97" s="286"/>
      <c r="AE97" s="286"/>
      <c r="AG97" s="286"/>
      <c r="AH97" s="286"/>
      <c r="AI97" s="286"/>
      <c r="AJ97" s="286"/>
      <c r="AK97" s="286"/>
      <c r="AM97" s="286"/>
      <c r="AN97" s="286"/>
      <c r="AO97" s="286"/>
      <c r="AQ97" s="119">
        <v>102.26519999999999</v>
      </c>
      <c r="AV97" s="119">
        <v>143.82</v>
      </c>
    </row>
    <row r="98" spans="1:48" hidden="1">
      <c r="A98" s="277"/>
      <c r="N98" s="133"/>
      <c r="O98" s="133"/>
      <c r="Q98" s="184"/>
      <c r="T98" s="286"/>
      <c r="U98" s="286"/>
      <c r="W98" s="286"/>
      <c r="Y98" s="286"/>
      <c r="Z98" s="286"/>
      <c r="AA98" s="286"/>
      <c r="AC98" s="286"/>
      <c r="AD98" s="286"/>
      <c r="AE98" s="286"/>
      <c r="AG98" s="286"/>
      <c r="AH98" s="286"/>
      <c r="AI98" s="286"/>
      <c r="AJ98" s="286"/>
      <c r="AK98" s="286"/>
      <c r="AM98" s="286"/>
      <c r="AN98" s="286"/>
      <c r="AO98" s="286"/>
      <c r="AQ98" s="119" t="s">
        <v>18</v>
      </c>
    </row>
    <row r="99" spans="1:48" hidden="1">
      <c r="A99" s="277"/>
      <c r="N99" s="133">
        <v>107.4</v>
      </c>
      <c r="O99" s="133">
        <v>107.4</v>
      </c>
      <c r="Q99" s="184"/>
      <c r="T99" s="286"/>
      <c r="U99" s="286"/>
      <c r="W99" s="286"/>
      <c r="Y99" s="286"/>
      <c r="Z99" s="286"/>
      <c r="AA99" s="286"/>
      <c r="AC99" s="286"/>
      <c r="AD99" s="286"/>
      <c r="AE99" s="286"/>
      <c r="AG99" s="286"/>
      <c r="AH99" s="286"/>
      <c r="AI99" s="286"/>
      <c r="AJ99" s="286"/>
      <c r="AK99" s="286"/>
      <c r="AM99" s="286"/>
      <c r="AN99" s="286"/>
      <c r="AO99" s="286"/>
      <c r="AQ99" s="119">
        <v>56.587525946279001</v>
      </c>
      <c r="AV99" s="119">
        <v>75</v>
      </c>
    </row>
    <row r="100" spans="1:48" hidden="1">
      <c r="A100" s="277"/>
      <c r="N100" s="133">
        <v>84.9</v>
      </c>
      <c r="O100" s="133">
        <v>84.9</v>
      </c>
      <c r="Q100" s="184"/>
      <c r="T100" s="286"/>
      <c r="U100" s="286"/>
      <c r="W100" s="286"/>
      <c r="Y100" s="286"/>
      <c r="Z100" s="286"/>
      <c r="AA100" s="286"/>
      <c r="AC100" s="286"/>
      <c r="AD100" s="286"/>
      <c r="AE100" s="286"/>
      <c r="AG100" s="286"/>
      <c r="AH100" s="286"/>
      <c r="AI100" s="286"/>
      <c r="AJ100" s="286"/>
      <c r="AK100" s="286"/>
      <c r="AM100" s="286"/>
      <c r="AN100" s="286"/>
      <c r="AO100" s="286"/>
      <c r="AQ100" s="119" t="s">
        <v>18</v>
      </c>
    </row>
    <row r="101" spans="1:48" hidden="1">
      <c r="A101" s="277"/>
      <c r="N101" s="133">
        <v>21.6</v>
      </c>
      <c r="O101" s="133">
        <v>21.6</v>
      </c>
      <c r="Q101" s="184"/>
      <c r="T101" s="286"/>
      <c r="U101" s="286"/>
      <c r="W101" s="286"/>
      <c r="Y101" s="286"/>
      <c r="Z101" s="286"/>
      <c r="AA101" s="286"/>
      <c r="AC101" s="286"/>
      <c r="AD101" s="286"/>
      <c r="AE101" s="286"/>
      <c r="AG101" s="286"/>
      <c r="AH101" s="286"/>
      <c r="AI101" s="286"/>
      <c r="AJ101" s="286"/>
      <c r="AK101" s="286"/>
      <c r="AM101" s="286"/>
      <c r="AN101" s="286"/>
      <c r="AO101" s="286"/>
      <c r="AQ101" s="119" t="s">
        <v>18</v>
      </c>
    </row>
    <row r="102" spans="1:48" hidden="1">
      <c r="A102" s="277"/>
      <c r="N102" s="133"/>
      <c r="O102" s="133"/>
      <c r="Q102" s="184"/>
      <c r="T102" s="286"/>
      <c r="U102" s="286"/>
      <c r="W102" s="286"/>
      <c r="Y102" s="286"/>
      <c r="Z102" s="286"/>
      <c r="AA102" s="286"/>
      <c r="AC102" s="286"/>
      <c r="AD102" s="286"/>
      <c r="AE102" s="286"/>
      <c r="AG102" s="286"/>
      <c r="AH102" s="286"/>
      <c r="AI102" s="286"/>
      <c r="AJ102" s="286"/>
      <c r="AK102" s="286"/>
      <c r="AM102" s="286"/>
      <c r="AN102" s="286"/>
      <c r="AO102" s="286"/>
      <c r="AQ102" s="119" t="s">
        <v>18</v>
      </c>
    </row>
    <row r="103" spans="1:48" hidden="1">
      <c r="A103" s="277"/>
      <c r="N103" s="133"/>
      <c r="O103" s="133"/>
      <c r="Q103" s="184"/>
      <c r="T103" s="286"/>
      <c r="U103" s="286"/>
      <c r="W103" s="286"/>
      <c r="Y103" s="286"/>
      <c r="Z103" s="286"/>
      <c r="AA103" s="286"/>
      <c r="AC103" s="286"/>
      <c r="AD103" s="286"/>
      <c r="AE103" s="286"/>
      <c r="AG103" s="286"/>
      <c r="AH103" s="286"/>
      <c r="AI103" s="286"/>
      <c r="AJ103" s="286"/>
      <c r="AK103" s="286"/>
      <c r="AM103" s="286"/>
      <c r="AN103" s="286"/>
      <c r="AO103" s="286"/>
      <c r="AQ103" s="119">
        <v>31.5456243549107</v>
      </c>
      <c r="AV103" s="119">
        <v>50.58</v>
      </c>
    </row>
    <row r="104" spans="1:48" hidden="1">
      <c r="A104" s="277"/>
      <c r="N104" s="133"/>
      <c r="O104" s="133"/>
      <c r="Q104" s="184"/>
      <c r="T104" s="286"/>
      <c r="U104" s="286"/>
      <c r="W104" s="286"/>
      <c r="Y104" s="286"/>
      <c r="Z104" s="286"/>
      <c r="AA104" s="286"/>
      <c r="AC104" s="286"/>
      <c r="AD104" s="286"/>
      <c r="AE104" s="286"/>
      <c r="AG104" s="286"/>
      <c r="AH104" s="286"/>
      <c r="AI104" s="286"/>
      <c r="AJ104" s="286"/>
      <c r="AK104" s="286"/>
      <c r="AM104" s="286"/>
      <c r="AN104" s="286"/>
      <c r="AO104" s="286"/>
      <c r="AQ104" s="119">
        <v>57.031347656249999</v>
      </c>
      <c r="AV104" s="119">
        <v>68.94</v>
      </c>
    </row>
    <row r="105" spans="1:48" hidden="1">
      <c r="A105" s="277"/>
      <c r="N105" s="172"/>
      <c r="O105" s="172"/>
      <c r="Q105" s="184"/>
      <c r="T105" s="286"/>
      <c r="U105" s="286"/>
      <c r="W105" s="286"/>
      <c r="Y105" s="286"/>
      <c r="Z105" s="286"/>
      <c r="AA105" s="286"/>
      <c r="AC105" s="286"/>
      <c r="AD105" s="286"/>
      <c r="AE105" s="286"/>
      <c r="AG105" s="286"/>
      <c r="AH105" s="286"/>
      <c r="AI105" s="286"/>
      <c r="AJ105" s="286"/>
      <c r="AK105" s="286"/>
      <c r="AM105" s="286"/>
      <c r="AN105" s="286"/>
      <c r="AO105" s="286"/>
      <c r="AQ105" s="119">
        <v>37.228520089285702</v>
      </c>
      <c r="AV105" s="119">
        <v>35.36</v>
      </c>
    </row>
    <row r="106" spans="1:48" hidden="1">
      <c r="A106" s="277"/>
      <c r="N106" s="172"/>
      <c r="O106" s="172"/>
      <c r="Q106" s="184"/>
      <c r="T106" s="286"/>
      <c r="U106" s="286"/>
      <c r="W106" s="286"/>
      <c r="Y106" s="286"/>
      <c r="Z106" s="286"/>
      <c r="AA106" s="286"/>
      <c r="AC106" s="286"/>
      <c r="AD106" s="286"/>
      <c r="AE106" s="286"/>
      <c r="AG106" s="286"/>
      <c r="AH106" s="286"/>
      <c r="AI106" s="286"/>
      <c r="AJ106" s="286"/>
      <c r="AK106" s="286"/>
      <c r="AM106" s="286"/>
      <c r="AN106" s="286"/>
      <c r="AO106" s="286"/>
      <c r="AQ106" s="119">
        <v>5.1648214285714298</v>
      </c>
      <c r="AV106" s="119">
        <v>4.84</v>
      </c>
    </row>
    <row r="107" spans="1:48" hidden="1">
      <c r="A107" s="277"/>
      <c r="N107" s="172"/>
      <c r="O107" s="172"/>
      <c r="Q107" s="184"/>
      <c r="T107" s="286"/>
      <c r="U107" s="286"/>
      <c r="W107" s="286"/>
      <c r="Y107" s="286"/>
      <c r="Z107" s="286"/>
      <c r="AA107" s="286"/>
      <c r="AC107" s="286"/>
      <c r="AD107" s="286"/>
      <c r="AE107" s="286"/>
      <c r="AG107" s="286"/>
      <c r="AH107" s="286"/>
      <c r="AI107" s="286"/>
      <c r="AJ107" s="286"/>
      <c r="AK107" s="286"/>
      <c r="AM107" s="286"/>
      <c r="AN107" s="286"/>
      <c r="AO107" s="286"/>
      <c r="AQ107" s="119" t="s">
        <v>18</v>
      </c>
    </row>
    <row r="108" spans="1:48" hidden="1">
      <c r="A108" s="277"/>
      <c r="N108" s="172">
        <v>54.5</v>
      </c>
      <c r="O108" s="172">
        <v>54.5</v>
      </c>
      <c r="Q108" s="184"/>
      <c r="T108" s="286"/>
      <c r="U108" s="286"/>
      <c r="W108" s="286"/>
      <c r="Y108" s="286"/>
      <c r="Z108" s="286"/>
      <c r="AA108" s="286"/>
      <c r="AC108" s="286"/>
      <c r="AD108" s="286"/>
      <c r="AE108" s="286"/>
      <c r="AG108" s="286"/>
      <c r="AH108" s="286"/>
      <c r="AI108" s="286"/>
      <c r="AJ108" s="286"/>
      <c r="AK108" s="286"/>
      <c r="AM108" s="286"/>
      <c r="AN108" s="286"/>
      <c r="AO108" s="286"/>
      <c r="AQ108" s="119" t="s">
        <v>18</v>
      </c>
    </row>
    <row r="109" spans="1:48" hidden="1">
      <c r="A109" s="277"/>
      <c r="N109" s="133">
        <v>21.4</v>
      </c>
      <c r="O109" s="133">
        <v>21.4</v>
      </c>
      <c r="Q109" s="184"/>
      <c r="T109" s="286"/>
      <c r="U109" s="286"/>
      <c r="W109" s="286"/>
      <c r="Y109" s="286"/>
      <c r="Z109" s="286"/>
      <c r="AA109" s="286"/>
      <c r="AC109" s="286"/>
      <c r="AD109" s="286"/>
      <c r="AE109" s="286"/>
      <c r="AG109" s="286"/>
      <c r="AH109" s="286"/>
      <c r="AI109" s="286"/>
      <c r="AJ109" s="286"/>
      <c r="AK109" s="286"/>
      <c r="AM109" s="286"/>
      <c r="AN109" s="286"/>
      <c r="AO109" s="286"/>
      <c r="AQ109" s="119">
        <v>57.334593837592699</v>
      </c>
      <c r="AV109" s="119">
        <v>83.32</v>
      </c>
    </row>
    <row r="110" spans="1:48" hidden="1">
      <c r="A110" s="277"/>
      <c r="N110" s="133">
        <v>4.0999999999999996</v>
      </c>
      <c r="O110" s="133">
        <v>4.0999999999999996</v>
      </c>
      <c r="Q110" s="184"/>
      <c r="T110" s="286"/>
      <c r="U110" s="286"/>
      <c r="W110" s="286"/>
      <c r="Y110" s="286"/>
      <c r="Z110" s="286"/>
      <c r="AA110" s="286"/>
      <c r="AC110" s="286"/>
      <c r="AD110" s="286"/>
      <c r="AE110" s="286"/>
      <c r="AG110" s="286"/>
      <c r="AH110" s="286"/>
      <c r="AI110" s="286"/>
      <c r="AJ110" s="286"/>
      <c r="AK110" s="286"/>
      <c r="AM110" s="286"/>
      <c r="AN110" s="286"/>
      <c r="AO110" s="286"/>
      <c r="AQ110" s="119">
        <v>16.346752232142901</v>
      </c>
      <c r="AV110" s="119">
        <v>19.489999999999998</v>
      </c>
    </row>
    <row r="111" spans="1:48" hidden="1">
      <c r="A111" s="277"/>
      <c r="N111" s="133"/>
      <c r="O111" s="133"/>
      <c r="Q111" s="184"/>
      <c r="T111" s="286"/>
      <c r="U111" s="286"/>
      <c r="W111" s="286"/>
      <c r="Y111" s="286"/>
      <c r="Z111" s="286"/>
      <c r="AA111" s="286"/>
      <c r="AC111" s="286"/>
      <c r="AD111" s="286"/>
      <c r="AE111" s="286"/>
      <c r="AG111" s="286"/>
      <c r="AH111" s="286"/>
      <c r="AI111" s="286"/>
      <c r="AJ111" s="286"/>
      <c r="AK111" s="286"/>
      <c r="AM111" s="286"/>
      <c r="AN111" s="286"/>
      <c r="AO111" s="286"/>
      <c r="AQ111" s="119">
        <v>1.37887859486586</v>
      </c>
      <c r="AV111" s="119">
        <v>1.68</v>
      </c>
    </row>
    <row r="112" spans="1:48" hidden="1">
      <c r="A112" s="277"/>
      <c r="N112" s="133">
        <v>43</v>
      </c>
      <c r="O112" s="133">
        <v>43</v>
      </c>
      <c r="Q112" s="184"/>
      <c r="T112" s="286"/>
      <c r="U112" s="286"/>
      <c r="W112" s="286"/>
      <c r="Y112" s="286"/>
      <c r="Z112" s="286"/>
      <c r="AA112" s="286"/>
      <c r="AC112" s="286"/>
      <c r="AD112" s="286"/>
      <c r="AE112" s="286"/>
      <c r="AG112" s="286"/>
      <c r="AH112" s="286"/>
      <c r="AI112" s="286"/>
      <c r="AJ112" s="286"/>
      <c r="AK112" s="286"/>
      <c r="AM112" s="286"/>
      <c r="AN112" s="286"/>
      <c r="AO112" s="286"/>
      <c r="AQ112" s="119" t="s">
        <v>18</v>
      </c>
      <c r="AV112" s="119">
        <v>19.14</v>
      </c>
    </row>
    <row r="113" spans="1:48" hidden="1">
      <c r="A113" s="277"/>
      <c r="N113" s="133">
        <v>15.6</v>
      </c>
      <c r="O113" s="133">
        <v>15.6</v>
      </c>
      <c r="Q113" s="184"/>
      <c r="T113" s="286"/>
      <c r="U113" s="286"/>
      <c r="W113" s="286"/>
      <c r="Y113" s="286"/>
      <c r="Z113" s="286"/>
      <c r="AA113" s="286"/>
      <c r="AC113" s="286"/>
      <c r="AD113" s="286"/>
      <c r="AE113" s="286"/>
      <c r="AG113" s="286"/>
      <c r="AH113" s="286"/>
      <c r="AI113" s="286"/>
      <c r="AJ113" s="286"/>
      <c r="AK113" s="286"/>
      <c r="AM113" s="286"/>
      <c r="AN113" s="286"/>
      <c r="AO113" s="286"/>
      <c r="AQ113" s="119" t="s">
        <v>18</v>
      </c>
    </row>
    <row r="114" spans="1:48" hidden="1">
      <c r="A114" s="277"/>
      <c r="N114" s="133">
        <v>6</v>
      </c>
      <c r="O114" s="133">
        <v>6</v>
      </c>
      <c r="Q114" s="184"/>
      <c r="T114" s="286"/>
      <c r="U114" s="286"/>
      <c r="W114" s="286"/>
      <c r="Y114" s="286"/>
      <c r="Z114" s="286"/>
      <c r="AA114" s="286"/>
      <c r="AC114" s="286"/>
      <c r="AD114" s="286"/>
      <c r="AE114" s="286"/>
      <c r="AG114" s="286"/>
      <c r="AH114" s="286"/>
      <c r="AI114" s="286"/>
      <c r="AJ114" s="286"/>
      <c r="AK114" s="286"/>
      <c r="AM114" s="286"/>
      <c r="AN114" s="286"/>
      <c r="AO114" s="286"/>
      <c r="AQ114" s="119">
        <v>13.5936050143417</v>
      </c>
    </row>
    <row r="115" spans="1:48" hidden="1">
      <c r="A115" s="277"/>
      <c r="N115" s="133">
        <v>6.9</v>
      </c>
      <c r="O115" s="133">
        <v>6.9</v>
      </c>
      <c r="Q115" s="184"/>
      <c r="T115" s="286"/>
      <c r="U115" s="286"/>
      <c r="W115" s="286"/>
      <c r="Y115" s="286"/>
      <c r="Z115" s="286"/>
      <c r="AA115" s="286"/>
      <c r="AC115" s="286"/>
      <c r="AD115" s="286"/>
      <c r="AE115" s="286"/>
      <c r="AG115" s="286"/>
      <c r="AH115" s="286"/>
      <c r="AI115" s="286"/>
      <c r="AJ115" s="286"/>
      <c r="AK115" s="286"/>
      <c r="AM115" s="286"/>
      <c r="AN115" s="286"/>
      <c r="AO115" s="286"/>
      <c r="AQ115" s="119">
        <v>0.95941978021978003</v>
      </c>
      <c r="AV115" s="119">
        <v>5.0999999999999996</v>
      </c>
    </row>
    <row r="116" spans="1:48" hidden="1">
      <c r="A116" s="277"/>
      <c r="N116" s="133">
        <v>4.2</v>
      </c>
      <c r="O116" s="133">
        <v>4.2</v>
      </c>
      <c r="Q116" s="184"/>
      <c r="T116" s="286"/>
      <c r="U116" s="286"/>
      <c r="W116" s="286"/>
      <c r="Y116" s="286"/>
      <c r="Z116" s="286"/>
      <c r="AA116" s="286"/>
      <c r="AC116" s="286"/>
      <c r="AD116" s="286"/>
      <c r="AE116" s="286"/>
      <c r="AG116" s="286"/>
      <c r="AH116" s="286"/>
      <c r="AI116" s="286"/>
      <c r="AJ116" s="286"/>
      <c r="AK116" s="286"/>
      <c r="AM116" s="286"/>
      <c r="AN116" s="286"/>
      <c r="AO116" s="286"/>
      <c r="AQ116" s="119">
        <v>26.3757198541085</v>
      </c>
      <c r="AV116" s="119">
        <v>33.43</v>
      </c>
    </row>
    <row r="117" spans="1:48" hidden="1">
      <c r="A117" s="277"/>
      <c r="N117" s="133"/>
      <c r="O117" s="133"/>
      <c r="Q117" s="184"/>
      <c r="T117" s="286"/>
      <c r="U117" s="286"/>
      <c r="W117" s="286"/>
      <c r="Y117" s="286"/>
      <c r="Z117" s="286"/>
      <c r="AA117" s="286"/>
      <c r="AC117" s="286"/>
      <c r="AD117" s="286"/>
      <c r="AE117" s="286"/>
      <c r="AG117" s="286"/>
      <c r="AH117" s="286"/>
      <c r="AI117" s="286"/>
      <c r="AJ117" s="286"/>
      <c r="AK117" s="286"/>
      <c r="AM117" s="286"/>
      <c r="AN117" s="286"/>
      <c r="AO117" s="286"/>
      <c r="AQ117" s="119">
        <v>15.68</v>
      </c>
      <c r="AV117" s="119">
        <v>15.28</v>
      </c>
    </row>
    <row r="118" spans="1:48" hidden="1">
      <c r="A118" s="277"/>
      <c r="N118" s="133">
        <v>85.1</v>
      </c>
      <c r="O118" s="133">
        <v>85.1</v>
      </c>
      <c r="Q118" s="184"/>
      <c r="T118" s="286"/>
      <c r="U118" s="286"/>
      <c r="W118" s="286"/>
      <c r="Y118" s="286"/>
      <c r="Z118" s="286"/>
      <c r="AA118" s="286"/>
      <c r="AC118" s="286"/>
      <c r="AD118" s="286"/>
      <c r="AE118" s="286"/>
      <c r="AG118" s="286"/>
      <c r="AH118" s="286"/>
      <c r="AI118" s="286"/>
      <c r="AJ118" s="286"/>
      <c r="AK118" s="286"/>
      <c r="AM118" s="286"/>
      <c r="AN118" s="286"/>
      <c r="AO118" s="286"/>
      <c r="AQ118" s="119" t="s">
        <v>18</v>
      </c>
    </row>
    <row r="119" spans="1:48" hidden="1">
      <c r="A119" s="277"/>
      <c r="N119" s="133">
        <v>31.7</v>
      </c>
      <c r="O119" s="133">
        <v>31.7</v>
      </c>
      <c r="Q119" s="184"/>
      <c r="T119" s="286"/>
      <c r="U119" s="286"/>
      <c r="W119" s="286"/>
      <c r="Y119" s="286"/>
      <c r="Z119" s="286"/>
      <c r="AA119" s="286"/>
      <c r="AC119" s="286"/>
      <c r="AD119" s="286"/>
      <c r="AE119" s="286"/>
      <c r="AG119" s="286"/>
      <c r="AH119" s="286"/>
      <c r="AI119" s="286"/>
      <c r="AJ119" s="286"/>
      <c r="AK119" s="286"/>
      <c r="AM119" s="286"/>
      <c r="AN119" s="286"/>
      <c r="AO119" s="286"/>
      <c r="AQ119" s="119">
        <v>33.005000000000003</v>
      </c>
      <c r="AV119" s="119">
        <v>39.159999999999997</v>
      </c>
    </row>
    <row r="120" spans="1:48" hidden="1">
      <c r="A120" s="277"/>
      <c r="N120" s="133">
        <v>35</v>
      </c>
      <c r="O120" s="133">
        <v>35</v>
      </c>
      <c r="Q120" s="184"/>
      <c r="T120" s="286"/>
      <c r="U120" s="286"/>
      <c r="W120" s="286"/>
      <c r="Y120" s="286"/>
      <c r="Z120" s="286"/>
      <c r="AA120" s="286"/>
      <c r="AC120" s="286"/>
      <c r="AD120" s="286"/>
      <c r="AE120" s="286"/>
      <c r="AG120" s="286"/>
      <c r="AH120" s="286"/>
      <c r="AI120" s="286"/>
      <c r="AJ120" s="286"/>
      <c r="AK120" s="286"/>
      <c r="AM120" s="286"/>
      <c r="AN120" s="286"/>
      <c r="AO120" s="286"/>
      <c r="AQ120" s="119">
        <v>10.326037310730101</v>
      </c>
      <c r="AV120" s="119">
        <v>15.4</v>
      </c>
    </row>
    <row r="121" spans="1:48" hidden="1">
      <c r="A121" s="277"/>
      <c r="N121" s="133">
        <v>69.8</v>
      </c>
      <c r="O121" s="133">
        <v>69.8</v>
      </c>
      <c r="Q121" s="184"/>
      <c r="T121" s="286"/>
      <c r="U121" s="286"/>
      <c r="W121" s="286"/>
      <c r="Y121" s="286"/>
      <c r="Z121" s="286"/>
      <c r="AA121" s="286"/>
      <c r="AC121" s="286"/>
      <c r="AD121" s="286"/>
      <c r="AE121" s="286"/>
      <c r="AG121" s="286"/>
      <c r="AH121" s="286"/>
      <c r="AI121" s="286"/>
      <c r="AJ121" s="286"/>
      <c r="AK121" s="286"/>
      <c r="AM121" s="286"/>
      <c r="AN121" s="286"/>
      <c r="AO121" s="286"/>
      <c r="AQ121" s="119">
        <v>0.39891056441649497</v>
      </c>
      <c r="AV121" s="119">
        <v>6.26</v>
      </c>
    </row>
    <row r="122" spans="1:48" hidden="1">
      <c r="A122" s="277"/>
      <c r="N122" s="133">
        <v>18.3</v>
      </c>
      <c r="O122" s="133">
        <v>18.3</v>
      </c>
      <c r="Q122" s="184"/>
      <c r="T122" s="286"/>
      <c r="U122" s="286"/>
      <c r="W122" s="286"/>
      <c r="Y122" s="286"/>
      <c r="Z122" s="286"/>
      <c r="AA122" s="286"/>
      <c r="AC122" s="286"/>
      <c r="AD122" s="286"/>
      <c r="AE122" s="286"/>
      <c r="AG122" s="286"/>
      <c r="AH122" s="286"/>
      <c r="AI122" s="286"/>
      <c r="AJ122" s="286"/>
      <c r="AK122" s="286"/>
      <c r="AM122" s="286"/>
      <c r="AN122" s="286"/>
      <c r="AO122" s="286"/>
      <c r="AQ122" s="119">
        <v>8.77</v>
      </c>
      <c r="AV122" s="119">
        <v>16</v>
      </c>
    </row>
    <row r="123" spans="1:48" hidden="1">
      <c r="A123" s="277"/>
      <c r="N123" s="133">
        <v>13</v>
      </c>
      <c r="O123" s="133">
        <v>13</v>
      </c>
      <c r="Q123" s="184"/>
      <c r="T123" s="286"/>
      <c r="U123" s="286"/>
      <c r="W123" s="286"/>
      <c r="Y123" s="286"/>
      <c r="Z123" s="286"/>
      <c r="AA123" s="286"/>
      <c r="AC123" s="286"/>
      <c r="AD123" s="286"/>
      <c r="AE123" s="286"/>
      <c r="AG123" s="286"/>
      <c r="AH123" s="286"/>
      <c r="AI123" s="286"/>
      <c r="AJ123" s="286"/>
      <c r="AK123" s="286"/>
      <c r="AM123" s="286"/>
      <c r="AN123" s="286"/>
      <c r="AO123" s="286"/>
      <c r="AQ123" s="119">
        <v>2.6796601534642202</v>
      </c>
      <c r="AV123" s="119">
        <v>1.91</v>
      </c>
    </row>
    <row r="124" spans="1:48" hidden="1">
      <c r="A124" s="277"/>
      <c r="N124" s="133"/>
      <c r="O124" s="133"/>
      <c r="Q124" s="184"/>
      <c r="T124" s="286"/>
      <c r="U124" s="286"/>
      <c r="W124" s="286"/>
      <c r="Y124" s="286"/>
      <c r="Z124" s="286"/>
      <c r="AA124" s="286"/>
      <c r="AC124" s="286"/>
      <c r="AD124" s="286"/>
      <c r="AE124" s="286"/>
      <c r="AG124" s="286"/>
      <c r="AH124" s="286"/>
      <c r="AI124" s="286"/>
      <c r="AJ124" s="286"/>
      <c r="AK124" s="286"/>
      <c r="AM124" s="286"/>
      <c r="AN124" s="286"/>
      <c r="AO124" s="286"/>
      <c r="AQ124" s="119">
        <v>0.5</v>
      </c>
      <c r="AV124" s="119">
        <v>1.87</v>
      </c>
    </row>
    <row r="125" spans="1:48" hidden="1">
      <c r="A125" s="277"/>
      <c r="N125" s="133"/>
      <c r="O125" s="133"/>
      <c r="Q125" s="184"/>
      <c r="T125" s="286"/>
      <c r="U125" s="286"/>
      <c r="W125" s="286"/>
      <c r="Y125" s="286"/>
      <c r="Z125" s="286"/>
      <c r="AA125" s="286"/>
      <c r="AC125" s="286"/>
      <c r="AD125" s="286"/>
      <c r="AE125" s="286"/>
      <c r="AG125" s="286"/>
      <c r="AH125" s="286"/>
      <c r="AI125" s="286"/>
      <c r="AJ125" s="286"/>
      <c r="AK125" s="286"/>
      <c r="AM125" s="286"/>
      <c r="AN125" s="286"/>
      <c r="AO125" s="286"/>
    </row>
    <row r="126" spans="1:48" hidden="1">
      <c r="A126" s="277"/>
      <c r="N126" s="133"/>
      <c r="O126" s="133"/>
      <c r="Q126" s="184"/>
      <c r="T126" s="286"/>
      <c r="U126" s="286"/>
      <c r="W126" s="286"/>
      <c r="Y126" s="286"/>
      <c r="Z126" s="286"/>
      <c r="AA126" s="286"/>
      <c r="AC126" s="286"/>
      <c r="AD126" s="286"/>
      <c r="AE126" s="286"/>
      <c r="AG126" s="286"/>
      <c r="AH126" s="286"/>
      <c r="AI126" s="286"/>
      <c r="AJ126" s="286"/>
      <c r="AK126" s="286"/>
      <c r="AM126" s="286"/>
      <c r="AN126" s="286"/>
      <c r="AO126" s="286"/>
      <c r="AQ126" s="119" t="s">
        <v>18</v>
      </c>
    </row>
    <row r="127" spans="1:48" hidden="1">
      <c r="A127" s="277"/>
      <c r="N127" s="133">
        <v>14</v>
      </c>
      <c r="O127" s="133">
        <v>14</v>
      </c>
      <c r="Q127" s="184"/>
      <c r="T127" s="286"/>
      <c r="U127" s="286"/>
      <c r="W127" s="286"/>
      <c r="Y127" s="286"/>
      <c r="Z127" s="286"/>
      <c r="AA127" s="286"/>
      <c r="AC127" s="286"/>
      <c r="AD127" s="286"/>
      <c r="AE127" s="286"/>
      <c r="AG127" s="286"/>
      <c r="AH127" s="286"/>
      <c r="AI127" s="286"/>
      <c r="AJ127" s="286"/>
      <c r="AK127" s="286"/>
      <c r="AM127" s="286"/>
      <c r="AN127" s="286"/>
      <c r="AO127" s="286"/>
      <c r="AQ127" s="119">
        <v>19.902649119035601</v>
      </c>
      <c r="AV127" s="119">
        <f>17.22+5.68</f>
        <v>22.9</v>
      </c>
    </row>
    <row r="128" spans="1:48" hidden="1">
      <c r="A128" s="278"/>
      <c r="B128" s="135"/>
      <c r="C128" s="135"/>
      <c r="D128" s="135"/>
      <c r="E128" s="135"/>
      <c r="F128" s="135"/>
      <c r="G128" s="135"/>
      <c r="H128" s="135"/>
      <c r="I128" s="135"/>
      <c r="J128" s="135"/>
      <c r="K128" s="135"/>
      <c r="L128" s="135"/>
      <c r="M128" s="135"/>
      <c r="N128" s="136"/>
      <c r="O128" s="136"/>
      <c r="P128" s="135"/>
      <c r="Q128" s="150"/>
      <c r="T128" s="286"/>
      <c r="U128" s="286"/>
      <c r="W128" s="286"/>
      <c r="Y128" s="286"/>
      <c r="Z128" s="286"/>
      <c r="AA128" s="286"/>
      <c r="AC128" s="286"/>
      <c r="AD128" s="286"/>
      <c r="AE128" s="286"/>
      <c r="AG128" s="286"/>
      <c r="AH128" s="286"/>
      <c r="AI128" s="286"/>
      <c r="AJ128" s="286"/>
      <c r="AK128" s="286"/>
      <c r="AM128" s="286"/>
      <c r="AN128" s="286"/>
      <c r="AO128" s="286"/>
      <c r="AQ128" s="119">
        <v>0</v>
      </c>
      <c r="AV128" s="119">
        <v>0.94</v>
      </c>
    </row>
    <row r="129" spans="1:50" hidden="1">
      <c r="A129" s="277"/>
      <c r="N129" s="137">
        <v>2003.9</v>
      </c>
      <c r="O129" s="137">
        <v>2003.9</v>
      </c>
      <c r="Q129" s="184"/>
      <c r="T129" s="286"/>
      <c r="U129" s="286"/>
      <c r="W129" s="286"/>
      <c r="Y129" s="286"/>
      <c r="Z129" s="286"/>
      <c r="AA129" s="286"/>
      <c r="AC129" s="286"/>
      <c r="AD129" s="286"/>
      <c r="AE129" s="286"/>
      <c r="AG129" s="286"/>
      <c r="AH129" s="286"/>
      <c r="AI129" s="286"/>
      <c r="AJ129" s="286"/>
      <c r="AK129" s="286"/>
      <c r="AM129" s="286"/>
      <c r="AN129" s="286"/>
      <c r="AO129" s="286"/>
    </row>
    <row r="130" spans="1:50" hidden="1">
      <c r="A130" s="123"/>
      <c r="B130" s="124"/>
      <c r="C130" s="124"/>
      <c r="D130" s="124"/>
      <c r="E130" s="124"/>
      <c r="F130" s="124"/>
      <c r="G130" s="124"/>
      <c r="H130" s="124"/>
      <c r="I130" s="124"/>
      <c r="J130" s="124"/>
      <c r="K130" s="124"/>
      <c r="L130" s="124"/>
      <c r="M130" s="124"/>
      <c r="N130" s="287"/>
      <c r="O130" s="287"/>
      <c r="P130" s="124"/>
      <c r="Q130" s="152"/>
      <c r="T130" s="286"/>
      <c r="U130" s="286"/>
      <c r="W130" s="286"/>
      <c r="Y130" s="286"/>
      <c r="Z130" s="286"/>
      <c r="AA130" s="286"/>
      <c r="AC130" s="286"/>
      <c r="AD130" s="286"/>
      <c r="AE130" s="286"/>
      <c r="AG130" s="286"/>
      <c r="AH130" s="286"/>
      <c r="AI130" s="286"/>
      <c r="AJ130" s="286"/>
      <c r="AK130" s="286"/>
      <c r="AM130" s="286"/>
      <c r="AN130" s="286"/>
      <c r="AO130" s="286"/>
    </row>
    <row r="131" spans="1:50" hidden="1">
      <c r="T131" s="286"/>
      <c r="U131" s="286"/>
      <c r="W131" s="286"/>
      <c r="Y131" s="286"/>
      <c r="Z131" s="286"/>
      <c r="AA131" s="286"/>
      <c r="AC131" s="286"/>
      <c r="AD131" s="286"/>
      <c r="AE131" s="286"/>
      <c r="AG131" s="286"/>
      <c r="AH131" s="286"/>
      <c r="AI131" s="286"/>
      <c r="AJ131" s="286"/>
      <c r="AK131" s="286"/>
      <c r="AM131" s="286"/>
      <c r="AN131" s="286"/>
      <c r="AO131" s="286"/>
    </row>
    <row r="132" spans="1:50">
      <c r="T132" s="286"/>
      <c r="U132" s="286"/>
      <c r="W132" s="286"/>
      <c r="Y132" s="286"/>
      <c r="Z132" s="286"/>
      <c r="AA132" s="286"/>
      <c r="AC132" s="286"/>
      <c r="AD132" s="286"/>
      <c r="AE132" s="286"/>
      <c r="AG132" s="286"/>
      <c r="AH132" s="286"/>
      <c r="AI132" s="286"/>
      <c r="AJ132" s="286"/>
      <c r="AK132" s="286"/>
      <c r="AM132" s="286"/>
      <c r="AN132" s="286"/>
      <c r="AO132" s="286"/>
    </row>
    <row r="133" spans="1:50">
      <c r="A133" s="119" t="s">
        <v>515</v>
      </c>
      <c r="B133" s="117">
        <f t="shared" ref="B133:Q133" si="7">SUM(B35:B51)</f>
        <v>57.447881701896101</v>
      </c>
      <c r="C133" s="153">
        <f t="shared" si="7"/>
        <v>192.464064293837</v>
      </c>
      <c r="D133" s="117">
        <f t="shared" si="7"/>
        <v>232.67712963802953</v>
      </c>
      <c r="E133" s="117">
        <f t="shared" si="7"/>
        <v>268.68620157851768</v>
      </c>
      <c r="F133" s="153">
        <f t="shared" si="7"/>
        <v>184.35677208483759</v>
      </c>
      <c r="G133" s="153">
        <f t="shared" si="7"/>
        <v>324.75224530527032</v>
      </c>
      <c r="H133" s="117">
        <f t="shared" si="7"/>
        <v>285.00408237321926</v>
      </c>
      <c r="I133" s="153">
        <f t="shared" si="7"/>
        <v>294.55603765355301</v>
      </c>
      <c r="J133" s="153">
        <f t="shared" si="7"/>
        <v>281.53305033179834</v>
      </c>
      <c r="K133" s="117">
        <f t="shared" si="7"/>
        <v>131.56839028844308</v>
      </c>
      <c r="L133" s="153">
        <f t="shared" si="7"/>
        <v>211.959720584233</v>
      </c>
      <c r="M133" s="117">
        <f t="shared" si="7"/>
        <v>959.75759775015865</v>
      </c>
      <c r="N133" s="117">
        <f t="shared" si="7"/>
        <v>1337.7184460128829</v>
      </c>
      <c r="O133" s="117">
        <f t="shared" si="7"/>
        <v>2281.2722489340476</v>
      </c>
      <c r="P133" s="117">
        <f t="shared" si="7"/>
        <v>478.38011430644997</v>
      </c>
      <c r="Q133" s="153">
        <f t="shared" si="7"/>
        <v>771.59920668148447</v>
      </c>
      <c r="R133" s="117"/>
      <c r="S133" s="117">
        <f>SUM(S35:S51)</f>
        <v>501.70000000000005</v>
      </c>
      <c r="T133" s="117">
        <f>SUM(T35:T51)</f>
        <v>456.70000000000005</v>
      </c>
      <c r="U133" s="117">
        <f>SUM(U35:U51)</f>
        <v>325.5</v>
      </c>
      <c r="W133" s="117">
        <f>SUM(W35:W51)</f>
        <v>900.3</v>
      </c>
      <c r="Y133" s="117">
        <f>SUM(Y35:Y51)</f>
        <v>1758.5</v>
      </c>
      <c r="Z133" s="117">
        <f>SUM(Z35:Z51)</f>
        <v>1806.5</v>
      </c>
      <c r="AA133" s="117">
        <f>SUM(AA35:AA51)</f>
        <v>1370.2</v>
      </c>
      <c r="AC133" s="117">
        <f>SUM(AC35:AC51)</f>
        <v>651.30000000000007</v>
      </c>
      <c r="AD133" s="117">
        <f>SUM(AD35:AD51)</f>
        <v>1042.6000000000001</v>
      </c>
      <c r="AE133" s="117">
        <f>SUM(AE35:AE51)</f>
        <v>1846.6</v>
      </c>
      <c r="AG133" s="117">
        <f>SUM(AG35:AG51)</f>
        <v>645.80000000000007</v>
      </c>
      <c r="AH133" s="117">
        <f>SUM(AH35:AH51)</f>
        <v>1046.5999999999999</v>
      </c>
      <c r="AI133" s="117">
        <f>SUM(AI35:AI51)</f>
        <v>1851.0000000000002</v>
      </c>
      <c r="AJ133" s="117">
        <f>SUM(AJ35:AJ51)</f>
        <v>1293.2</v>
      </c>
      <c r="AK133" s="117">
        <f>SUM(AK35:AK51)</f>
        <v>788.86691463303998</v>
      </c>
      <c r="AM133" s="117">
        <f>SUM(AM35:AM51)</f>
        <v>646.10779145142806</v>
      </c>
      <c r="AN133" s="117">
        <f>SUM(AN35:AN51)</f>
        <v>225.66561308782067</v>
      </c>
      <c r="AO133" s="117">
        <f>SUM(AO35:AO51)</f>
        <v>242.90316201673522</v>
      </c>
      <c r="AP133" s="117"/>
      <c r="AQ133" s="117">
        <f>SUM(AQ35:AQ51)</f>
        <v>844.74499264557335</v>
      </c>
      <c r="AR133" s="286"/>
      <c r="AS133" s="117">
        <f>SUM(AS35:AS51)</f>
        <v>823.10846424102886</v>
      </c>
      <c r="AT133" s="117">
        <f>SUM(AT35:AT51)</f>
        <v>887.88737154006935</v>
      </c>
      <c r="AU133" s="286"/>
      <c r="AV133" s="117">
        <f>SUM(AV35:AV51)</f>
        <v>1295.0869999092808</v>
      </c>
      <c r="AX133" s="286">
        <f>AT133-AS133</f>
        <v>64.778907299040497</v>
      </c>
    </row>
    <row r="134" spans="1:50">
      <c r="A134" s="154">
        <v>150</v>
      </c>
      <c r="B134" s="117">
        <f t="shared" ref="B134:G134" si="8">SUM(B52:B57)</f>
        <v>15.454232060237684</v>
      </c>
      <c r="C134" s="153">
        <f t="shared" si="8"/>
        <v>37.225621201124959</v>
      </c>
      <c r="D134" s="117">
        <f t="shared" si="8"/>
        <v>70.107956091808006</v>
      </c>
      <c r="E134" s="117">
        <f t="shared" si="8"/>
        <v>47.449877528803427</v>
      </c>
      <c r="F134" s="153">
        <f t="shared" si="8"/>
        <v>41.467088896444935</v>
      </c>
      <c r="G134" s="153">
        <f t="shared" si="8"/>
        <v>123.14614896126278</v>
      </c>
      <c r="H134" s="117"/>
      <c r="I134" s="153">
        <f>SUM(I52:I57)</f>
        <v>85.513857389095548</v>
      </c>
      <c r="J134" s="153">
        <f t="shared" ref="J134:Q134" si="9">SUM(J52:J57)</f>
        <v>110.93137598657356</v>
      </c>
      <c r="K134" s="117">
        <f t="shared" si="9"/>
        <v>21.589309301776332</v>
      </c>
      <c r="L134" s="153">
        <f t="shared" si="9"/>
        <v>17.26281411593941</v>
      </c>
      <c r="M134" s="117">
        <f t="shared" si="9"/>
        <v>108.44379932867646</v>
      </c>
      <c r="N134" s="117"/>
      <c r="O134" s="117">
        <f t="shared" si="9"/>
        <v>518.90048081284613</v>
      </c>
      <c r="P134" s="117">
        <f t="shared" si="9"/>
        <v>63.737276603465446</v>
      </c>
      <c r="Q134" s="153">
        <f t="shared" si="9"/>
        <v>115.94585865916729</v>
      </c>
      <c r="R134" s="117"/>
      <c r="S134" s="117">
        <v>72.599999999999994</v>
      </c>
      <c r="T134" s="286">
        <v>22.5</v>
      </c>
      <c r="U134" s="286">
        <v>165.6</v>
      </c>
      <c r="W134" s="286">
        <v>93</v>
      </c>
      <c r="Y134" s="286">
        <v>216.8</v>
      </c>
      <c r="Z134" s="286">
        <v>329.6</v>
      </c>
      <c r="AA134" s="286">
        <v>428.3</v>
      </c>
      <c r="AC134" s="286">
        <v>70.7</v>
      </c>
      <c r="AD134" s="286">
        <v>148.69999999999999</v>
      </c>
      <c r="AE134" s="286">
        <v>194.9</v>
      </c>
      <c r="AG134" s="286">
        <v>70.900000000000006</v>
      </c>
      <c r="AH134" s="286">
        <v>147.4</v>
      </c>
      <c r="AI134" s="286">
        <v>192</v>
      </c>
      <c r="AJ134" s="286">
        <v>122</v>
      </c>
      <c r="AK134" s="286">
        <v>212.7</v>
      </c>
      <c r="AM134" s="286">
        <v>76.900000000000006</v>
      </c>
      <c r="AN134" s="286">
        <v>17.8</v>
      </c>
      <c r="AO134" s="286">
        <v>53.3</v>
      </c>
      <c r="AP134" s="286"/>
      <c r="AQ134" s="286">
        <f>SUM(AQ52:AQ55)</f>
        <v>133.07334768438716</v>
      </c>
      <c r="AS134" s="286">
        <f>SUM(AS52:AS55)</f>
        <v>120.3</v>
      </c>
      <c r="AT134" s="286">
        <f>SUM(AT52:AT55)</f>
        <v>161.42189025878901</v>
      </c>
      <c r="AV134" s="286">
        <f>SUM(AV52:AV55)</f>
        <v>162.28467749251567</v>
      </c>
      <c r="AX134" s="286">
        <f t="shared" ref="AX134:AX143" si="10">AT134-AS134</f>
        <v>41.121890258789008</v>
      </c>
    </row>
    <row r="135" spans="1:50">
      <c r="A135" s="154">
        <v>200</v>
      </c>
      <c r="C135" s="153">
        <v>166.377996585652</v>
      </c>
      <c r="D135" s="155">
        <v>182.890320239499</v>
      </c>
      <c r="E135" s="155">
        <v>182.890320239499</v>
      </c>
      <c r="F135" s="153">
        <v>154.17653996189799</v>
      </c>
      <c r="G135" s="153">
        <v>231.75251746348499</v>
      </c>
      <c r="H135" s="155">
        <v>169.70189603556199</v>
      </c>
      <c r="I135" s="153">
        <v>180.38419667967</v>
      </c>
      <c r="J135" s="153">
        <v>177.67794611267399</v>
      </c>
      <c r="K135" s="155">
        <v>101.321237412683</v>
      </c>
      <c r="L135" s="153">
        <v>118.817744715595</v>
      </c>
      <c r="M135" s="155">
        <v>305.934863467296</v>
      </c>
      <c r="N135" s="155">
        <v>547.24848044996804</v>
      </c>
      <c r="O135" s="155">
        <v>827.17227614986803</v>
      </c>
      <c r="P135" s="155">
        <v>301.40324775469497</v>
      </c>
      <c r="Q135" s="177">
        <v>274.11</v>
      </c>
      <c r="S135" s="119">
        <v>260.2</v>
      </c>
      <c r="T135" s="286">
        <v>171.3</v>
      </c>
      <c r="U135" s="286">
        <v>313.7</v>
      </c>
      <c r="W135" s="286">
        <v>305.89999999999998</v>
      </c>
      <c r="Y135" s="286">
        <v>848.8</v>
      </c>
      <c r="Z135" s="286">
        <v>756.9</v>
      </c>
      <c r="AA135" s="286">
        <v>811.9</v>
      </c>
      <c r="AC135" s="286">
        <v>369.7</v>
      </c>
      <c r="AD135" s="286">
        <v>622.29999999999995</v>
      </c>
      <c r="AE135" s="286">
        <v>1012.9</v>
      </c>
      <c r="AG135" s="286">
        <v>482.1</v>
      </c>
      <c r="AH135" s="286">
        <v>600.4</v>
      </c>
      <c r="AI135" s="286">
        <v>830.7</v>
      </c>
      <c r="AJ135" s="286">
        <v>367.2</v>
      </c>
      <c r="AK135" s="286">
        <v>285.81692824095097</v>
      </c>
      <c r="AL135" s="286"/>
      <c r="AM135" s="286">
        <v>531.55702864823195</v>
      </c>
      <c r="AN135" s="286">
        <v>284.170383802647</v>
      </c>
      <c r="AO135" s="286">
        <v>318.20672072256599</v>
      </c>
      <c r="AP135" s="286"/>
      <c r="AQ135" s="286">
        <v>459.43917879343201</v>
      </c>
      <c r="AR135" s="119">
        <v>452.17839891428599</v>
      </c>
      <c r="AS135" s="290">
        <v>445.00657510757401</v>
      </c>
      <c r="AT135" s="290">
        <v>447.38253974914602</v>
      </c>
      <c r="AV135" s="286">
        <f>490.89*2240/2204.6</f>
        <v>498.77238501315429</v>
      </c>
      <c r="AX135" s="286">
        <f t="shared" si="10"/>
        <v>2.3759646415720113</v>
      </c>
    </row>
    <row r="136" spans="1:50">
      <c r="A136" s="154">
        <v>300</v>
      </c>
      <c r="C136" s="153">
        <v>40.288333742653499</v>
      </c>
      <c r="D136" s="155">
        <v>74.1721854304636</v>
      </c>
      <c r="E136" s="155">
        <v>74.1721854304636</v>
      </c>
      <c r="F136" s="153">
        <v>35.643291300009103</v>
      </c>
      <c r="G136" s="153">
        <v>66.663521727297507</v>
      </c>
      <c r="H136" s="155"/>
      <c r="I136" s="153">
        <v>71.051485429186101</v>
      </c>
      <c r="J136" s="153">
        <v>70.473736732286994</v>
      </c>
      <c r="K136" s="155">
        <v>25.472557380023598</v>
      </c>
      <c r="L136" s="153">
        <v>46.047718406967299</v>
      </c>
      <c r="M136" s="155">
        <v>245.07302912092899</v>
      </c>
      <c r="N136" s="155">
        <v>280.22861290029903</v>
      </c>
      <c r="O136" s="155">
        <v>383.79533702258902</v>
      </c>
      <c r="P136" s="155">
        <v>82.066950920802</v>
      </c>
      <c r="Q136" s="177">
        <v>113.49</v>
      </c>
      <c r="S136" s="119">
        <v>134.4</v>
      </c>
      <c r="T136" s="286">
        <v>83.4</v>
      </c>
      <c r="U136" s="286">
        <v>100.3</v>
      </c>
      <c r="W136" s="286">
        <v>245</v>
      </c>
      <c r="Y136" s="286">
        <v>245</v>
      </c>
      <c r="Z136" s="286">
        <v>319.7</v>
      </c>
      <c r="AA136" s="286">
        <v>310.2</v>
      </c>
      <c r="AC136" s="286">
        <v>155</v>
      </c>
      <c r="AD136" s="286">
        <v>349.3</v>
      </c>
      <c r="AE136" s="286">
        <v>480</v>
      </c>
      <c r="AG136" s="286">
        <v>90.7</v>
      </c>
      <c r="AH136" s="286">
        <v>171.2</v>
      </c>
      <c r="AI136" s="286">
        <v>267.60000000000002</v>
      </c>
      <c r="AJ136" s="286">
        <v>389</v>
      </c>
      <c r="AK136" s="286">
        <v>265.902204481539</v>
      </c>
      <c r="AL136" s="286"/>
      <c r="AM136" s="286">
        <v>63.580106773453203</v>
      </c>
      <c r="AN136" s="286">
        <v>54.477963418134102</v>
      </c>
      <c r="AO136" s="286">
        <v>54.304748368902999</v>
      </c>
      <c r="AP136" s="286"/>
      <c r="AQ136" s="286">
        <v>93.616853247296007</v>
      </c>
      <c r="AR136" s="119">
        <v>92.137372620084193</v>
      </c>
      <c r="AS136" s="290">
        <v>171.60440111160301</v>
      </c>
      <c r="AT136" s="290">
        <v>173.45604085922201</v>
      </c>
      <c r="AV136" s="286">
        <f>95.41*2240/2204.6</f>
        <v>96.942030300281232</v>
      </c>
      <c r="AX136" s="286">
        <f t="shared" si="10"/>
        <v>1.8516397476190036</v>
      </c>
    </row>
    <row r="137" spans="1:50">
      <c r="A137" s="154">
        <v>400</v>
      </c>
      <c r="C137" s="153">
        <v>56.785895155999597</v>
      </c>
      <c r="D137" s="155">
        <v>109.591944116847</v>
      </c>
      <c r="E137" s="155">
        <v>109.591944116847</v>
      </c>
      <c r="F137" s="153">
        <v>31.203120747527901</v>
      </c>
      <c r="G137" s="153">
        <v>62.284314614896097</v>
      </c>
      <c r="H137" s="155"/>
      <c r="I137" s="153">
        <v>57.704687046185597</v>
      </c>
      <c r="J137" s="153">
        <v>64.001451510478105</v>
      </c>
      <c r="K137" s="155">
        <v>24.944207565998401</v>
      </c>
      <c r="L137" s="153">
        <v>44.249296924612203</v>
      </c>
      <c r="M137" s="155">
        <v>143.56890138800699</v>
      </c>
      <c r="N137" s="155">
        <v>292.42130091626598</v>
      </c>
      <c r="O137" s="155">
        <v>422.49696089993603</v>
      </c>
      <c r="P137" s="155">
        <v>63.950648643744898</v>
      </c>
      <c r="Q137" s="177">
        <v>28.38</v>
      </c>
      <c r="S137" s="119">
        <v>66</v>
      </c>
      <c r="T137" s="286">
        <v>50.6</v>
      </c>
      <c r="U137" s="286">
        <v>47.1</v>
      </c>
      <c r="W137" s="286">
        <v>143.6</v>
      </c>
      <c r="Y137" s="286">
        <v>438.4</v>
      </c>
      <c r="Z137" s="286">
        <v>437.5</v>
      </c>
      <c r="AA137" s="286">
        <v>313.89999999999998</v>
      </c>
      <c r="AC137" s="286">
        <v>54.8</v>
      </c>
      <c r="AD137" s="286">
        <v>170.1</v>
      </c>
      <c r="AE137" s="286">
        <v>444.4</v>
      </c>
      <c r="AG137" s="286">
        <v>54.9</v>
      </c>
      <c r="AH137" s="286">
        <v>169.8</v>
      </c>
      <c r="AI137" s="286">
        <v>443.5</v>
      </c>
      <c r="AJ137" s="286">
        <v>178.8</v>
      </c>
      <c r="AK137" s="286">
        <v>147.22670779279699</v>
      </c>
      <c r="AL137" s="286"/>
      <c r="AM137" s="286">
        <v>62.024001919858598</v>
      </c>
      <c r="AN137" s="286">
        <v>53.6006532845389</v>
      </c>
      <c r="AO137" s="286">
        <v>56.206442758223098</v>
      </c>
      <c r="AP137" s="286"/>
      <c r="AQ137" s="286">
        <v>22.8181593796151</v>
      </c>
      <c r="AR137" s="119">
        <v>22.457550967990802</v>
      </c>
      <c r="AS137" s="290">
        <v>43.353816946968401</v>
      </c>
      <c r="AT137" s="290">
        <v>45.039211353287101</v>
      </c>
      <c r="AV137" s="286">
        <f>64.69*2240/2204.6</f>
        <v>65.728748979406703</v>
      </c>
      <c r="AX137" s="286">
        <f t="shared" si="10"/>
        <v>1.6853944063187001</v>
      </c>
    </row>
    <row r="138" spans="1:50">
      <c r="A138" s="154">
        <v>420</v>
      </c>
      <c r="C138" s="153">
        <v>2.0117935226344899</v>
      </c>
      <c r="D138" s="155">
        <v>5.4867096071849799</v>
      </c>
      <c r="E138" s="155">
        <v>5.4867096071849799</v>
      </c>
      <c r="F138" s="153">
        <v>6.2690737548761701</v>
      </c>
      <c r="G138" s="153">
        <v>4.9786809398530298</v>
      </c>
      <c r="H138" s="155"/>
      <c r="I138" s="153">
        <v>5.4867096071849799</v>
      </c>
      <c r="J138" s="153">
        <v>6.0150594212102</v>
      </c>
      <c r="K138" s="155">
        <v>1.5444071486891</v>
      </c>
      <c r="L138" s="153">
        <v>1.7984214823550799</v>
      </c>
      <c r="M138" s="155">
        <v>6.2995554749160796</v>
      </c>
      <c r="N138" s="155">
        <v>9.8557561462396794</v>
      </c>
      <c r="O138" s="155">
        <v>7.4781819831261904</v>
      </c>
      <c r="P138" s="155">
        <v>6.0150594212102</v>
      </c>
      <c r="Q138" s="177">
        <f>0.34+1.38+0.43+0.44+1.94+0.02</f>
        <v>4.5499999999999989</v>
      </c>
      <c r="S138" s="119">
        <v>3</v>
      </c>
      <c r="T138" s="286">
        <v>2.8</v>
      </c>
      <c r="U138" s="286">
        <v>2.7</v>
      </c>
      <c r="W138" s="286">
        <v>6.3</v>
      </c>
      <c r="Y138" s="286">
        <v>7.4</v>
      </c>
      <c r="Z138" s="286">
        <v>7.7</v>
      </c>
      <c r="AA138" s="286">
        <v>9.9</v>
      </c>
      <c r="AC138" s="286">
        <v>4.5999999999999996</v>
      </c>
      <c r="AD138" s="286">
        <v>14.5</v>
      </c>
      <c r="AE138" s="286">
        <v>7.7</v>
      </c>
      <c r="AG138" s="286">
        <v>4.5999999999999996</v>
      </c>
      <c r="AH138" s="286">
        <v>15.2</v>
      </c>
      <c r="AI138" s="286">
        <v>7.7</v>
      </c>
      <c r="AJ138" s="288">
        <v>15.6</v>
      </c>
      <c r="AK138" s="288">
        <v>3.8610178717227601</v>
      </c>
      <c r="AL138" s="286"/>
      <c r="AM138" s="286">
        <v>4.78</v>
      </c>
      <c r="AN138" s="286">
        <v>6.02</v>
      </c>
      <c r="AO138" s="286">
        <v>6.02</v>
      </c>
      <c r="AP138" s="286"/>
      <c r="AQ138" s="286">
        <v>1.4936042819559101</v>
      </c>
      <c r="AR138" s="286">
        <v>1.47</v>
      </c>
      <c r="AS138" s="291">
        <v>6.2451462745666504</v>
      </c>
      <c r="AT138" s="291">
        <v>6.6487960815429696</v>
      </c>
      <c r="AU138" s="286"/>
      <c r="AV138" s="286">
        <f>1.97*2240/2204.6</f>
        <v>2.0016329492878526</v>
      </c>
      <c r="AX138" s="286">
        <f t="shared" si="10"/>
        <v>0.40364980697631925</v>
      </c>
    </row>
    <row r="139" spans="1:50">
      <c r="A139" s="154">
        <v>430</v>
      </c>
      <c r="C139" s="153">
        <v>4.8034877080668803</v>
      </c>
      <c r="D139" s="155">
        <v>10.719404880703999</v>
      </c>
      <c r="E139" s="155">
        <v>10.719404880703999</v>
      </c>
      <c r="F139" s="153">
        <v>3.33266805769754</v>
      </c>
      <c r="G139" s="153">
        <v>10.627959720584199</v>
      </c>
      <c r="H139" s="155"/>
      <c r="I139" s="153">
        <v>11.247742243046201</v>
      </c>
      <c r="J139" s="153">
        <v>10.770207747437199</v>
      </c>
      <c r="K139" s="155">
        <v>3.56636124467023</v>
      </c>
      <c r="L139" s="153">
        <v>5.1717318334391704</v>
      </c>
      <c r="M139" s="155">
        <v>14.428014152227201</v>
      </c>
      <c r="N139" s="155">
        <v>23.267712963803</v>
      </c>
      <c r="O139" s="155">
        <v>53.779914723759397</v>
      </c>
      <c r="P139" s="155">
        <v>17.0087997822734</v>
      </c>
      <c r="Q139" s="177">
        <f>0.98+2.13+2.15+0.98+1.06+1.6+0.4</f>
        <v>9.3000000000000007</v>
      </c>
      <c r="S139" s="119">
        <v>10</v>
      </c>
      <c r="T139" s="286">
        <v>9.6</v>
      </c>
      <c r="U139" s="286">
        <v>19.2</v>
      </c>
      <c r="W139" s="286">
        <v>14.4</v>
      </c>
      <c r="Y139" s="286">
        <v>45.6</v>
      </c>
      <c r="Z139" s="286">
        <v>37</v>
      </c>
      <c r="AA139" s="286">
        <v>23.3</v>
      </c>
      <c r="AC139" s="286">
        <v>9.9</v>
      </c>
      <c r="AD139" s="286">
        <v>25</v>
      </c>
      <c r="AE139" s="286">
        <v>40.200000000000003</v>
      </c>
      <c r="AG139" s="286">
        <v>9.9</v>
      </c>
      <c r="AH139" s="286">
        <v>27.1</v>
      </c>
      <c r="AI139" s="286">
        <v>40.299999999999997</v>
      </c>
      <c r="AJ139" s="288">
        <v>28.1</v>
      </c>
      <c r="AK139" s="288">
        <v>19.000272158214599</v>
      </c>
      <c r="AL139" s="286"/>
      <c r="AM139" s="286">
        <v>7.47</v>
      </c>
      <c r="AN139" s="286">
        <v>11.92</v>
      </c>
      <c r="AO139" s="286">
        <v>11.92</v>
      </c>
      <c r="AP139" s="286"/>
      <c r="AQ139" s="286">
        <v>2.2353261362605501</v>
      </c>
      <c r="AR139" s="286">
        <v>2.2000000000000002</v>
      </c>
      <c r="AS139" s="291">
        <v>19.964994430541999</v>
      </c>
      <c r="AT139" s="291">
        <v>21.189744949340799</v>
      </c>
      <c r="AU139" s="286"/>
      <c r="AV139" s="286">
        <f>3.24*2240/2204.6</f>
        <v>3.2920257643109863</v>
      </c>
      <c r="AX139" s="286">
        <f t="shared" si="10"/>
        <v>1.2247505187987997</v>
      </c>
    </row>
    <row r="140" spans="1:50">
      <c r="A140" s="154" t="s">
        <v>631</v>
      </c>
      <c r="C140" s="153">
        <v>6.8152812307013697</v>
      </c>
      <c r="D140" s="155">
        <v>16.206114487889</v>
      </c>
      <c r="E140" s="155">
        <v>16.206114487889</v>
      </c>
      <c r="F140" s="153">
        <v>9.6017418125737102</v>
      </c>
      <c r="G140" s="153">
        <v>15.6066406604373</v>
      </c>
      <c r="H140" s="155"/>
      <c r="I140" s="153">
        <v>16.734451850231199</v>
      </c>
      <c r="J140" s="153">
        <v>16.785267168647401</v>
      </c>
      <c r="K140" s="155">
        <v>5.11076839335934</v>
      </c>
      <c r="L140" s="153">
        <v>6.9701533157942501</v>
      </c>
      <c r="M140" s="155">
        <v>20.7275696271432</v>
      </c>
      <c r="N140" s="155">
        <v>33.123469110042599</v>
      </c>
      <c r="O140" s="155">
        <v>61.258096706885603</v>
      </c>
      <c r="P140" s="155">
        <v>23.0238592034836</v>
      </c>
      <c r="Q140" s="177">
        <f>SUM(Q138:Q139)</f>
        <v>13.85</v>
      </c>
      <c r="S140" s="119">
        <f>SUM(S138:S139)</f>
        <v>13</v>
      </c>
      <c r="T140" s="286">
        <v>21.5</v>
      </c>
      <c r="U140" s="286">
        <f>SUM(U138:U139)</f>
        <v>21.9</v>
      </c>
      <c r="W140" s="286">
        <f>SUM(W138:W139)</f>
        <v>20.7</v>
      </c>
      <c r="Y140" s="286">
        <f>SUM(Y138:Y139)</f>
        <v>53</v>
      </c>
      <c r="Z140" s="286">
        <f>SUM(Z138:Z139)</f>
        <v>44.7</v>
      </c>
      <c r="AA140" s="286">
        <f>SUM(AA138:AA139)</f>
        <v>33.200000000000003</v>
      </c>
      <c r="AC140" s="286">
        <f>SUM(AC138:AC139)</f>
        <v>14.5</v>
      </c>
      <c r="AD140" s="286">
        <f>SUM(AD138:AD139)</f>
        <v>39.5</v>
      </c>
      <c r="AE140" s="286">
        <f>SUM(AE138:AE139)</f>
        <v>47.900000000000006</v>
      </c>
      <c r="AG140" s="286">
        <f>SUM(AG138:AG139)</f>
        <v>14.5</v>
      </c>
      <c r="AH140" s="286">
        <f>SUM(AH138:AH139)</f>
        <v>42.3</v>
      </c>
      <c r="AI140" s="286">
        <f>SUM(AI138:AI139)</f>
        <v>48</v>
      </c>
      <c r="AJ140" s="288">
        <f>SUM(AJ138:AJ139)</f>
        <v>43.7</v>
      </c>
      <c r="AK140" s="288">
        <f>SUM(AK138:AK139)</f>
        <v>22.861290029937358</v>
      </c>
      <c r="AM140" s="286">
        <f>SUM(AM138:AM139)</f>
        <v>12.25</v>
      </c>
      <c r="AN140" s="286">
        <f>SUM(AN138:AN139)</f>
        <v>17.939999999999998</v>
      </c>
      <c r="AO140" s="286">
        <f>SUM(AO138:AO139)</f>
        <v>17.939999999999998</v>
      </c>
      <c r="AP140" s="286"/>
      <c r="AQ140" s="286">
        <v>3.7289304182164602</v>
      </c>
      <c r="AR140" s="286">
        <f>SUM(AR138:AR139)</f>
        <v>3.67</v>
      </c>
      <c r="AS140" s="286">
        <f>SUM(AS138:AS139)</f>
        <v>26.21014070510865</v>
      </c>
      <c r="AT140" s="286">
        <f>SUM(AT138:AT139)</f>
        <v>27.838541030883768</v>
      </c>
      <c r="AU140" s="286"/>
      <c r="AV140" s="286">
        <f>SUM(AV138:AV139)</f>
        <v>5.2936587135988393</v>
      </c>
      <c r="AX140" s="286">
        <f t="shared" si="10"/>
        <v>1.6284003257751181</v>
      </c>
    </row>
    <row r="141" spans="1:50">
      <c r="A141" s="154">
        <v>500</v>
      </c>
      <c r="C141" s="153">
        <v>67.778137141669703</v>
      </c>
      <c r="D141" s="155">
        <v>134.11956817563299</v>
      </c>
      <c r="E141" s="155">
        <v>134.11956817563299</v>
      </c>
      <c r="F141" s="153">
        <v>57.762859475641797</v>
      </c>
      <c r="G141" s="153">
        <v>213.15866823913601</v>
      </c>
      <c r="H141" s="155">
        <v>169.73237775560199</v>
      </c>
      <c r="I141" s="153">
        <v>172.478497953534</v>
      </c>
      <c r="J141" s="153">
        <v>170.321691009707</v>
      </c>
      <c r="K141" s="155">
        <v>61.268257280232199</v>
      </c>
      <c r="L141" s="153">
        <v>92.7660346548127</v>
      </c>
      <c r="M141" s="155">
        <v>524.48879615349699</v>
      </c>
      <c r="N141" s="155">
        <v>738.57207656717799</v>
      </c>
      <c r="O141" s="155">
        <v>1036.05334301007</v>
      </c>
      <c r="P141" s="155">
        <v>192.86800326589901</v>
      </c>
      <c r="Q141" s="177">
        <v>267.83</v>
      </c>
      <c r="S141" s="119">
        <v>268.60000000000002</v>
      </c>
      <c r="T141" s="286">
        <v>217.2</v>
      </c>
      <c r="U141" s="286">
        <v>196.7</v>
      </c>
      <c r="W141" s="286">
        <v>524.5</v>
      </c>
      <c r="Y141" s="286">
        <v>781.3</v>
      </c>
      <c r="Z141" s="286">
        <v>842.2</v>
      </c>
      <c r="AA141" s="286">
        <v>745.9</v>
      </c>
      <c r="AC141" s="286">
        <v>289.39999999999998</v>
      </c>
      <c r="AD141" s="286">
        <v>642.5</v>
      </c>
      <c r="AE141" s="286">
        <v>926.4</v>
      </c>
      <c r="AG141" s="286">
        <v>295.89999999999998</v>
      </c>
      <c r="AH141" s="286">
        <v>650.20000000000005</v>
      </c>
      <c r="AI141" s="286">
        <v>946.7</v>
      </c>
      <c r="AJ141" s="286">
        <v>686.2</v>
      </c>
      <c r="AK141" s="286">
        <v>502.135534790892</v>
      </c>
      <c r="AL141" s="286"/>
      <c r="AM141" s="286">
        <v>197.53020968604201</v>
      </c>
      <c r="AN141" s="286">
        <v>122.717316371105</v>
      </c>
      <c r="AO141" s="286">
        <v>154.786428326379</v>
      </c>
      <c r="AP141" s="286"/>
      <c r="AQ141" s="286">
        <v>280.461523415025</v>
      </c>
      <c r="AR141" s="119">
        <v>276.02922969676899</v>
      </c>
      <c r="AS141" s="290">
        <v>349.47796571254702</v>
      </c>
      <c r="AT141" s="290">
        <v>358.716194987297</v>
      </c>
      <c r="AV141" s="286">
        <f>356.77*2240/2204.6</f>
        <v>362.4987752880341</v>
      </c>
      <c r="AX141" s="286">
        <f t="shared" si="10"/>
        <v>9.2382292747499832</v>
      </c>
    </row>
    <row r="142" spans="1:50">
      <c r="A142" s="154">
        <v>600</v>
      </c>
      <c r="C142" s="153">
        <v>57.461660857875501</v>
      </c>
      <c r="D142" s="155">
        <v>60.963440079833099</v>
      </c>
      <c r="E142" s="155">
        <v>61.359702440352002</v>
      </c>
      <c r="F142" s="153">
        <v>54.806132631769898</v>
      </c>
      <c r="G142" s="153">
        <v>137.350630499864</v>
      </c>
      <c r="H142" s="155"/>
      <c r="I142" s="153">
        <v>105.83627411232</v>
      </c>
      <c r="J142" s="153">
        <v>103.88170189603601</v>
      </c>
      <c r="K142" s="155">
        <v>40.672775106595303</v>
      </c>
      <c r="L142" s="153">
        <v>67.547491608455104</v>
      </c>
      <c r="M142" s="155">
        <v>357.65218180168699</v>
      </c>
      <c r="N142" s="155">
        <v>466.06549941032398</v>
      </c>
      <c r="O142" s="155">
        <v>605.23487253923599</v>
      </c>
      <c r="P142" s="155">
        <v>91.475641839789503</v>
      </c>
      <c r="Q142" s="177">
        <v>189.77</v>
      </c>
      <c r="S142" s="119">
        <v>164.5</v>
      </c>
      <c r="T142" s="286">
        <v>171.3</v>
      </c>
      <c r="U142" s="286">
        <v>146.9</v>
      </c>
      <c r="W142" s="286">
        <v>357.6</v>
      </c>
      <c r="Y142" s="286">
        <v>573</v>
      </c>
      <c r="Z142" s="286">
        <v>675.9</v>
      </c>
      <c r="AA142" s="286">
        <v>470.7</v>
      </c>
      <c r="AC142" s="286">
        <v>203.4</v>
      </c>
      <c r="AD142" s="286">
        <v>404.3</v>
      </c>
      <c r="AE142" s="286">
        <v>678</v>
      </c>
      <c r="AG142" s="286">
        <v>203.9</v>
      </c>
      <c r="AH142" s="286">
        <v>395.6</v>
      </c>
      <c r="AI142" s="286">
        <v>670.1</v>
      </c>
      <c r="AJ142" s="286">
        <v>427.4</v>
      </c>
      <c r="AK142" s="286">
        <v>319.04200308446002</v>
      </c>
      <c r="AL142" s="286"/>
      <c r="AM142" s="286">
        <v>124.100280079098</v>
      </c>
      <c r="AN142" s="286">
        <v>76.764513770251099</v>
      </c>
      <c r="AO142" s="286">
        <v>86.046195262841806</v>
      </c>
      <c r="AP142" s="286"/>
      <c r="AQ142" s="286">
        <v>279.82100951070402</v>
      </c>
      <c r="AR142" s="119">
        <v>275.398838199686</v>
      </c>
      <c r="AS142" s="290">
        <v>241.29001413285701</v>
      </c>
      <c r="AT142" s="290">
        <v>252.117418661714</v>
      </c>
      <c r="AV142" s="286">
        <f>348.55*2240/2204.6</f>
        <v>354.14678399709697</v>
      </c>
      <c r="AX142" s="286">
        <f t="shared" si="10"/>
        <v>10.827404528856988</v>
      </c>
    </row>
    <row r="143" spans="1:50">
      <c r="A143" s="154">
        <v>700</v>
      </c>
      <c r="C143" s="153">
        <v>39.5048034110496</v>
      </c>
      <c r="D143" s="155">
        <v>25.4014333665971</v>
      </c>
      <c r="E143" s="155">
        <v>25.4014333665971</v>
      </c>
      <c r="F143" s="153">
        <v>50.122108318969403</v>
      </c>
      <c r="G143" s="153">
        <v>39.047083371133098</v>
      </c>
      <c r="H143" s="155"/>
      <c r="I143" s="153">
        <v>43.1123149777737</v>
      </c>
      <c r="J143" s="153">
        <v>45.570171459675201</v>
      </c>
      <c r="K143" s="155">
        <v>20.270343826544501</v>
      </c>
      <c r="L143" s="153">
        <v>23.989113671414302</v>
      </c>
      <c r="M143" s="155">
        <v>100.589676131725</v>
      </c>
      <c r="N143" s="155">
        <v>170.79923795699901</v>
      </c>
      <c r="O143" s="155">
        <v>266.89794066950901</v>
      </c>
      <c r="P143" s="155">
        <v>72.495690828268195</v>
      </c>
      <c r="Q143" s="177">
        <v>13.81</v>
      </c>
      <c r="S143" s="119">
        <v>28.6</v>
      </c>
      <c r="T143" s="286">
        <v>12.9</v>
      </c>
      <c r="U143" s="286">
        <v>43.009383928571403</v>
      </c>
      <c r="W143" s="286">
        <v>100.6</v>
      </c>
      <c r="Y143" s="286">
        <v>234.4</v>
      </c>
      <c r="Z143" s="286">
        <v>320</v>
      </c>
      <c r="AA143" s="286">
        <v>168.1</v>
      </c>
      <c r="AC143" s="286">
        <v>43.8</v>
      </c>
      <c r="AD143" s="286">
        <v>126.4</v>
      </c>
      <c r="AE143" s="286">
        <v>322.7</v>
      </c>
      <c r="AG143" s="286">
        <v>43.8</v>
      </c>
      <c r="AH143" s="286">
        <v>126.4</v>
      </c>
      <c r="AI143" s="286">
        <v>322.7</v>
      </c>
      <c r="AJ143" s="286">
        <v>126.5</v>
      </c>
      <c r="AK143" s="286">
        <v>212.96561734554999</v>
      </c>
      <c r="AL143" s="286"/>
      <c r="AM143" s="286">
        <v>16.730149546279499</v>
      </c>
      <c r="AN143" s="286">
        <v>28.477263883847598</v>
      </c>
      <c r="AO143" s="286">
        <v>28.949677676951001</v>
      </c>
      <c r="AP143" s="286"/>
      <c r="AQ143" s="286">
        <v>12.462913907284801</v>
      </c>
      <c r="AR143" s="286">
        <v>12.2659553571429</v>
      </c>
      <c r="AS143" s="292">
        <v>14.4184851199389</v>
      </c>
      <c r="AT143" s="292">
        <v>14.4524745345116</v>
      </c>
      <c r="AU143" s="286"/>
      <c r="AV143" s="286">
        <f>21.03*2240/2204.6</f>
        <v>21.367685747981497</v>
      </c>
      <c r="AX143" s="286">
        <f t="shared" si="10"/>
        <v>3.3989414572699772E-2</v>
      </c>
    </row>
    <row r="144" spans="1:50">
      <c r="A144" s="154"/>
      <c r="C144" s="117"/>
      <c r="I144" s="117"/>
      <c r="T144" s="286"/>
      <c r="U144" s="286"/>
      <c r="W144" s="286"/>
      <c r="Y144" s="286"/>
      <c r="Z144" s="286"/>
      <c r="AA144" s="286"/>
      <c r="AC144" s="286"/>
      <c r="AD144" s="286"/>
      <c r="AE144" s="286"/>
      <c r="AG144" s="286"/>
      <c r="AH144" s="286"/>
      <c r="AI144" s="286"/>
      <c r="AJ144" s="286"/>
      <c r="AK144" s="286"/>
      <c r="AL144" s="286"/>
      <c r="AM144" s="286"/>
      <c r="AN144" s="286"/>
      <c r="AO144" s="286"/>
      <c r="AP144" s="286"/>
      <c r="AQ144" s="286"/>
      <c r="AS144" s="286"/>
      <c r="AT144" s="286"/>
      <c r="AV144" s="286"/>
    </row>
    <row r="145" spans="1:48">
      <c r="A145" s="154" t="s">
        <v>632</v>
      </c>
      <c r="C145" s="119">
        <f t="shared" ref="C145:U145" si="11">C68/C135</f>
        <v>0.15492086862021395</v>
      </c>
      <c r="D145" s="119">
        <f t="shared" si="11"/>
        <v>0.12222222222222259</v>
      </c>
      <c r="E145" s="119">
        <f t="shared" si="11"/>
        <v>0.11666666666666693</v>
      </c>
      <c r="F145" s="119">
        <f t="shared" si="11"/>
        <v>0.14341527173674226</v>
      </c>
      <c r="G145" s="119">
        <f t="shared" si="11"/>
        <v>0.10951817265114654</v>
      </c>
      <c r="H145" s="119">
        <f t="shared" si="11"/>
        <v>0</v>
      </c>
      <c r="I145" s="119">
        <f t="shared" si="11"/>
        <v>0.12257875568407998</v>
      </c>
      <c r="J145" s="119">
        <f t="shared" si="11"/>
        <v>0.11666666666666611</v>
      </c>
      <c r="K145" s="119">
        <f t="shared" si="11"/>
        <v>0.11316751905334899</v>
      </c>
      <c r="L145" s="119">
        <f t="shared" si="11"/>
        <v>0.13588164870873892</v>
      </c>
      <c r="M145" s="119">
        <f t="shared" si="11"/>
        <v>0.15071404848887401</v>
      </c>
      <c r="N145" s="119">
        <f t="shared" si="11"/>
        <v>0.15550737281841814</v>
      </c>
      <c r="O145" s="119">
        <f t="shared" si="11"/>
        <v>0.1266429185603741</v>
      </c>
      <c r="P145" s="119">
        <f t="shared" si="11"/>
        <v>0.12466289104638625</v>
      </c>
      <c r="Q145" s="119">
        <f t="shared" si="11"/>
        <v>5.5752172735704271E-2</v>
      </c>
      <c r="S145" s="119">
        <f t="shared" si="11"/>
        <v>0.25249807840122984</v>
      </c>
      <c r="T145" s="119">
        <f t="shared" si="11"/>
        <v>0.22300058377116172</v>
      </c>
      <c r="U145" s="119">
        <f t="shared" si="11"/>
        <v>0.15109977685686962</v>
      </c>
      <c r="W145" s="119">
        <f>W68/W135</f>
        <v>0.18764302059496568</v>
      </c>
      <c r="Y145" s="119">
        <f>Y68/Y135</f>
        <v>0.19356738925541944</v>
      </c>
      <c r="Z145" s="119">
        <f>Z68/Z135</f>
        <v>0.15893777249306382</v>
      </c>
      <c r="AA145" s="119">
        <f>AA68/AA135</f>
        <v>0.15925606601798253</v>
      </c>
      <c r="AC145" s="119">
        <f>AC68/AC135</f>
        <v>0.15526102245063564</v>
      </c>
      <c r="AD145" s="119">
        <f>AD68/AD135</f>
        <v>0.16647919010123735</v>
      </c>
      <c r="AE145" s="119">
        <f>AE68/AE135</f>
        <v>0.14897818145917663</v>
      </c>
      <c r="AG145" s="119">
        <f>AG68/AG135</f>
        <v>0.19498029454470026</v>
      </c>
      <c r="AH145" s="119">
        <f>AH68/AH135</f>
        <v>0.22368421052631582</v>
      </c>
      <c r="AI145" s="119">
        <f>AI68/AI135</f>
        <v>0.20524858553027567</v>
      </c>
      <c r="AJ145" s="119">
        <f>AJ68/AJ135</f>
        <v>0.20860566448801743</v>
      </c>
      <c r="AK145" s="119">
        <f>AK68/AK135</f>
        <v>0.33131887664415205</v>
      </c>
      <c r="AM145" s="119">
        <f>AM68/AM135</f>
        <v>9.8766448697911735E-2</v>
      </c>
      <c r="AN145" s="119">
        <f>AN68/AN135</f>
        <v>3.2539084105599324E-2</v>
      </c>
      <c r="AO145" s="119">
        <f>AO68/AO135</f>
        <v>6.7567072191918293E-2</v>
      </c>
      <c r="AQ145" s="119">
        <f>AQ68/AQ135</f>
        <v>7.2991102802007976E-2</v>
      </c>
      <c r="AS145" s="119">
        <f>AS68/AS135</f>
        <v>0.17985135199483326</v>
      </c>
      <c r="AT145" s="119">
        <f>AT68/AT135</f>
        <v>0.17899909547474013</v>
      </c>
      <c r="AV145" s="119">
        <f>AV68/AV135</f>
        <v>7.9773472672085399E-2</v>
      </c>
    </row>
    <row r="146" spans="1:48">
      <c r="A146" s="154"/>
      <c r="C146" s="117"/>
      <c r="I146" s="117"/>
      <c r="T146" s="286"/>
      <c r="U146" s="286"/>
      <c r="Y146" s="286"/>
      <c r="Z146" s="286"/>
      <c r="AA146" s="286"/>
      <c r="AC146" s="286"/>
      <c r="AD146" s="286"/>
      <c r="AE146" s="286"/>
      <c r="AG146" s="286"/>
      <c r="AH146" s="286"/>
      <c r="AI146" s="286"/>
      <c r="AJ146" s="286"/>
      <c r="AK146" s="286"/>
      <c r="AM146" s="286"/>
      <c r="AN146" s="286"/>
      <c r="AO146" s="286"/>
    </row>
    <row r="147" spans="1:48">
      <c r="A147" s="119" t="s">
        <v>633</v>
      </c>
      <c r="B147" s="119">
        <v>800</v>
      </c>
      <c r="D147" s="119">
        <f>4*470</f>
        <v>1880</v>
      </c>
      <c r="L147" s="119">
        <v>1200</v>
      </c>
      <c r="M147" s="119">
        <v>3000</v>
      </c>
      <c r="N147" s="170">
        <v>7725.2</v>
      </c>
      <c r="O147" s="119">
        <v>7500</v>
      </c>
      <c r="P147" s="119">
        <f>3*750</f>
        <v>2250</v>
      </c>
      <c r="Q147" s="119">
        <f>3*910</f>
        <v>2730</v>
      </c>
      <c r="S147" s="119">
        <f>3*500</f>
        <v>1500</v>
      </c>
      <c r="T147" s="119">
        <f>3*500</f>
        <v>1500</v>
      </c>
      <c r="U147" s="119">
        <f>3*750</f>
        <v>2250</v>
      </c>
      <c r="W147" s="119">
        <v>3000</v>
      </c>
      <c r="Y147" s="119">
        <f>3000+3200*2</f>
        <v>9400</v>
      </c>
      <c r="Z147" s="119">
        <v>7500</v>
      </c>
      <c r="AA147" s="158">
        <f>4*1931.3</f>
        <v>7725.2</v>
      </c>
      <c r="AC147" s="119">
        <f>4*1000</f>
        <v>4000</v>
      </c>
      <c r="AD147" s="119">
        <f>4*1750</f>
        <v>7000</v>
      </c>
      <c r="AE147" s="119">
        <f>4*2500</f>
        <v>10000</v>
      </c>
      <c r="AG147" s="119">
        <f>4*1000</f>
        <v>4000</v>
      </c>
      <c r="AH147" s="119">
        <f>4*1750</f>
        <v>7000</v>
      </c>
      <c r="AI147" s="119">
        <f>4*2500</f>
        <v>10000</v>
      </c>
      <c r="AJ147" s="119">
        <f>8*1500</f>
        <v>12000</v>
      </c>
      <c r="AK147" s="119">
        <f>2*3500</f>
        <v>7000</v>
      </c>
      <c r="AM147" s="289">
        <f>3*900</f>
        <v>2700</v>
      </c>
      <c r="AN147" s="289">
        <f>3*720</f>
        <v>2160</v>
      </c>
      <c r="AO147" s="289">
        <f>3*720</f>
        <v>2160</v>
      </c>
      <c r="AQ147" s="119">
        <f>4*910</f>
        <v>3640</v>
      </c>
      <c r="AS147" s="119">
        <f>4*910</f>
        <v>3640</v>
      </c>
      <c r="AT147" s="119">
        <f>4*910</f>
        <v>3640</v>
      </c>
      <c r="AV147" s="289"/>
    </row>
    <row r="148" spans="1:48" s="157" customFormat="1">
      <c r="A148" s="154" t="s">
        <v>634</v>
      </c>
      <c r="B148" s="156">
        <f>(23000+3058)*0.7457</f>
        <v>19431.4506</v>
      </c>
      <c r="D148" s="156">
        <f>(30000+3000*2)*0.7457</f>
        <v>26845.200000000001</v>
      </c>
      <c r="L148" s="156">
        <f>(23000+3058)*0.7457</f>
        <v>19431.4506</v>
      </c>
      <c r="M148" s="171">
        <f>40000*0.7457</f>
        <v>29828</v>
      </c>
      <c r="N148" s="170">
        <v>80880.2</v>
      </c>
      <c r="O148" s="171">
        <f>90000*0.7457</f>
        <v>67113</v>
      </c>
      <c r="P148" s="171">
        <f>20000+1640*2</f>
        <v>23280</v>
      </c>
      <c r="Q148" s="156">
        <f>4*3700.2</f>
        <v>14800.8</v>
      </c>
      <c r="S148" s="171">
        <f>3913*2</f>
        <v>7826</v>
      </c>
      <c r="T148" s="156">
        <f>3913*2</f>
        <v>7826</v>
      </c>
      <c r="U148" s="171">
        <f>20000+1640*2</f>
        <v>23280</v>
      </c>
      <c r="W148" s="171">
        <f>40000*0.7457</f>
        <v>29828</v>
      </c>
      <c r="Y148" s="156">
        <f>2*21655.1</f>
        <v>43310.2</v>
      </c>
      <c r="Z148" s="171">
        <f>90000*0.7457</f>
        <v>67113</v>
      </c>
      <c r="AA148" s="156">
        <f>2*36000+2*4440.1</f>
        <v>80880.2</v>
      </c>
      <c r="AC148" s="156">
        <f>2*26099.5+2*1651.7</f>
        <v>55502.400000000001</v>
      </c>
      <c r="AD148" s="156">
        <f>2*26099.5+2*3800.1</f>
        <v>59799.199999999997</v>
      </c>
      <c r="AE148" s="119">
        <f>4*26099.5</f>
        <v>104398</v>
      </c>
      <c r="AG148" s="156">
        <f>2*26099.5+2*1651.7</f>
        <v>55502.400000000001</v>
      </c>
      <c r="AH148" s="156">
        <f>2*26099.5+2*3800.1</f>
        <v>59799.199999999997</v>
      </c>
      <c r="AI148" s="119">
        <f>4*26099.5</f>
        <v>104398</v>
      </c>
      <c r="AJ148" s="171">
        <f>2*16032.5</f>
        <v>32065</v>
      </c>
      <c r="AK148" s="156">
        <f>11858.1*2</f>
        <v>23716.2</v>
      </c>
      <c r="AM148" s="171">
        <v>85000</v>
      </c>
      <c r="AN148" s="171">
        <v>66700</v>
      </c>
      <c r="AO148" s="171">
        <v>66700</v>
      </c>
      <c r="AQ148" s="158">
        <v>28798.934000000001</v>
      </c>
      <c r="AS148" s="119">
        <f>4*7400</f>
        <v>29600</v>
      </c>
      <c r="AT148" s="119">
        <f>4*7400</f>
        <v>29600</v>
      </c>
      <c r="AV148" s="293"/>
    </row>
    <row r="149" spans="1:48">
      <c r="A149" s="154" t="s">
        <v>635</v>
      </c>
      <c r="B149" s="119">
        <v>38</v>
      </c>
      <c r="C149" s="119">
        <v>39</v>
      </c>
      <c r="D149" s="119">
        <f>16+7+41+4+6</f>
        <v>74</v>
      </c>
      <c r="H149" s="119">
        <v>88</v>
      </c>
      <c r="I149" s="119">
        <v>85</v>
      </c>
      <c r="L149" s="119">
        <v>58</v>
      </c>
      <c r="M149" s="119">
        <f>16+198</f>
        <v>214</v>
      </c>
      <c r="N149" s="170">
        <v>262</v>
      </c>
      <c r="O149" s="119">
        <f>32+348</f>
        <v>380</v>
      </c>
      <c r="P149" s="119">
        <v>74</v>
      </c>
      <c r="Q149" s="119">
        <v>108</v>
      </c>
      <c r="S149" s="119">
        <v>109</v>
      </c>
      <c r="T149" s="119">
        <v>109</v>
      </c>
      <c r="U149" s="119">
        <v>74</v>
      </c>
      <c r="W149" s="119">
        <f>16+198</f>
        <v>214</v>
      </c>
      <c r="Y149" s="119">
        <v>234</v>
      </c>
      <c r="Z149" s="119">
        <v>377</v>
      </c>
      <c r="AA149" s="119">
        <v>262</v>
      </c>
      <c r="AC149" s="119">
        <v>74</v>
      </c>
      <c r="AD149" s="119">
        <v>140</v>
      </c>
      <c r="AE149" s="119">
        <v>220</v>
      </c>
      <c r="AG149" s="119">
        <v>74</v>
      </c>
      <c r="AH149" s="119">
        <v>140</v>
      </c>
      <c r="AI149" s="119">
        <v>220</v>
      </c>
      <c r="AJ149" s="119">
        <v>205</v>
      </c>
      <c r="AK149" s="119">
        <v>122</v>
      </c>
      <c r="AM149" s="119">
        <v>75</v>
      </c>
      <c r="AN149" s="119">
        <v>75</v>
      </c>
      <c r="AO149" s="119">
        <v>75</v>
      </c>
      <c r="AQ149" s="119">
        <v>94</v>
      </c>
      <c r="AS149" s="294">
        <v>96</v>
      </c>
      <c r="AT149" s="294">
        <v>96</v>
      </c>
      <c r="AV149" s="289"/>
    </row>
    <row r="150" spans="1:48">
      <c r="C150" s="119" t="s">
        <v>567</v>
      </c>
    </row>
    <row r="151" spans="1:48">
      <c r="A151" s="154" t="s">
        <v>636</v>
      </c>
      <c r="B151" s="158">
        <f t="shared" ref="B151:AA151" si="12">B149*B11</f>
        <v>760.06446231855853</v>
      </c>
      <c r="C151" s="158">
        <f t="shared" si="12"/>
        <v>1515.3815334739591</v>
      </c>
      <c r="D151" s="158">
        <f t="shared" si="12"/>
        <v>4538.3619711181964</v>
      </c>
      <c r="E151" s="158"/>
      <c r="F151" s="158"/>
      <c r="G151" s="158"/>
      <c r="H151" s="158">
        <f t="shared" si="12"/>
        <v>4016.0643414003775</v>
      </c>
      <c r="I151" s="158">
        <f t="shared" si="12"/>
        <v>4140.6155792610289</v>
      </c>
      <c r="J151" s="158"/>
      <c r="K151" s="158"/>
      <c r="L151" s="158">
        <f t="shared" si="12"/>
        <v>2341.6195654597523</v>
      </c>
      <c r="M151" s="158">
        <f t="shared" si="12"/>
        <v>33526.973959865813</v>
      </c>
      <c r="N151" s="158">
        <f t="shared" si="12"/>
        <v>58233.168000000005</v>
      </c>
      <c r="O151" s="158">
        <f t="shared" si="12"/>
        <v>125059.56635999998</v>
      </c>
      <c r="P151" s="158">
        <f t="shared" si="12"/>
        <v>7078.5000740867645</v>
      </c>
      <c r="Q151" s="158">
        <f t="shared" si="12"/>
        <v>13648.410688648864</v>
      </c>
      <c r="R151" s="158"/>
      <c r="S151" s="158">
        <f t="shared" si="12"/>
        <v>9237.3227199999983</v>
      </c>
      <c r="T151" s="158">
        <f t="shared" si="12"/>
        <v>9252.7102500000001</v>
      </c>
      <c r="U151" s="158">
        <f t="shared" si="12"/>
        <v>3876.9191999999998</v>
      </c>
      <c r="V151" s="158"/>
      <c r="W151" s="158">
        <f t="shared" si="12"/>
        <v>33189.148719999997</v>
      </c>
      <c r="X151" s="158"/>
      <c r="Y151" s="158">
        <f t="shared" si="12"/>
        <v>74741.94</v>
      </c>
      <c r="Z151" s="158">
        <f t="shared" si="12"/>
        <v>122378.72399999999</v>
      </c>
      <c r="AA151" s="158">
        <f t="shared" si="12"/>
        <v>58926.42</v>
      </c>
      <c r="AB151" s="158"/>
      <c r="AC151" s="158">
        <f t="shared" ref="AC151:AO151" si="13">AC149*AC11</f>
        <v>8253.1533999999992</v>
      </c>
      <c r="AD151" s="158">
        <f t="shared" si="13"/>
        <v>25985.914499999999</v>
      </c>
      <c r="AE151" s="158">
        <f t="shared" si="13"/>
        <v>75661.3</v>
      </c>
      <c r="AF151" s="158"/>
      <c r="AG151" s="158">
        <f t="shared" si="13"/>
        <v>8300.2469999999994</v>
      </c>
      <c r="AH151" s="158">
        <f t="shared" si="13"/>
        <v>25743.217500000002</v>
      </c>
      <c r="AI151" s="158">
        <f t="shared" si="13"/>
        <v>73891.674999999988</v>
      </c>
      <c r="AJ151" s="158">
        <f t="shared" si="13"/>
        <v>46362.472000000009</v>
      </c>
      <c r="AK151" s="158">
        <f t="shared" si="13"/>
        <v>18227.349000000002</v>
      </c>
      <c r="AL151" s="158"/>
      <c r="AM151" s="158">
        <f t="shared" si="13"/>
        <v>9786.5212499999998</v>
      </c>
      <c r="AN151" s="158">
        <f t="shared" si="13"/>
        <v>6948.1478430000006</v>
      </c>
      <c r="AO151" s="158">
        <f t="shared" si="13"/>
        <v>8805.5005500000025</v>
      </c>
      <c r="AP151" s="158"/>
      <c r="AQ151" s="158">
        <f>AQ149*AQ11</f>
        <v>11434.280044111583</v>
      </c>
      <c r="AS151" s="158">
        <f>AS149*AS11</f>
        <v>11423.449808930218</v>
      </c>
      <c r="AT151" s="158">
        <f>AT149*AT11</f>
        <v>11761.922395861484</v>
      </c>
      <c r="AV151" s="158">
        <f>AV149*AV11</f>
        <v>0</v>
      </c>
    </row>
    <row r="152" spans="1:48">
      <c r="A152" s="154" t="s">
        <v>637</v>
      </c>
      <c r="B152" s="158">
        <f t="shared" ref="B152:AO152" si="14">B147*B11</f>
        <v>16001.357101443338</v>
      </c>
      <c r="C152" s="158"/>
      <c r="D152" s="158">
        <f t="shared" si="14"/>
        <v>115298.92575273255</v>
      </c>
      <c r="E152" s="158"/>
      <c r="F152" s="158"/>
      <c r="G152" s="158"/>
      <c r="H152" s="158"/>
      <c r="I152" s="158"/>
      <c r="J152" s="158"/>
      <c r="K152" s="158"/>
      <c r="L152" s="158">
        <f t="shared" si="14"/>
        <v>48447.301354339703</v>
      </c>
      <c r="M152" s="158">
        <f t="shared" si="14"/>
        <v>470004.30784858618</v>
      </c>
      <c r="N152" s="158">
        <f t="shared" si="14"/>
        <v>1717033.8528</v>
      </c>
      <c r="O152" s="158">
        <f t="shared" si="14"/>
        <v>2468280.9149999996</v>
      </c>
      <c r="P152" s="158">
        <f t="shared" si="14"/>
        <v>215224.66441480027</v>
      </c>
      <c r="Q152" s="158">
        <f t="shared" si="14"/>
        <v>345001.49240751297</v>
      </c>
      <c r="R152" s="158"/>
      <c r="S152" s="158">
        <f t="shared" si="14"/>
        <v>127119.11999999997</v>
      </c>
      <c r="T152" s="158">
        <f t="shared" si="14"/>
        <v>127330.87500000001</v>
      </c>
      <c r="U152" s="158">
        <f t="shared" si="14"/>
        <v>117879.3</v>
      </c>
      <c r="V152" s="158"/>
      <c r="W152" s="158">
        <f t="shared" si="14"/>
        <v>465268.43999999994</v>
      </c>
      <c r="X152" s="158"/>
      <c r="Y152" s="158">
        <f t="shared" si="14"/>
        <v>3002454.0000000005</v>
      </c>
      <c r="Z152" s="158">
        <f t="shared" si="14"/>
        <v>2434589.9999999995</v>
      </c>
      <c r="AA152" s="158">
        <f t="shared" si="14"/>
        <v>1737474.7319999998</v>
      </c>
      <c r="AB152" s="158"/>
      <c r="AC152" s="158">
        <f t="shared" si="14"/>
        <v>446116.4</v>
      </c>
      <c r="AD152" s="158">
        <f t="shared" si="14"/>
        <v>1299295.7250000001</v>
      </c>
      <c r="AE152" s="158">
        <f t="shared" si="14"/>
        <v>3439150</v>
      </c>
      <c r="AF152" s="158"/>
      <c r="AG152" s="158">
        <f t="shared" si="14"/>
        <v>448662</v>
      </c>
      <c r="AH152" s="158">
        <f t="shared" si="14"/>
        <v>1287160.8750000002</v>
      </c>
      <c r="AI152" s="158">
        <f t="shared" si="14"/>
        <v>3358712.4999999995</v>
      </c>
      <c r="AJ152" s="158">
        <f t="shared" si="14"/>
        <v>2713900.8000000003</v>
      </c>
      <c r="AK152" s="158">
        <f t="shared" si="14"/>
        <v>1045831.5000000001</v>
      </c>
      <c r="AL152" s="158"/>
      <c r="AM152" s="158">
        <f t="shared" si="14"/>
        <v>352314.76500000001</v>
      </c>
      <c r="AN152" s="158">
        <f t="shared" si="14"/>
        <v>200106.6578784</v>
      </c>
      <c r="AO152" s="158">
        <f t="shared" si="14"/>
        <v>253598.41584000006</v>
      </c>
      <c r="AP152" s="158"/>
      <c r="AQ152" s="158">
        <f>AQ147*AQ11</f>
        <v>442774.24851666135</v>
      </c>
      <c r="AS152" s="158">
        <f>AS147*AS11</f>
        <v>433139.13858860411</v>
      </c>
      <c r="AT152" s="158">
        <f>AT147*AT11</f>
        <v>445972.89084308123</v>
      </c>
      <c r="AV152" s="158">
        <f>AV147*AV11</f>
        <v>0</v>
      </c>
    </row>
    <row r="153" spans="1:48">
      <c r="C153" s="119" t="s">
        <v>567</v>
      </c>
    </row>
    <row r="154" spans="1:48">
      <c r="C154" s="119" t="s">
        <v>567</v>
      </c>
    </row>
  </sheetData>
  <mergeCells count="1">
    <mergeCell ref="B1:Q1"/>
  </mergeCells>
  <pageMargins left="0.75" right="0.75" top="1" bottom="1" header="0.5" footer="0.5"/>
  <pageSetup paperSize="17" scale="20" orientation="landscape"/>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61"/>
  <sheetViews>
    <sheetView workbookViewId="0">
      <pane xSplit="5" ySplit="1" topLeftCell="AE20" activePane="bottomRight" state="frozen"/>
      <selection pane="topRight"/>
      <selection pane="bottomLeft"/>
      <selection pane="bottomRight" activeCell="AH21" sqref="AH21:AH22"/>
    </sheetView>
  </sheetViews>
  <sheetFormatPr defaultColWidth="9" defaultRowHeight="15.75"/>
  <cols>
    <col min="1" max="1" width="10.5" style="42" customWidth="1"/>
    <col min="2" max="2" width="14.625" style="43" customWidth="1"/>
    <col min="3" max="3" width="6.5" style="43" customWidth="1"/>
    <col min="4" max="4" width="14.25" style="43" customWidth="1"/>
    <col min="5" max="5" width="12.125" style="43" customWidth="1"/>
    <col min="6" max="6" width="4.5" style="42" customWidth="1"/>
    <col min="7" max="7" width="10.25" style="44" customWidth="1"/>
    <col min="8" max="8" width="4.75" style="44" customWidth="1"/>
    <col min="9" max="10" width="10.25" style="44" customWidth="1"/>
    <col min="11" max="16" width="10.25" style="45" customWidth="1"/>
    <col min="17" max="17" width="10.25" style="46" customWidth="1"/>
    <col min="18" max="18" width="10.375" style="43" customWidth="1"/>
    <col min="19" max="19" width="8.125" style="43" customWidth="1"/>
    <col min="20" max="20" width="10.375" style="43" customWidth="1"/>
    <col min="21" max="21" width="8.125" style="43" customWidth="1"/>
    <col min="22" max="22" width="6.125" style="43" customWidth="1"/>
    <col min="23" max="23" width="5.25" style="45" customWidth="1"/>
    <col min="24" max="25" width="4.625" style="45" customWidth="1"/>
    <col min="26" max="27" width="5.625" style="45" customWidth="1"/>
    <col min="28" max="28" width="10.625" style="44" customWidth="1"/>
    <col min="29" max="29" width="7.75" style="46" customWidth="1"/>
    <col min="30" max="30" width="6.125" style="46" customWidth="1"/>
    <col min="31" max="31" width="6.75" style="46" customWidth="1"/>
    <col min="32" max="32" width="12.625"/>
    <col min="34" max="34" width="10.625"/>
    <col min="35" max="35" width="6.125" style="46" customWidth="1"/>
    <col min="36" max="37" width="10.25" style="46" customWidth="1"/>
    <col min="38" max="38" width="9" style="46"/>
    <col min="39" max="39" width="4.5" style="46" customWidth="1"/>
    <col min="40" max="40" width="3.5" style="46" customWidth="1"/>
    <col min="41" max="41" width="11" style="43" customWidth="1"/>
    <col min="42" max="42" width="5.25" style="46" customWidth="1"/>
    <col min="43" max="43" width="6.25" style="46" customWidth="1"/>
    <col min="44" max="44" width="11" style="46" customWidth="1"/>
    <col min="45" max="51" width="10.25" style="46" customWidth="1"/>
    <col min="52" max="52" width="5" style="46" customWidth="1"/>
    <col min="53" max="53" width="10.25" style="46" customWidth="1"/>
    <col min="54" max="54" width="6.5" style="46" customWidth="1"/>
    <col min="55" max="55" width="6" style="46" customWidth="1"/>
    <col min="56" max="57" width="10.25" style="46" customWidth="1"/>
    <col min="58" max="58" width="3.875" style="43" customWidth="1"/>
    <col min="59" max="59" width="10.625" style="43"/>
    <col min="60" max="69" width="10.25" style="46" customWidth="1"/>
    <col min="70" max="70" width="5.625" style="44" customWidth="1"/>
    <col min="71" max="76" width="5.75" style="44" customWidth="1"/>
    <col min="77" max="77" width="6.125" style="44" customWidth="1"/>
    <col min="78" max="84" width="10.25" style="45" customWidth="1"/>
    <col min="85" max="86" width="4.75" style="45" customWidth="1"/>
    <col min="87" max="88" width="10.25" style="45" customWidth="1"/>
    <col min="89" max="97" width="6.25" style="45" customWidth="1"/>
    <col min="98" max="99" width="6.25" style="43" customWidth="1"/>
    <col min="101" max="101" width="7.75" style="46" customWidth="1"/>
    <col min="102" max="104" width="5.25" style="46" customWidth="1"/>
    <col min="105" max="16384" width="9" style="43"/>
  </cols>
  <sheetData>
    <row r="1" spans="1:153" s="36" customFormat="1" ht="12.75">
      <c r="A1" s="47" t="s">
        <v>638</v>
      </c>
      <c r="B1" s="48" t="s">
        <v>639</v>
      </c>
      <c r="C1" s="48" t="s">
        <v>640</v>
      </c>
      <c r="D1" s="48" t="s">
        <v>641</v>
      </c>
      <c r="E1" s="48" t="s">
        <v>642</v>
      </c>
      <c r="F1" s="47" t="s">
        <v>643</v>
      </c>
      <c r="G1" s="49" t="s">
        <v>256</v>
      </c>
      <c r="H1" s="49" t="s">
        <v>644</v>
      </c>
      <c r="I1" s="49" t="s">
        <v>259</v>
      </c>
      <c r="J1" s="49" t="s">
        <v>645</v>
      </c>
      <c r="K1" s="62" t="s">
        <v>646</v>
      </c>
      <c r="L1" s="62" t="s">
        <v>647</v>
      </c>
      <c r="M1" s="62" t="s">
        <v>648</v>
      </c>
      <c r="N1" s="62" t="s">
        <v>649</v>
      </c>
      <c r="O1" s="62" t="s">
        <v>650</v>
      </c>
      <c r="P1" s="62" t="s">
        <v>651</v>
      </c>
      <c r="Q1" s="70" t="s">
        <v>652</v>
      </c>
      <c r="R1" s="48" t="s">
        <v>653</v>
      </c>
      <c r="S1" s="48" t="s">
        <v>654</v>
      </c>
      <c r="T1" s="48" t="s">
        <v>655</v>
      </c>
      <c r="U1" s="48" t="s">
        <v>656</v>
      </c>
      <c r="V1" s="48" t="s">
        <v>657</v>
      </c>
      <c r="W1" s="62" t="s">
        <v>284</v>
      </c>
      <c r="X1" s="62" t="s">
        <v>282</v>
      </c>
      <c r="Y1" s="62" t="s">
        <v>658</v>
      </c>
      <c r="Z1" s="82" t="s">
        <v>659</v>
      </c>
      <c r="AA1" s="82" t="s">
        <v>660</v>
      </c>
      <c r="AB1" s="49" t="s">
        <v>661</v>
      </c>
      <c r="AC1" s="70" t="s">
        <v>275</v>
      </c>
      <c r="AD1" s="70" t="s">
        <v>662</v>
      </c>
      <c r="AE1" s="70" t="s">
        <v>663</v>
      </c>
      <c r="AF1" s="36" t="s">
        <v>664</v>
      </c>
      <c r="AG1" s="36" t="s">
        <v>665</v>
      </c>
      <c r="AH1" s="36" t="s">
        <v>666</v>
      </c>
      <c r="AI1" s="82" t="s">
        <v>667</v>
      </c>
      <c r="AJ1" s="82" t="s">
        <v>668</v>
      </c>
      <c r="AK1" s="70" t="s">
        <v>669</v>
      </c>
      <c r="AL1" s="70" t="s">
        <v>670</v>
      </c>
      <c r="AM1" s="82" t="s">
        <v>671</v>
      </c>
      <c r="AN1" s="82" t="s">
        <v>672</v>
      </c>
      <c r="AO1" s="48" t="s">
        <v>673</v>
      </c>
      <c r="AP1" s="70" t="s">
        <v>674</v>
      </c>
      <c r="AQ1" s="70" t="s">
        <v>270</v>
      </c>
      <c r="AR1" s="70" t="s">
        <v>675</v>
      </c>
      <c r="AS1" s="70" t="s">
        <v>287</v>
      </c>
      <c r="AT1" s="70" t="s">
        <v>289</v>
      </c>
      <c r="AU1" s="70" t="s">
        <v>291</v>
      </c>
      <c r="AV1" s="70" t="s">
        <v>84</v>
      </c>
      <c r="AW1" s="70" t="s">
        <v>294</v>
      </c>
      <c r="AX1" s="70" t="s">
        <v>296</v>
      </c>
      <c r="AY1" s="70" t="s">
        <v>298</v>
      </c>
      <c r="AZ1" s="70" t="s">
        <v>676</v>
      </c>
      <c r="BA1" s="70" t="s">
        <v>677</v>
      </c>
      <c r="BB1" s="48" t="s">
        <v>678</v>
      </c>
      <c r="BC1" s="70" t="s">
        <v>679</v>
      </c>
      <c r="BD1" s="70" t="s">
        <v>680</v>
      </c>
      <c r="BE1" s="70" t="s">
        <v>681</v>
      </c>
      <c r="BF1" s="48" t="s">
        <v>682</v>
      </c>
      <c r="BG1" s="48" t="s">
        <v>683</v>
      </c>
      <c r="BH1" s="70"/>
      <c r="BI1" s="70"/>
      <c r="BJ1" s="70"/>
      <c r="BK1" s="70"/>
      <c r="BL1" s="70"/>
      <c r="BM1" s="70"/>
      <c r="BN1" s="70"/>
      <c r="BO1" s="70"/>
      <c r="BP1" s="70"/>
      <c r="BQ1" s="70"/>
      <c r="BR1" s="49" t="s">
        <v>684</v>
      </c>
      <c r="BS1" s="49" t="s">
        <v>685</v>
      </c>
      <c r="BT1" s="49" t="s">
        <v>686</v>
      </c>
      <c r="BU1" s="49" t="s">
        <v>687</v>
      </c>
      <c r="BV1" s="49" t="s">
        <v>688</v>
      </c>
      <c r="BW1" s="49" t="s">
        <v>689</v>
      </c>
      <c r="BX1" s="49" t="s">
        <v>690</v>
      </c>
      <c r="BY1" s="49" t="s">
        <v>691</v>
      </c>
      <c r="BZ1" s="62" t="s">
        <v>692</v>
      </c>
      <c r="CA1" s="62" t="s">
        <v>693</v>
      </c>
      <c r="CB1" s="62" t="s">
        <v>694</v>
      </c>
      <c r="CC1" s="62" t="s">
        <v>695</v>
      </c>
      <c r="CD1" s="62" t="s">
        <v>696</v>
      </c>
      <c r="CE1" s="62" t="s">
        <v>697</v>
      </c>
      <c r="CF1" s="62" t="s">
        <v>698</v>
      </c>
      <c r="CG1" s="62" t="s">
        <v>699</v>
      </c>
      <c r="CH1" s="62" t="s">
        <v>700</v>
      </c>
      <c r="CI1" s="62" t="s">
        <v>701</v>
      </c>
      <c r="CJ1" s="62" t="s">
        <v>702</v>
      </c>
      <c r="CK1" s="62" t="s">
        <v>703</v>
      </c>
      <c r="CL1" s="62" t="s">
        <v>704</v>
      </c>
      <c r="CM1" s="62" t="s">
        <v>705</v>
      </c>
      <c r="CN1" s="62" t="s">
        <v>706</v>
      </c>
      <c r="CO1" s="62" t="s">
        <v>707</v>
      </c>
      <c r="CP1" s="62" t="s">
        <v>708</v>
      </c>
      <c r="CQ1" s="62" t="s">
        <v>709</v>
      </c>
      <c r="CR1" s="62" t="s">
        <v>710</v>
      </c>
      <c r="CS1" s="62" t="s">
        <v>711</v>
      </c>
      <c r="CT1" s="48" t="s">
        <v>712</v>
      </c>
      <c r="CU1" s="48" t="s">
        <v>713</v>
      </c>
      <c r="CW1" s="70" t="s">
        <v>714</v>
      </c>
      <c r="CX1" s="70" t="s">
        <v>715</v>
      </c>
      <c r="CY1" s="82" t="s">
        <v>716</v>
      </c>
      <c r="CZ1" s="82" t="s">
        <v>272</v>
      </c>
    </row>
    <row r="2" spans="1:153">
      <c r="A2" s="37"/>
      <c r="B2" s="37" t="s">
        <v>717</v>
      </c>
      <c r="C2" s="37" t="s">
        <v>718</v>
      </c>
      <c r="D2" s="37" t="s">
        <v>719</v>
      </c>
      <c r="E2" s="37" t="s">
        <v>720</v>
      </c>
      <c r="F2" s="37">
        <v>1976</v>
      </c>
      <c r="G2" s="53">
        <f>100/3.2808</f>
        <v>30.480370641306997</v>
      </c>
      <c r="H2" s="58">
        <f>94.9/3.2808</f>
        <v>28.925871738600343</v>
      </c>
      <c r="I2" s="53"/>
      <c r="J2" s="66">
        <f>IF(I2="",H2,I2)</f>
        <v>28.925871738600343</v>
      </c>
      <c r="K2" s="53">
        <f>14/3.2808</f>
        <v>4.2672518897829796</v>
      </c>
      <c r="L2" s="53">
        <v>5.6</v>
      </c>
      <c r="M2" s="66">
        <f>IF(L2="",K2,L2)</f>
        <v>5.6</v>
      </c>
      <c r="N2" s="58">
        <f>8.37/3.2808</f>
        <v>2.5512070226773953</v>
      </c>
      <c r="O2" s="58">
        <v>1.175</v>
      </c>
      <c r="P2" s="53">
        <f>N2-O2</f>
        <v>1.3762070226773953</v>
      </c>
      <c r="Q2" s="55">
        <v>73.2</v>
      </c>
      <c r="R2" s="73"/>
      <c r="S2" s="73"/>
      <c r="T2" s="73"/>
      <c r="U2" s="73"/>
      <c r="V2" s="73"/>
      <c r="W2" s="53">
        <f>J2/N2</f>
        <v>11.338112305854244</v>
      </c>
      <c r="X2" s="53">
        <f>J2/M2</f>
        <v>5.1653342390357757</v>
      </c>
      <c r="Y2" s="53">
        <f>M2/O2</f>
        <v>4.7659574468085104</v>
      </c>
      <c r="Z2" s="53">
        <f>H2/O2</f>
        <v>24.617763181787524</v>
      </c>
      <c r="AA2" s="73">
        <f>P2/J2</f>
        <v>4.7577028451001036E-2</v>
      </c>
      <c r="AB2" s="55">
        <f>(Q2*2204.6/2240)/(0.01*J2*3.2808)^3</f>
        <v>84.293527505338233</v>
      </c>
      <c r="AC2" s="74">
        <f t="shared" ref="AC2:AC15" si="0">J2*M2*N2</f>
        <v>413.25696785286357</v>
      </c>
      <c r="AD2" s="74">
        <f t="shared" ref="AD2:AD15" si="1">J2*(M2+N2)</f>
        <v>235.7807688527447</v>
      </c>
      <c r="AE2" s="74">
        <f>J2*(M2+2*N2)</f>
        <v>309.57665596932748</v>
      </c>
      <c r="AF2" s="243">
        <f>11720/3.2808^3</f>
        <v>331.88554909584821</v>
      </c>
      <c r="AI2" s="84"/>
      <c r="AJ2" s="80"/>
      <c r="AK2" s="74">
        <f>(1800*3+185*2)*0.7457</f>
        <v>4302.6890000000003</v>
      </c>
      <c r="AL2" s="74">
        <f>AK2^0.5</f>
        <v>65.594885471353635</v>
      </c>
      <c r="AM2" s="74">
        <v>43.5</v>
      </c>
      <c r="AN2" s="74">
        <v>9</v>
      </c>
      <c r="AO2" s="37" t="s">
        <v>721</v>
      </c>
      <c r="AP2" s="74">
        <v>60</v>
      </c>
      <c r="AQ2" s="74">
        <v>11</v>
      </c>
      <c r="AR2" s="74">
        <f>AQ2*AC2</f>
        <v>4545.8266463814989</v>
      </c>
      <c r="AS2" s="74">
        <v>17.3</v>
      </c>
      <c r="AT2" s="74">
        <v>12.3</v>
      </c>
      <c r="AU2" s="74">
        <v>4.7</v>
      </c>
      <c r="AV2" s="74"/>
      <c r="AW2" s="74">
        <v>4.2</v>
      </c>
      <c r="AX2" s="74">
        <v>3.9</v>
      </c>
      <c r="AY2" s="84"/>
      <c r="AZ2" s="74">
        <f>SUM(AS2:AY2)</f>
        <v>42.400000000000006</v>
      </c>
      <c r="BA2" s="84"/>
      <c r="BB2" s="74">
        <f>SUM(AZ2:BA2)</f>
        <v>42.400000000000006</v>
      </c>
      <c r="BC2" s="84"/>
      <c r="BD2" s="84"/>
      <c r="BE2" s="74">
        <f>SUM(BB2:BD2)</f>
        <v>42.400000000000006</v>
      </c>
      <c r="BF2" s="37"/>
      <c r="BG2" s="37"/>
      <c r="BH2" s="74"/>
      <c r="BI2" s="74"/>
      <c r="BJ2" s="74"/>
      <c r="BK2" s="74"/>
      <c r="BL2" s="74"/>
      <c r="BM2" s="74"/>
      <c r="BN2" s="74"/>
      <c r="BO2" s="74"/>
      <c r="BP2" s="74"/>
      <c r="BQ2" s="74"/>
      <c r="BR2" s="55">
        <f t="shared" ref="BR2:BX2" si="2">AS2/$BB2*100</f>
        <v>40.801886792452827</v>
      </c>
      <c r="BS2" s="55">
        <f t="shared" si="2"/>
        <v>29.009433962264147</v>
      </c>
      <c r="BT2" s="55">
        <f t="shared" si="2"/>
        <v>11.084905660377357</v>
      </c>
      <c r="BU2" s="55">
        <f t="shared" si="2"/>
        <v>0</v>
      </c>
      <c r="BV2" s="55">
        <f t="shared" si="2"/>
        <v>9.9056603773584904</v>
      </c>
      <c r="BW2" s="55">
        <f t="shared" si="2"/>
        <v>9.1981132075471681</v>
      </c>
      <c r="BX2" s="55">
        <f t="shared" si="2"/>
        <v>0</v>
      </c>
      <c r="BY2" s="55">
        <f>BA2/$BB2*100</f>
        <v>0</v>
      </c>
      <c r="BZ2" s="37"/>
      <c r="CA2" s="37"/>
      <c r="CB2" s="37"/>
      <c r="CC2" s="37"/>
      <c r="CD2" s="37"/>
      <c r="CE2" s="37"/>
      <c r="CF2" s="37"/>
      <c r="CG2" s="37"/>
      <c r="CH2" s="37"/>
      <c r="CI2" s="37"/>
      <c r="CJ2" s="37"/>
      <c r="CK2" s="37"/>
      <c r="CL2" s="37"/>
      <c r="CM2" s="37"/>
      <c r="CN2" s="37"/>
      <c r="CO2" s="37"/>
      <c r="CP2" s="37"/>
      <c r="CQ2" s="37"/>
      <c r="CR2" s="37"/>
      <c r="CS2" s="37"/>
      <c r="CT2" s="37"/>
      <c r="CU2" s="37"/>
      <c r="CW2" s="37"/>
      <c r="CX2" s="74"/>
      <c r="CY2" s="74"/>
      <c r="CZ2" s="74"/>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row>
    <row r="3" spans="1:153">
      <c r="A3" s="37" t="s">
        <v>722</v>
      </c>
      <c r="B3" s="37"/>
      <c r="C3" s="37" t="s">
        <v>718</v>
      </c>
      <c r="D3" s="37" t="s">
        <v>723</v>
      </c>
      <c r="E3" s="37" t="s">
        <v>720</v>
      </c>
      <c r="F3" s="37"/>
      <c r="G3" s="53">
        <v>50.15</v>
      </c>
      <c r="H3" s="53">
        <v>47.27</v>
      </c>
      <c r="I3" s="53"/>
      <c r="J3" s="44">
        <f>IF(I3="",H3,I3)</f>
        <v>47.27</v>
      </c>
      <c r="K3" s="53">
        <v>6.9088840120295902</v>
      </c>
      <c r="L3" s="53">
        <v>7.2771884906120503</v>
      </c>
      <c r="M3" s="44">
        <f t="shared" ref="M3:M15" si="3">IF(L3="",K3,L3)</f>
        <v>7.2771884906120503</v>
      </c>
      <c r="N3" s="53">
        <v>4.1402503454442003</v>
      </c>
      <c r="O3" s="53">
        <v>1.5240185320653501</v>
      </c>
      <c r="P3" s="53">
        <f>N3-O3</f>
        <v>2.6162318133788505</v>
      </c>
      <c r="Q3" s="55">
        <f>BE3</f>
        <v>320.6771296380295</v>
      </c>
      <c r="R3" s="37"/>
      <c r="S3" s="37"/>
      <c r="T3" s="37"/>
      <c r="U3" s="37"/>
      <c r="V3" s="37"/>
      <c r="W3" s="53">
        <f t="shared" ref="W3:W34" si="4">J3/N3</f>
        <v>11.417184000000001</v>
      </c>
      <c r="X3" s="53">
        <f t="shared" ref="X3:X34" si="5">J3/M3</f>
        <v>6.4956404607329805</v>
      </c>
      <c r="Y3" s="53">
        <f t="shared" ref="Y3:Y34" si="6">M3/O3</f>
        <v>4.7750000000000021</v>
      </c>
      <c r="Z3" s="53">
        <f>H3/O3</f>
        <v>31.016683199999999</v>
      </c>
      <c r="AA3" s="73">
        <f t="shared" ref="AA3:AA59" si="7">P3/J3</f>
        <v>5.5346558353688395E-2</v>
      </c>
      <c r="AB3" s="55">
        <f>(Q3*2204.6/2240)/(0.01*J3*3.2808)^3</f>
        <v>84.61623482581912</v>
      </c>
      <c r="AC3" s="74">
        <f t="shared" si="0"/>
        <v>1424.21589480337</v>
      </c>
      <c r="AD3" s="74">
        <f t="shared" si="1"/>
        <v>539.70233378037904</v>
      </c>
      <c r="AE3" s="74">
        <f>J3*(M3+2*N3)</f>
        <v>735.4119676095263</v>
      </c>
      <c r="AF3" s="243">
        <f>43656/3.2808^3</f>
        <v>1236.2453525024189</v>
      </c>
      <c r="AI3" s="84"/>
      <c r="AJ3" s="84"/>
      <c r="AK3" s="74">
        <f>(12500+820*2)*0.7457</f>
        <v>10544.198</v>
      </c>
      <c r="AL3" s="74">
        <f>AK3^0.5</f>
        <v>102.68494534253792</v>
      </c>
      <c r="AM3" s="74">
        <v>37</v>
      </c>
      <c r="AN3" s="74">
        <v>16</v>
      </c>
      <c r="AO3" s="37" t="s">
        <v>721</v>
      </c>
      <c r="AP3" s="74">
        <v>200</v>
      </c>
      <c r="AQ3" s="74">
        <v>21</v>
      </c>
      <c r="AR3" s="74">
        <f>AQ3*AC3</f>
        <v>29908.53379087077</v>
      </c>
      <c r="AS3" s="74">
        <v>70.107956091808006</v>
      </c>
      <c r="AT3" s="74">
        <v>53.851038737185903</v>
      </c>
      <c r="AU3" s="74">
        <v>10.160573346638801</v>
      </c>
      <c r="AV3" s="74">
        <v>12.192688015966599</v>
      </c>
      <c r="AW3" s="74">
        <v>24.385376031933198</v>
      </c>
      <c r="AX3" s="74">
        <v>24.385376031933198</v>
      </c>
      <c r="AY3" s="74">
        <v>16.2569173546222</v>
      </c>
      <c r="AZ3" s="74">
        <f t="shared" ref="AZ3:AZ15" si="8">SUM(AS3:AY3)</f>
        <v>211.3399256100879</v>
      </c>
      <c r="BA3" s="74">
        <v>21.337204027941599</v>
      </c>
      <c r="BB3" s="74">
        <f t="shared" ref="BB3:BB15" si="9">SUM(AZ3:BA3)</f>
        <v>232.6771296380295</v>
      </c>
      <c r="BC3" s="84"/>
      <c r="BD3" s="74">
        <v>88</v>
      </c>
      <c r="BE3" s="74">
        <f t="shared" ref="BE3:BE10" si="10">SUM(BB3:BD3)</f>
        <v>320.6771296380295</v>
      </c>
      <c r="BF3" s="40"/>
      <c r="BG3" s="40"/>
      <c r="BH3" s="74"/>
      <c r="BI3" s="74"/>
      <c r="BJ3" s="74"/>
      <c r="BK3" s="74"/>
      <c r="BL3" s="74"/>
      <c r="BM3" s="74"/>
      <c r="BN3" s="74"/>
      <c r="BO3" s="74"/>
      <c r="BP3" s="74"/>
      <c r="BQ3" s="74"/>
      <c r="BR3" s="55">
        <f t="shared" ref="BR3:BX3" si="11">AS3/$BB3*100</f>
        <v>30.131004366812224</v>
      </c>
      <c r="BS3" s="55">
        <f t="shared" si="11"/>
        <v>23.144104803493466</v>
      </c>
      <c r="BT3" s="55">
        <f t="shared" si="11"/>
        <v>4.3668122270742176</v>
      </c>
      <c r="BU3" s="55">
        <f t="shared" si="11"/>
        <v>5.2401746724890774</v>
      </c>
      <c r="BV3" s="55">
        <f t="shared" si="11"/>
        <v>10.480349344978155</v>
      </c>
      <c r="BW3" s="55">
        <f t="shared" si="11"/>
        <v>10.480349344978155</v>
      </c>
      <c r="BX3" s="55">
        <f t="shared" si="11"/>
        <v>6.9868995633187989</v>
      </c>
      <c r="BY3" s="55">
        <f>BA3/$BB3*100</f>
        <v>9.170305676855909</v>
      </c>
      <c r="BZ3" s="37"/>
      <c r="CA3" s="40"/>
      <c r="CB3" s="40"/>
      <c r="CC3" s="40"/>
      <c r="CD3" s="40"/>
      <c r="CE3" s="40"/>
      <c r="CF3" s="40"/>
      <c r="CG3" s="40"/>
      <c r="CH3" s="40"/>
      <c r="CI3" s="40"/>
      <c r="CJ3" s="40"/>
      <c r="CK3" s="40"/>
      <c r="CL3" s="40"/>
      <c r="CM3" s="40"/>
      <c r="CN3" s="40"/>
      <c r="CO3" s="40"/>
      <c r="CP3" s="40"/>
      <c r="CQ3" s="40"/>
      <c r="CR3" s="40"/>
      <c r="CS3" s="40"/>
      <c r="CT3" s="40"/>
      <c r="CU3" s="40"/>
      <c r="CW3" s="40"/>
      <c r="CX3" s="74"/>
      <c r="CY3" s="74"/>
      <c r="CZ3" s="74"/>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row>
    <row r="4" spans="1:153" s="37" customFormat="1" ht="12.75">
      <c r="A4" s="37" t="s">
        <v>724</v>
      </c>
      <c r="C4" s="37" t="s">
        <v>725</v>
      </c>
      <c r="D4" s="37" t="s">
        <v>726</v>
      </c>
      <c r="E4" s="37" t="s">
        <v>727</v>
      </c>
      <c r="F4" s="37">
        <v>1973</v>
      </c>
      <c r="G4" s="53"/>
      <c r="H4" s="53">
        <v>48.768593026091203</v>
      </c>
      <c r="I4" s="53"/>
      <c r="J4" s="44">
        <f>IF(I4="",H4,I4)</f>
        <v>48.768593026091203</v>
      </c>
      <c r="K4" s="53">
        <v>7.6200926603267503</v>
      </c>
      <c r="L4" s="53">
        <v>7.6200926603267503</v>
      </c>
      <c r="M4" s="44">
        <f t="shared" si="3"/>
        <v>7.6200926603267503</v>
      </c>
      <c r="N4" s="53">
        <v>4.8768593026091196</v>
      </c>
      <c r="O4" s="53">
        <v>2.22252702592864</v>
      </c>
      <c r="P4" s="53">
        <f>N4-O4</f>
        <v>2.6543322766804796</v>
      </c>
      <c r="Q4" s="55">
        <f>BE4</f>
        <v>430.18651909643518</v>
      </c>
      <c r="W4" s="53">
        <f t="shared" si="4"/>
        <v>10.000000000000002</v>
      </c>
      <c r="X4" s="53">
        <f t="shared" si="5"/>
        <v>6.4</v>
      </c>
      <c r="Y4" s="53">
        <f t="shared" si="6"/>
        <v>3.4285714285714217</v>
      </c>
      <c r="Z4" s="53">
        <f>H4/O4</f>
        <v>21.942857142857097</v>
      </c>
      <c r="AA4" s="73">
        <f t="shared" si="7"/>
        <v>5.442708333333323E-2</v>
      </c>
      <c r="AB4" s="55">
        <f t="shared" ref="AB4:AB51" si="12">(Q4*2204.6/2240)/(0.01*J4*3.2808)^3</f>
        <v>103.3662196568081</v>
      </c>
      <c r="AC4" s="74">
        <f t="shared" si="0"/>
        <v>1812.3442954039499</v>
      </c>
      <c r="AD4" s="74">
        <f t="shared" si="1"/>
        <v>609.45876434703109</v>
      </c>
      <c r="AE4" s="74">
        <f>J4*(M4+2*N4)</f>
        <v>847.29633092148219</v>
      </c>
      <c r="AI4" s="74">
        <v>2</v>
      </c>
      <c r="AJ4" s="74">
        <f>AK4/AI4</f>
        <v>5726.9760000000006</v>
      </c>
      <c r="AK4" s="74">
        <f>15360*0.7457</f>
        <v>11453.952000000001</v>
      </c>
      <c r="AL4" s="74">
        <f>AK4^0.5</f>
        <v>107.02313768526879</v>
      </c>
      <c r="AM4" s="74">
        <v>31</v>
      </c>
      <c r="AN4" s="74">
        <v>14</v>
      </c>
      <c r="AO4" s="37" t="s">
        <v>728</v>
      </c>
      <c r="AP4" s="84"/>
      <c r="AQ4" s="84"/>
      <c r="AR4" s="84"/>
      <c r="AS4" s="74">
        <v>74.1721854304636</v>
      </c>
      <c r="AT4" s="74">
        <v>127.007166832986</v>
      </c>
      <c r="AU4" s="74">
        <v>13.208745350630499</v>
      </c>
      <c r="AV4" s="74">
        <v>11.176630681302701</v>
      </c>
      <c r="AW4" s="74">
        <v>27.4335480359249</v>
      </c>
      <c r="AX4" s="74">
        <v>26.417490701260999</v>
      </c>
      <c r="AY4" s="74">
        <v>13.208745350630499</v>
      </c>
      <c r="AZ4" s="74">
        <f t="shared" si="8"/>
        <v>292.6245123831992</v>
      </c>
      <c r="BA4" s="74">
        <v>35.562006713236002</v>
      </c>
      <c r="BB4" s="74">
        <f t="shared" si="9"/>
        <v>328.18651909643518</v>
      </c>
      <c r="BC4" s="84"/>
      <c r="BD4" s="74">
        <v>102</v>
      </c>
      <c r="BE4" s="74">
        <f t="shared" si="10"/>
        <v>430.18651909643518</v>
      </c>
      <c r="BH4" s="74"/>
      <c r="BI4" s="74"/>
      <c r="BJ4" s="74"/>
      <c r="BK4" s="74"/>
      <c r="BL4" s="74"/>
      <c r="BM4" s="74"/>
      <c r="BN4" s="74"/>
      <c r="BO4" s="74"/>
      <c r="BP4" s="74"/>
      <c r="BQ4" s="74"/>
      <c r="BR4" s="55">
        <f t="shared" ref="BR4:BX4" si="13">AS4/$BB4*100</f>
        <v>22.600619195046416</v>
      </c>
      <c r="BS4" s="55">
        <f t="shared" si="13"/>
        <v>38.699690402476854</v>
      </c>
      <c r="BT4" s="55">
        <f t="shared" si="13"/>
        <v>4.0247678018575792</v>
      </c>
      <c r="BU4" s="55">
        <f t="shared" si="13"/>
        <v>3.4055727554179427</v>
      </c>
      <c r="BV4" s="55">
        <f t="shared" si="13"/>
        <v>8.359133126934978</v>
      </c>
      <c r="BW4" s="55">
        <f t="shared" si="13"/>
        <v>8.0495356037151584</v>
      </c>
      <c r="BX4" s="55">
        <f t="shared" si="13"/>
        <v>4.0247678018575792</v>
      </c>
      <c r="BY4" s="55">
        <f>BA4/$BB4*100</f>
        <v>10.835913312693496</v>
      </c>
      <c r="CX4" s="74"/>
      <c r="CY4" s="74"/>
      <c r="CZ4" s="74"/>
    </row>
    <row r="5" spans="1:153" s="37" customFormat="1">
      <c r="A5" s="42" t="s">
        <v>729</v>
      </c>
      <c r="B5" s="43" t="s">
        <v>729</v>
      </c>
      <c r="C5" s="43" t="s">
        <v>730</v>
      </c>
      <c r="D5" s="43" t="s">
        <v>731</v>
      </c>
      <c r="E5" s="43" t="s">
        <v>732</v>
      </c>
      <c r="F5" s="51"/>
      <c r="G5" s="44">
        <v>56.083881980004897</v>
      </c>
      <c r="H5" s="40"/>
      <c r="I5" s="44">
        <v>49.987807851743497</v>
      </c>
      <c r="J5" s="44">
        <f>IF(I5="",H5,I5)</f>
        <v>49.987807851743497</v>
      </c>
      <c r="K5" s="44">
        <v>8.7478663740551106</v>
      </c>
      <c r="L5" s="59"/>
      <c r="M5" s="44">
        <f t="shared" si="3"/>
        <v>8.7478663740551106</v>
      </c>
      <c r="N5" s="64">
        <v>4.9784605380801397</v>
      </c>
      <c r="O5" s="44">
        <v>2.1945866861740999</v>
      </c>
      <c r="P5" s="53">
        <f>N5-O5</f>
        <v>2.7838738519060398</v>
      </c>
      <c r="Q5" s="46">
        <v>456.20974326408401</v>
      </c>
      <c r="R5" s="71">
        <v>0.45500000000000002</v>
      </c>
      <c r="S5" s="71">
        <v>0.78500000000000003</v>
      </c>
      <c r="T5" s="71">
        <v>0.57999999999999996</v>
      </c>
      <c r="U5" s="71"/>
      <c r="V5" s="43">
        <v>0.06</v>
      </c>
      <c r="W5" s="53">
        <f t="shared" si="4"/>
        <v>10.040816326530623</v>
      </c>
      <c r="X5" s="53">
        <f t="shared" si="5"/>
        <v>5.7142857142857153</v>
      </c>
      <c r="Y5" s="53">
        <f t="shared" si="6"/>
        <v>3.9861111111111192</v>
      </c>
      <c r="Z5" s="45">
        <f>I5/O5</f>
        <v>22.777777777777828</v>
      </c>
      <c r="AA5" s="73">
        <f t="shared" si="7"/>
        <v>5.5691056910569095E-2</v>
      </c>
      <c r="AB5" s="55">
        <f t="shared" si="12"/>
        <v>101.79226940990388</v>
      </c>
      <c r="AC5" s="74">
        <f t="shared" si="0"/>
        <v>2177.0143976601985</v>
      </c>
      <c r="AD5" s="74">
        <f t="shared" si="1"/>
        <v>686.14899219403253</v>
      </c>
      <c r="AE5" s="74">
        <f>J5*(M5+2*N5)</f>
        <v>935.0113209690702</v>
      </c>
      <c r="AI5" s="84"/>
      <c r="AJ5" s="84"/>
      <c r="AK5" s="46">
        <f>35500*0.7457</f>
        <v>26472.350000000002</v>
      </c>
      <c r="AL5" s="46">
        <f>AK5^0.5</f>
        <v>162.70325749658488</v>
      </c>
      <c r="AM5" s="76">
        <v>41</v>
      </c>
      <c r="AN5" s="40"/>
      <c r="AO5" s="43" t="s">
        <v>733</v>
      </c>
      <c r="AP5" s="84"/>
      <c r="AQ5" s="46">
        <v>41</v>
      </c>
      <c r="AR5" s="46">
        <f>AQ5*AC5</f>
        <v>89257.590304068144</v>
      </c>
      <c r="AS5" s="46">
        <v>118.878708155675</v>
      </c>
      <c r="AT5" s="46">
        <v>57.915268075841396</v>
      </c>
      <c r="AU5" s="46">
        <v>31.497777374580401</v>
      </c>
      <c r="AV5" s="46">
        <v>16.2569173546222</v>
      </c>
      <c r="AW5" s="46">
        <v>50.8028667331942</v>
      </c>
      <c r="AX5" s="46">
        <v>41.6583507212193</v>
      </c>
      <c r="AY5" s="46">
        <v>31.497777374580401</v>
      </c>
      <c r="AZ5" s="46">
        <f t="shared" si="8"/>
        <v>348.50766578971286</v>
      </c>
      <c r="BA5" s="46">
        <v>0</v>
      </c>
      <c r="BB5" s="46">
        <f t="shared" si="9"/>
        <v>348.50766578971286</v>
      </c>
      <c r="BC5" s="84"/>
      <c r="BD5" s="46">
        <v>107.702077474372</v>
      </c>
      <c r="BE5" s="46">
        <f t="shared" si="10"/>
        <v>456.20974326408486</v>
      </c>
      <c r="BF5" s="43">
        <f>AM5/SQRT(J5*3.2808)</f>
        <v>3.2015621187164234</v>
      </c>
      <c r="BG5" s="43">
        <f>BF5*1.6878/SQRT(32.174)</f>
        <v>0.95264345161588759</v>
      </c>
      <c r="BH5" s="46"/>
      <c r="BI5" s="46"/>
      <c r="BJ5" s="46"/>
      <c r="BK5" s="46"/>
      <c r="BL5" s="46"/>
      <c r="BM5" s="46"/>
      <c r="BN5" s="46"/>
      <c r="BO5" s="46"/>
      <c r="BP5" s="46"/>
      <c r="BQ5" s="46"/>
      <c r="BR5" s="44">
        <v>34.110787172011698</v>
      </c>
      <c r="BS5" s="44">
        <v>16.618075801749299</v>
      </c>
      <c r="BT5" s="44">
        <v>9.0379008746355698</v>
      </c>
      <c r="BU5" s="44">
        <v>4.6647230320699702</v>
      </c>
      <c r="BV5" s="44">
        <v>14.5772594752187</v>
      </c>
      <c r="BW5" s="44">
        <v>11.9533527696793</v>
      </c>
      <c r="BX5" s="44">
        <v>9.0379008746355698</v>
      </c>
      <c r="BY5" s="43">
        <v>0</v>
      </c>
      <c r="BZ5" s="43"/>
      <c r="CA5" s="43"/>
      <c r="CB5" s="43"/>
      <c r="CC5" s="43"/>
      <c r="CD5" s="43"/>
      <c r="CE5" s="43"/>
      <c r="CF5" s="46"/>
      <c r="CG5" s="46"/>
      <c r="CH5" s="46"/>
      <c r="CI5" s="46"/>
      <c r="CJ5" s="46"/>
      <c r="CK5" s="40"/>
      <c r="CL5" s="40"/>
      <c r="CM5" s="40"/>
      <c r="CN5" s="40"/>
      <c r="CO5" s="40"/>
      <c r="CP5" s="42"/>
      <c r="CQ5" s="40"/>
      <c r="CR5" s="40"/>
      <c r="CS5" s="43"/>
      <c r="CT5" s="42"/>
      <c r="CU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row>
    <row r="6" spans="1:153" s="37" customFormat="1" ht="12.75">
      <c r="A6" s="37" t="s">
        <v>734</v>
      </c>
      <c r="C6" s="37" t="s">
        <v>718</v>
      </c>
      <c r="D6" s="37" t="s">
        <v>735</v>
      </c>
      <c r="E6" s="37" t="s">
        <v>720</v>
      </c>
      <c r="G6" s="53">
        <f>164.6/3.2808</f>
        <v>50.170690075591317</v>
      </c>
      <c r="H6" s="59"/>
      <c r="I6" s="59"/>
      <c r="J6" s="44">
        <f>G6</f>
        <v>50.170690075591317</v>
      </c>
      <c r="K6" s="59"/>
      <c r="L6" s="53">
        <f>24/3.2808</f>
        <v>7.3152889539136794</v>
      </c>
      <c r="M6" s="44">
        <f t="shared" si="3"/>
        <v>7.3152889539136794</v>
      </c>
      <c r="N6" s="59"/>
      <c r="O6" s="53">
        <f>9.5/3.2808</f>
        <v>2.8956352109241648</v>
      </c>
      <c r="P6" s="59"/>
      <c r="Q6" s="55">
        <f>BE6</f>
        <v>277.46838428739898</v>
      </c>
      <c r="W6" s="59"/>
      <c r="X6" s="53">
        <f t="shared" si="5"/>
        <v>6.8583333333333334</v>
      </c>
      <c r="Y6" s="53">
        <f t="shared" si="6"/>
        <v>2.5263157894736841</v>
      </c>
      <c r="Z6" s="59"/>
      <c r="AA6" s="73"/>
      <c r="AB6" s="55">
        <f t="shared" si="12"/>
        <v>61.2358566005027</v>
      </c>
      <c r="AC6" s="84"/>
      <c r="AD6" s="84"/>
      <c r="AE6" s="74">
        <f t="shared" ref="AE6:AE15" si="14">J6*(M6+2*N6)</f>
        <v>367.01309492019982</v>
      </c>
      <c r="AI6" s="84"/>
      <c r="AJ6" s="84"/>
      <c r="AK6" s="84"/>
      <c r="AL6" s="84"/>
      <c r="AM6" s="84"/>
      <c r="AN6" s="84"/>
      <c r="AO6" s="95"/>
      <c r="AP6" s="84"/>
      <c r="AQ6" s="84"/>
      <c r="AR6" s="84"/>
      <c r="AS6" s="74">
        <v>67.059784087816396</v>
      </c>
      <c r="AT6" s="74">
        <v>47.754694729202598</v>
      </c>
      <c r="AU6" s="74">
        <v>12.192688015966599</v>
      </c>
      <c r="AV6" s="74">
        <v>10.160573346638801</v>
      </c>
      <c r="AW6" s="74">
        <v>25.4014333665971</v>
      </c>
      <c r="AX6" s="74">
        <v>23.3693186972693</v>
      </c>
      <c r="AY6" s="74">
        <v>19.305089358613799</v>
      </c>
      <c r="AZ6" s="74">
        <f t="shared" si="8"/>
        <v>205.2435816021046</v>
      </c>
      <c r="BA6" s="74">
        <v>5.0802866733194199</v>
      </c>
      <c r="BB6" s="74">
        <f t="shared" si="9"/>
        <v>210.32386827542402</v>
      </c>
      <c r="BC6" s="74">
        <v>9.1445160119749591</v>
      </c>
      <c r="BD6" s="74">
        <v>58</v>
      </c>
      <c r="BE6" s="74">
        <f t="shared" si="10"/>
        <v>277.46838428739898</v>
      </c>
      <c r="BH6" s="74"/>
      <c r="BI6" s="74"/>
      <c r="BJ6" s="74"/>
      <c r="BK6" s="74"/>
      <c r="BL6" s="74"/>
      <c r="BM6" s="74"/>
      <c r="BN6" s="74"/>
      <c r="BO6" s="74"/>
      <c r="BP6" s="74"/>
      <c r="BQ6" s="74"/>
      <c r="BR6" s="55">
        <f t="shared" ref="BR6:BX6" si="15">AS6/$BB6*100</f>
        <v>31.884057971014514</v>
      </c>
      <c r="BS6" s="55">
        <f t="shared" si="15"/>
        <v>22.705314009661855</v>
      </c>
      <c r="BT6" s="55">
        <f t="shared" si="15"/>
        <v>5.7971014492753579</v>
      </c>
      <c r="BU6" s="55">
        <f t="shared" si="15"/>
        <v>4.8309178743961159</v>
      </c>
      <c r="BV6" s="55">
        <f t="shared" si="15"/>
        <v>12.077294685990337</v>
      </c>
      <c r="BW6" s="55">
        <f t="shared" si="15"/>
        <v>11.111111111111093</v>
      </c>
      <c r="BX6" s="55">
        <f t="shared" si="15"/>
        <v>9.1787439613526569</v>
      </c>
      <c r="BY6" s="55">
        <f>BA6/$BB6*100</f>
        <v>2.4154589371980673</v>
      </c>
      <c r="CX6" s="74"/>
      <c r="CY6" s="74"/>
      <c r="CZ6" s="74"/>
    </row>
    <row r="7" spans="1:153" s="37" customFormat="1" ht="12.75">
      <c r="A7" s="37" t="s">
        <v>736</v>
      </c>
      <c r="D7" s="37" t="s">
        <v>737</v>
      </c>
      <c r="E7" s="37" t="s">
        <v>727</v>
      </c>
      <c r="F7" s="37">
        <v>1973</v>
      </c>
      <c r="G7" s="53"/>
      <c r="H7" s="53">
        <v>51.816630090221899</v>
      </c>
      <c r="I7" s="53"/>
      <c r="J7" s="44">
        <f t="shared" ref="J7:J15" si="16">IF(I7="",H7,I7)</f>
        <v>51.816630090221899</v>
      </c>
      <c r="K7" s="53">
        <v>7.7724945135332799</v>
      </c>
      <c r="L7" s="53">
        <v>7.7724945135332799</v>
      </c>
      <c r="M7" s="44">
        <f t="shared" si="3"/>
        <v>7.7724945135332799</v>
      </c>
      <c r="N7" s="53">
        <v>4.8768593026091196</v>
      </c>
      <c r="O7" s="53">
        <v>2.22252702592864</v>
      </c>
      <c r="P7" s="53">
        <f>N7-O7</f>
        <v>2.6543322766804796</v>
      </c>
      <c r="Q7" s="55">
        <f>BE7</f>
        <v>441.33103510841022</v>
      </c>
      <c r="W7" s="53">
        <f t="shared" si="4"/>
        <v>10.625</v>
      </c>
      <c r="X7" s="53">
        <f t="shared" si="5"/>
        <v>6.6666666666666705</v>
      </c>
      <c r="Y7" s="53">
        <f t="shared" si="6"/>
        <v>3.4971428571428476</v>
      </c>
      <c r="Z7" s="53">
        <f>H7/O7</f>
        <v>23.314285714285667</v>
      </c>
      <c r="AA7" s="73">
        <f t="shared" si="7"/>
        <v>5.1225490196078333E-2</v>
      </c>
      <c r="AB7" s="55">
        <f t="shared" si="12"/>
        <v>88.409612980140196</v>
      </c>
      <c r="AC7" s="74">
        <f t="shared" si="0"/>
        <v>1964.128130144029</v>
      </c>
      <c r="AD7" s="74">
        <f t="shared" si="1"/>
        <v>655.44688757138749</v>
      </c>
      <c r="AE7" s="74">
        <f t="shared" si="14"/>
        <v>908.14930205674182</v>
      </c>
      <c r="AI7" s="74">
        <v>2</v>
      </c>
      <c r="AJ7" s="74">
        <f>AK7/AI7</f>
        <v>5726.9760000000006</v>
      </c>
      <c r="AK7" s="74">
        <f>15360*0.7457</f>
        <v>11453.952000000001</v>
      </c>
      <c r="AL7" s="74">
        <f>AK7^0.5</f>
        <v>107.02313768526879</v>
      </c>
      <c r="AM7" s="84"/>
      <c r="AN7" s="74"/>
      <c r="AO7" s="37" t="s">
        <v>728</v>
      </c>
      <c r="AP7" s="84"/>
      <c r="AQ7" s="84"/>
      <c r="AR7" s="84"/>
      <c r="AS7" s="74">
        <v>80.268529438446905</v>
      </c>
      <c r="AT7" s="74">
        <v>127.007166832986</v>
      </c>
      <c r="AU7" s="74">
        <v>13.208745350630499</v>
      </c>
      <c r="AV7" s="74">
        <v>11.176630681302701</v>
      </c>
      <c r="AW7" s="74">
        <v>28.449605370588799</v>
      </c>
      <c r="AX7" s="74">
        <v>27.4335480359249</v>
      </c>
      <c r="AY7" s="74">
        <v>13.208745350630499</v>
      </c>
      <c r="AZ7" s="74">
        <f t="shared" si="8"/>
        <v>300.75297106051033</v>
      </c>
      <c r="BA7" s="74">
        <v>36.5780640478999</v>
      </c>
      <c r="BB7" s="74">
        <f t="shared" si="9"/>
        <v>337.33103510841022</v>
      </c>
      <c r="BC7" s="84"/>
      <c r="BD7" s="74">
        <v>104</v>
      </c>
      <c r="BE7" s="74">
        <f t="shared" si="10"/>
        <v>441.33103510841022</v>
      </c>
      <c r="BH7" s="74"/>
      <c r="BI7" s="74"/>
      <c r="BJ7" s="74"/>
      <c r="BK7" s="74"/>
      <c r="BL7" s="74"/>
      <c r="BM7" s="74"/>
      <c r="BN7" s="74"/>
      <c r="BO7" s="74"/>
      <c r="BP7" s="74"/>
      <c r="BQ7" s="74"/>
      <c r="BR7" s="55">
        <f t="shared" ref="BR7:BX7" si="17">AS7/$BB7*100</f>
        <v>23.795180722891534</v>
      </c>
      <c r="BS7" s="55">
        <f t="shared" si="17"/>
        <v>37.650602409638623</v>
      </c>
      <c r="BT7" s="55">
        <f t="shared" si="17"/>
        <v>3.9156626506024037</v>
      </c>
      <c r="BU7" s="55">
        <f t="shared" si="17"/>
        <v>3.3132530120481785</v>
      </c>
      <c r="BV7" s="55">
        <f t="shared" si="17"/>
        <v>8.4337349397590309</v>
      </c>
      <c r="BW7" s="55">
        <f t="shared" si="17"/>
        <v>8.1325301204819187</v>
      </c>
      <c r="BX7" s="55">
        <f t="shared" si="17"/>
        <v>3.9156626506024037</v>
      </c>
      <c r="BY7" s="55">
        <f>BA7/$BB7*100</f>
        <v>10.843373493975902</v>
      </c>
      <c r="CX7" s="74"/>
      <c r="CY7" s="74"/>
      <c r="CZ7" s="74"/>
    </row>
    <row r="8" spans="1:153" s="37" customFormat="1" ht="12.75">
      <c r="A8" s="37" t="s">
        <v>738</v>
      </c>
      <c r="C8" s="37" t="s">
        <v>718</v>
      </c>
      <c r="D8" s="37" t="s">
        <v>739</v>
      </c>
      <c r="E8" s="37" t="s">
        <v>727</v>
      </c>
      <c r="F8" s="37">
        <v>1978</v>
      </c>
      <c r="G8" s="53">
        <v>56.083881980004897</v>
      </c>
      <c r="H8" s="53">
        <v>51.816630090221899</v>
      </c>
      <c r="I8" s="53"/>
      <c r="J8" s="44">
        <f t="shared" si="16"/>
        <v>51.816630090221899</v>
      </c>
      <c r="K8" s="53">
        <v>7.6200926603267503</v>
      </c>
      <c r="L8" s="53">
        <v>8.4837031618304497</v>
      </c>
      <c r="M8" s="44">
        <f t="shared" si="3"/>
        <v>8.4837031618304497</v>
      </c>
      <c r="N8" s="53">
        <v>4.5720555961960496</v>
      </c>
      <c r="O8" s="53">
        <v>1.7018206941396401</v>
      </c>
      <c r="P8" s="53">
        <f t="shared" ref="P8:P15" si="18">N8-O8</f>
        <v>2.8702349020564095</v>
      </c>
      <c r="Q8" s="55">
        <f>BE8</f>
        <v>320.38737185884065</v>
      </c>
      <c r="R8" s="37">
        <v>0.48</v>
      </c>
      <c r="S8" s="37">
        <v>0.67</v>
      </c>
      <c r="T8" s="37">
        <v>0.72</v>
      </c>
      <c r="W8" s="53">
        <f t="shared" si="4"/>
        <v>11.333333333333334</v>
      </c>
      <c r="X8" s="53">
        <f t="shared" si="5"/>
        <v>6.1077844311377234</v>
      </c>
      <c r="Y8" s="53">
        <f t="shared" si="6"/>
        <v>4.9850746268656749</v>
      </c>
      <c r="Z8" s="53">
        <f>H8/O8</f>
        <v>30.447761194029862</v>
      </c>
      <c r="AA8" s="73">
        <f t="shared" si="7"/>
        <v>5.5392156862745102E-2</v>
      </c>
      <c r="AB8" s="55">
        <f t="shared" si="12"/>
        <v>64.181580936872976</v>
      </c>
      <c r="AC8" s="74">
        <f t="shared" si="0"/>
        <v>2009.8615057233646</v>
      </c>
      <c r="AD8" s="74">
        <f t="shared" si="1"/>
        <v>676.50542211183404</v>
      </c>
      <c r="AE8" s="74">
        <f t="shared" si="14"/>
        <v>913.41393569185379</v>
      </c>
      <c r="AI8" s="84"/>
      <c r="AJ8" s="84"/>
      <c r="AK8" s="74">
        <f>(16000+1115)*0.7457</f>
        <v>12762.655500000001</v>
      </c>
      <c r="AL8" s="74">
        <f>AK8^0.5</f>
        <v>112.97192350314303</v>
      </c>
      <c r="AM8" s="74">
        <v>36</v>
      </c>
      <c r="AN8" s="74">
        <v>14</v>
      </c>
      <c r="AO8" s="37" t="s">
        <v>721</v>
      </c>
      <c r="AP8" s="84"/>
      <c r="AQ8" s="74">
        <v>32</v>
      </c>
      <c r="AR8" s="74">
        <f>AQ8*AC8</f>
        <v>64315.568183147669</v>
      </c>
      <c r="AS8" s="74">
        <v>74.304272883969901</v>
      </c>
      <c r="AT8" s="74">
        <v>50.538691826181598</v>
      </c>
      <c r="AU8" s="74">
        <v>10.2621790801052</v>
      </c>
      <c r="AV8" s="74">
        <v>12.548308083099</v>
      </c>
      <c r="AW8" s="74">
        <v>26.8442347818198</v>
      </c>
      <c r="AX8" s="74">
        <v>26.285403247754701</v>
      </c>
      <c r="AY8" s="74">
        <v>15.9317790075297</v>
      </c>
      <c r="AZ8" s="74">
        <f t="shared" si="8"/>
        <v>216.71486891045993</v>
      </c>
      <c r="BA8" s="74">
        <v>21.6725029483807</v>
      </c>
      <c r="BB8" s="74">
        <f t="shared" si="9"/>
        <v>238.38737185884062</v>
      </c>
      <c r="BC8" s="84"/>
      <c r="BD8" s="74">
        <v>82</v>
      </c>
      <c r="BE8" s="74">
        <f t="shared" si="10"/>
        <v>320.38737185884065</v>
      </c>
      <c r="BH8" s="74"/>
      <c r="BI8" s="74"/>
      <c r="BJ8" s="74"/>
      <c r="BK8" s="74"/>
      <c r="BL8" s="74"/>
      <c r="BM8" s="74"/>
      <c r="BN8" s="74"/>
      <c r="BO8" s="74"/>
      <c r="BP8" s="74"/>
      <c r="BQ8" s="74"/>
      <c r="BR8" s="55">
        <f t="shared" ref="BR8:BX8" si="19">AS8/$BB8*100</f>
        <v>31.169550762935817</v>
      </c>
      <c r="BS8" s="55">
        <f t="shared" si="19"/>
        <v>21.200238683829159</v>
      </c>
      <c r="BT8" s="55">
        <f t="shared" si="19"/>
        <v>4.3048333475406899</v>
      </c>
      <c r="BU8" s="55">
        <f t="shared" si="19"/>
        <v>5.2638308754581979</v>
      </c>
      <c r="BV8" s="55">
        <f t="shared" si="19"/>
        <v>11.260762083368837</v>
      </c>
      <c r="BW8" s="55">
        <f t="shared" si="19"/>
        <v>11.026340465433469</v>
      </c>
      <c r="BX8" s="55">
        <f t="shared" si="19"/>
        <v>6.6831472167760584</v>
      </c>
      <c r="BY8" s="55">
        <f>BA8/$BB8*100</f>
        <v>9.0912965646577604</v>
      </c>
      <c r="CX8" s="74"/>
      <c r="CY8" s="74"/>
      <c r="CZ8" s="74"/>
    </row>
    <row r="9" spans="1:153" s="37" customFormat="1" ht="12.75">
      <c r="A9" s="37" t="s">
        <v>548</v>
      </c>
      <c r="C9" s="37" t="s">
        <v>725</v>
      </c>
      <c r="D9" s="37" t="s">
        <v>740</v>
      </c>
      <c r="E9" s="37" t="s">
        <v>741</v>
      </c>
      <c r="G9" s="53"/>
      <c r="H9" s="53">
        <v>52.000475493781998</v>
      </c>
      <c r="I9" s="53"/>
      <c r="J9" s="44">
        <f t="shared" si="16"/>
        <v>52.000475493781998</v>
      </c>
      <c r="K9" s="53">
        <v>8.5000777249451307</v>
      </c>
      <c r="L9" s="53">
        <v>6.3303894909407799</v>
      </c>
      <c r="M9" s="44">
        <f t="shared" si="3"/>
        <v>6.3303894909407799</v>
      </c>
      <c r="N9" s="53">
        <v>5.7900529444037998</v>
      </c>
      <c r="O9" s="59"/>
      <c r="P9" s="53">
        <f t="shared" si="18"/>
        <v>5.7900529444037998</v>
      </c>
      <c r="Q9" s="55">
        <f>BE9</f>
        <v>477.42766171243198</v>
      </c>
      <c r="W9" s="53">
        <f t="shared" si="4"/>
        <v>8.9810017271157214</v>
      </c>
      <c r="X9" s="53">
        <f t="shared" si="5"/>
        <v>8.214419597435235</v>
      </c>
      <c r="Y9" s="59"/>
      <c r="Z9" s="59"/>
      <c r="AA9" s="73">
        <f t="shared" si="7"/>
        <v>0.11134615384615378</v>
      </c>
      <c r="AB9" s="55">
        <f t="shared" si="12"/>
        <v>94.629849494243985</v>
      </c>
      <c r="AC9" s="74">
        <f t="shared" si="0"/>
        <v>1905.9885245963485</v>
      </c>
      <c r="AD9" s="74">
        <f t="shared" si="1"/>
        <v>630.26876983293118</v>
      </c>
      <c r="AE9" s="74">
        <f t="shared" si="14"/>
        <v>931.35427607610131</v>
      </c>
      <c r="AI9" s="84"/>
      <c r="AJ9" s="84"/>
      <c r="AK9" s="84"/>
      <c r="AL9" s="84"/>
      <c r="AM9" s="84"/>
      <c r="AN9" s="84"/>
      <c r="AO9" s="95"/>
      <c r="AP9" s="84"/>
      <c r="AQ9" s="84"/>
      <c r="AR9" s="84"/>
      <c r="AS9" s="74">
        <v>207.80766171243201</v>
      </c>
      <c r="AT9" s="74">
        <v>99.72</v>
      </c>
      <c r="AU9" s="74">
        <v>25.07</v>
      </c>
      <c r="AV9" s="74">
        <v>24.55</v>
      </c>
      <c r="AW9" s="74">
        <v>60.3</v>
      </c>
      <c r="AX9" s="74">
        <v>40.03</v>
      </c>
      <c r="AY9" s="74">
        <v>19.95</v>
      </c>
      <c r="AZ9" s="74">
        <f t="shared" si="8"/>
        <v>477.42766171243198</v>
      </c>
      <c r="BA9" s="84"/>
      <c r="BB9" s="74">
        <f t="shared" si="9"/>
        <v>477.42766171243198</v>
      </c>
      <c r="BC9" s="84"/>
      <c r="BD9" s="84"/>
      <c r="BE9" s="74">
        <f t="shared" si="10"/>
        <v>477.42766171243198</v>
      </c>
      <c r="BH9" s="74"/>
      <c r="BI9" s="74"/>
      <c r="BJ9" s="74"/>
      <c r="BK9" s="74"/>
      <c r="BL9" s="74"/>
      <c r="BM9" s="74"/>
      <c r="BN9" s="74"/>
      <c r="BO9" s="74"/>
      <c r="BP9" s="74"/>
      <c r="BQ9" s="74"/>
      <c r="BR9" s="55">
        <v>35</v>
      </c>
      <c r="BS9" s="55">
        <v>20.5</v>
      </c>
      <c r="BT9" s="55">
        <v>6.5</v>
      </c>
      <c r="BU9" s="55">
        <v>4</v>
      </c>
      <c r="BV9" s="55">
        <v>21.25</v>
      </c>
      <c r="BW9" s="55">
        <v>7.5</v>
      </c>
      <c r="BX9" s="55">
        <v>5.25</v>
      </c>
      <c r="BY9" s="37">
        <v>0</v>
      </c>
      <c r="CX9" s="74"/>
      <c r="CY9" s="74"/>
      <c r="CZ9" s="74"/>
    </row>
    <row r="10" spans="1:153" s="37" customFormat="1">
      <c r="A10" s="37" t="s">
        <v>742</v>
      </c>
      <c r="C10" s="37" t="s">
        <v>718</v>
      </c>
      <c r="D10" s="37" t="s">
        <v>743</v>
      </c>
      <c r="E10" s="37" t="s">
        <v>727</v>
      </c>
      <c r="F10" s="37">
        <v>1972</v>
      </c>
      <c r="G10" s="53"/>
      <c r="H10" s="53">
        <v>53.340648622287198</v>
      </c>
      <c r="I10" s="53"/>
      <c r="J10" s="44">
        <f t="shared" si="16"/>
        <v>53.340648622287198</v>
      </c>
      <c r="K10" s="53">
        <v>7.9248963667398202</v>
      </c>
      <c r="L10" s="53">
        <v>8.3821019263594199</v>
      </c>
      <c r="M10" s="44">
        <f t="shared" si="3"/>
        <v>8.3821019263594199</v>
      </c>
      <c r="N10" s="53">
        <v>4.8768593026091196</v>
      </c>
      <c r="O10" s="53">
        <v>1.98122409168495</v>
      </c>
      <c r="P10" s="53">
        <f t="shared" si="18"/>
        <v>2.8956352109241696</v>
      </c>
      <c r="Q10" s="55">
        <f>BE10</f>
        <v>409.877528803411</v>
      </c>
      <c r="R10" s="37">
        <v>0.48</v>
      </c>
      <c r="S10" s="37">
        <v>0.67</v>
      </c>
      <c r="T10" s="37">
        <v>0.72</v>
      </c>
      <c r="W10" s="53">
        <f t="shared" si="4"/>
        <v>10.937499999999989</v>
      </c>
      <c r="X10" s="53">
        <f t="shared" si="5"/>
        <v>6.3636363636363615</v>
      </c>
      <c r="Y10" s="53">
        <f t="shared" si="6"/>
        <v>4.2307692307692388</v>
      </c>
      <c r="Z10" s="53">
        <f>H10/O10</f>
        <v>26.923076923076966</v>
      </c>
      <c r="AA10" s="73">
        <f t="shared" si="7"/>
        <v>5.4285714285714423E-2</v>
      </c>
      <c r="AB10" s="55">
        <f t="shared" si="12"/>
        <v>75.269970845481197</v>
      </c>
      <c r="AC10" s="74">
        <f t="shared" si="0"/>
        <v>2180.4767304078732</v>
      </c>
      <c r="AD10" s="74">
        <f t="shared" si="1"/>
        <v>707.24159201094005</v>
      </c>
      <c r="AE10" s="74">
        <f t="shared" si="14"/>
        <v>967.37643045174559</v>
      </c>
      <c r="AF10" s="244">
        <v>1665</v>
      </c>
      <c r="AI10" s="74">
        <v>2</v>
      </c>
      <c r="AJ10" s="74">
        <f>AK10/AI10</f>
        <v>8247.4420000000009</v>
      </c>
      <c r="AK10" s="74">
        <f>(19500+2620)*0.7457</f>
        <v>16494.884000000002</v>
      </c>
      <c r="AL10" s="74">
        <f t="shared" ref="AL10:AL15" si="20">AK10^0.5</f>
        <v>128.43241023978334</v>
      </c>
      <c r="AM10" s="74">
        <v>41</v>
      </c>
      <c r="AN10" s="74">
        <v>16</v>
      </c>
      <c r="AO10" s="37" t="s">
        <v>721</v>
      </c>
      <c r="AP10" s="84"/>
      <c r="AQ10" s="74">
        <v>34</v>
      </c>
      <c r="AR10" s="74">
        <f>AQ10*AC10</f>
        <v>74136.208833867684</v>
      </c>
      <c r="AS10" s="74">
        <v>98.049532795064906</v>
      </c>
      <c r="AT10" s="74">
        <v>73.664156763131601</v>
      </c>
      <c r="AU10" s="74">
        <v>15.0376485530255</v>
      </c>
      <c r="AV10" s="74">
        <v>17.476186156218802</v>
      </c>
      <c r="AW10" s="74">
        <v>37.594121382563699</v>
      </c>
      <c r="AX10" s="74">
        <v>36.070035380567901</v>
      </c>
      <c r="AY10" s="74">
        <v>15.748888687290201</v>
      </c>
      <c r="AZ10" s="74">
        <f t="shared" si="8"/>
        <v>293.6405697178626</v>
      </c>
      <c r="BA10" s="74">
        <v>28.449605370588799</v>
      </c>
      <c r="BB10" s="74">
        <f t="shared" si="9"/>
        <v>322.09017508845142</v>
      </c>
      <c r="BC10" s="84"/>
      <c r="BD10" s="74">
        <v>87.787353714959593</v>
      </c>
      <c r="BE10" s="74">
        <f t="shared" si="10"/>
        <v>409.877528803411</v>
      </c>
      <c r="BF10" s="40"/>
      <c r="BG10" s="40"/>
      <c r="BH10" s="74"/>
      <c r="BI10" s="74"/>
      <c r="BJ10" s="74"/>
      <c r="BK10" s="74"/>
      <c r="BL10" s="74"/>
      <c r="BM10" s="74"/>
      <c r="BN10" s="74"/>
      <c r="BO10" s="74"/>
      <c r="BP10" s="74"/>
      <c r="BQ10" s="74"/>
      <c r="BR10" s="55">
        <f t="shared" ref="BR10:BX10" si="21">AS10/$BB10*100</f>
        <v>30.441640378548907</v>
      </c>
      <c r="BS10" s="55">
        <f t="shared" si="21"/>
        <v>22.870662460567814</v>
      </c>
      <c r="BT10" s="55">
        <f t="shared" si="21"/>
        <v>4.668769716088331</v>
      </c>
      <c r="BU10" s="55">
        <f t="shared" si="21"/>
        <v>5.4258675078864309</v>
      </c>
      <c r="BV10" s="55">
        <f t="shared" si="21"/>
        <v>11.67192429022081</v>
      </c>
      <c r="BW10" s="55">
        <f t="shared" si="21"/>
        <v>11.198738170347003</v>
      </c>
      <c r="BX10" s="55">
        <f t="shared" si="21"/>
        <v>4.8895899053627723</v>
      </c>
      <c r="BY10" s="55">
        <f>BA10/$BB10*100</f>
        <v>8.832807570977927</v>
      </c>
      <c r="CA10" s="40"/>
      <c r="CB10" s="40"/>
      <c r="CC10" s="40"/>
      <c r="CD10" s="40"/>
      <c r="CE10" s="40"/>
      <c r="CF10" s="40"/>
      <c r="CG10" s="40"/>
      <c r="CH10" s="40"/>
      <c r="CI10" s="40"/>
      <c r="CJ10" s="40"/>
      <c r="CK10" s="40"/>
      <c r="CL10" s="40"/>
      <c r="CM10" s="40"/>
      <c r="CN10" s="40"/>
      <c r="CO10" s="40"/>
      <c r="CP10" s="40"/>
      <c r="CQ10" s="40"/>
      <c r="CR10" s="40"/>
      <c r="CS10" s="40"/>
      <c r="CT10" s="40"/>
      <c r="CU10" s="40"/>
      <c r="CW10" s="40"/>
      <c r="CX10" s="74">
        <f>58780/3.2808^3</f>
        <v>1664.5249638100645</v>
      </c>
      <c r="CY10" s="74"/>
      <c r="CZ10" s="74"/>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row>
    <row r="11" spans="1:153" s="37" customFormat="1" ht="12.75">
      <c r="B11" s="37" t="s">
        <v>539</v>
      </c>
      <c r="C11" s="37" t="s">
        <v>718</v>
      </c>
      <c r="D11" s="37" t="s">
        <v>744</v>
      </c>
      <c r="E11" s="37" t="s">
        <v>732</v>
      </c>
      <c r="G11" s="53">
        <v>58.034625701048498</v>
      </c>
      <c r="H11" s="53"/>
      <c r="I11" s="53">
        <v>54.255059741526502</v>
      </c>
      <c r="J11" s="44">
        <f t="shared" si="16"/>
        <v>54.255059741526502</v>
      </c>
      <c r="K11" s="53">
        <v>8.1992197025115807</v>
      </c>
      <c r="L11" s="53"/>
      <c r="M11" s="44">
        <f t="shared" si="3"/>
        <v>8.1992197025115807</v>
      </c>
      <c r="N11" s="58">
        <v>4.2159108399439003</v>
      </c>
      <c r="O11" s="53">
        <v>2.1945866861740999</v>
      </c>
      <c r="P11" s="53">
        <f t="shared" si="18"/>
        <v>2.0213241537698003</v>
      </c>
      <c r="Q11" s="55">
        <v>518.18924067858097</v>
      </c>
      <c r="R11" s="73">
        <v>0.47</v>
      </c>
      <c r="S11" s="73">
        <v>0.66100000000000003</v>
      </c>
      <c r="T11" s="73">
        <v>0.71099999999999997</v>
      </c>
      <c r="U11" s="73"/>
      <c r="V11" s="73">
        <v>4.7E-2</v>
      </c>
      <c r="W11" s="53">
        <f t="shared" si="4"/>
        <v>12.869119343673894</v>
      </c>
      <c r="X11" s="53">
        <f t="shared" si="5"/>
        <v>6.6171003717472185</v>
      </c>
      <c r="Y11" s="53">
        <f t="shared" si="6"/>
        <v>3.7361111111111169</v>
      </c>
      <c r="Z11" s="53">
        <f>I11/O11</f>
        <v>24.722222222222289</v>
      </c>
      <c r="AA11" s="73">
        <f t="shared" si="7"/>
        <v>3.7255956649932337E-2</v>
      </c>
      <c r="AB11" s="55">
        <f t="shared" si="12"/>
        <v>90.429508247880122</v>
      </c>
      <c r="AC11" s="74">
        <f t="shared" si="0"/>
        <v>1875.4443738345026</v>
      </c>
      <c r="AD11" s="74">
        <f t="shared" si="1"/>
        <v>673.58364927977243</v>
      </c>
      <c r="AE11" s="74">
        <f t="shared" si="14"/>
        <v>902.31814376587795</v>
      </c>
      <c r="AF11" s="243">
        <f>75369/3.2808^3</f>
        <v>2134.2902687546912</v>
      </c>
      <c r="AI11" s="84"/>
      <c r="AJ11" s="80"/>
      <c r="AK11" s="74">
        <f>26600*0.7457</f>
        <v>19835.62</v>
      </c>
      <c r="AL11" s="74">
        <f t="shared" si="20"/>
        <v>140.83898607984935</v>
      </c>
      <c r="AM11" s="74">
        <v>32</v>
      </c>
      <c r="AN11" s="74"/>
      <c r="AO11" s="37" t="s">
        <v>721</v>
      </c>
      <c r="AP11" s="84"/>
      <c r="AQ11" s="74">
        <v>38</v>
      </c>
      <c r="AR11" s="74">
        <f>AQ11*AC11</f>
        <v>71266.886205711096</v>
      </c>
      <c r="AS11" s="74">
        <v>142.24802685294401</v>
      </c>
      <c r="AT11" s="74">
        <v>83.3167014424385</v>
      </c>
      <c r="AU11" s="74">
        <v>26.417490701260999</v>
      </c>
      <c r="AV11" s="74">
        <v>16.2569173546222</v>
      </c>
      <c r="AW11" s="74">
        <v>86.364873446430195</v>
      </c>
      <c r="AX11" s="74">
        <v>30.4817200399165</v>
      </c>
      <c r="AY11" s="74">
        <v>21.337204027941599</v>
      </c>
      <c r="AZ11" s="74">
        <f t="shared" si="8"/>
        <v>406.422933865554</v>
      </c>
      <c r="BA11" s="84"/>
      <c r="BB11" s="74">
        <f t="shared" si="9"/>
        <v>406.422933865554</v>
      </c>
      <c r="BC11" s="84"/>
      <c r="BD11" s="74">
        <v>111.766306813027</v>
      </c>
      <c r="BE11" s="74">
        <v>518.18924067858097</v>
      </c>
      <c r="BH11" s="74"/>
      <c r="BI11" s="74"/>
      <c r="BJ11" s="74"/>
      <c r="BK11" s="74"/>
      <c r="BL11" s="74"/>
      <c r="BM11" s="74"/>
      <c r="BN11" s="74"/>
      <c r="BO11" s="74"/>
      <c r="BP11" s="74"/>
      <c r="BQ11" s="74"/>
      <c r="BR11" s="55">
        <v>35</v>
      </c>
      <c r="BS11" s="55">
        <v>20.5</v>
      </c>
      <c r="BT11" s="55">
        <v>6.5</v>
      </c>
      <c r="BU11" s="55">
        <v>4</v>
      </c>
      <c r="BV11" s="55">
        <v>21.25</v>
      </c>
      <c r="BW11" s="55">
        <v>7.5</v>
      </c>
      <c r="BX11" s="55">
        <v>5.25</v>
      </c>
      <c r="BY11" s="55">
        <f>BA11/$BB11*100</f>
        <v>0</v>
      </c>
      <c r="CX11" s="74"/>
      <c r="CY11" s="74"/>
      <c r="CZ11" s="74"/>
    </row>
    <row r="12" spans="1:153" s="37" customFormat="1" ht="12.75">
      <c r="A12" s="37" t="s">
        <v>745</v>
      </c>
      <c r="D12" s="37" t="s">
        <v>746</v>
      </c>
      <c r="E12" s="37" t="s">
        <v>727</v>
      </c>
      <c r="F12" s="37">
        <v>1973</v>
      </c>
      <c r="G12" s="53">
        <v>57.912704218483299</v>
      </c>
      <c r="H12" s="53">
        <v>54.864667154352603</v>
      </c>
      <c r="I12" s="53"/>
      <c r="J12" s="44">
        <f t="shared" si="16"/>
        <v>54.864667154352603</v>
      </c>
      <c r="K12" s="53">
        <v>7.9248963667398202</v>
      </c>
      <c r="L12" s="53">
        <v>7.9248963667398202</v>
      </c>
      <c r="M12" s="44">
        <f t="shared" si="3"/>
        <v>7.9248963667398202</v>
      </c>
      <c r="N12" s="53">
        <v>4.8768593026091196</v>
      </c>
      <c r="O12" s="53">
        <v>2.22252702592864</v>
      </c>
      <c r="P12" s="53">
        <f t="shared" si="18"/>
        <v>2.6543322766804796</v>
      </c>
      <c r="Q12" s="55">
        <f>BE12</f>
        <v>451.45949378572044</v>
      </c>
      <c r="R12" s="37">
        <v>0.48</v>
      </c>
      <c r="S12" s="37">
        <v>0.67</v>
      </c>
      <c r="T12" s="37">
        <v>0.72</v>
      </c>
      <c r="W12" s="53">
        <f t="shared" si="4"/>
        <v>11.250000000000002</v>
      </c>
      <c r="X12" s="53">
        <f t="shared" si="5"/>
        <v>6.9230769230769234</v>
      </c>
      <c r="Y12" s="53">
        <f t="shared" si="6"/>
        <v>3.5657142857142783</v>
      </c>
      <c r="Z12" s="53">
        <f>H12/O12</f>
        <v>24.685714285714237</v>
      </c>
      <c r="AA12" s="73">
        <f t="shared" si="7"/>
        <v>4.8379629629629536E-2</v>
      </c>
      <c r="AB12" s="55">
        <f t="shared" si="12"/>
        <v>76.187383646874281</v>
      </c>
      <c r="AC12" s="74">
        <f t="shared" si="0"/>
        <v>2120.4428256226211</v>
      </c>
      <c r="AD12" s="74">
        <f t="shared" si="1"/>
        <v>702.36406379017592</v>
      </c>
      <c r="AE12" s="74">
        <f t="shared" si="14"/>
        <v>969.93132618643347</v>
      </c>
      <c r="AI12" s="74">
        <v>2</v>
      </c>
      <c r="AJ12" s="74">
        <f>AK12/AI12</f>
        <v>5726.9760000000006</v>
      </c>
      <c r="AK12" s="74">
        <f>15360*0.7457</f>
        <v>11453.952000000001</v>
      </c>
      <c r="AL12" s="74">
        <f t="shared" si="20"/>
        <v>107.02313768526879</v>
      </c>
      <c r="AM12" s="74">
        <v>29.8</v>
      </c>
      <c r="AN12" s="74"/>
      <c r="AO12" s="37" t="s">
        <v>728</v>
      </c>
      <c r="AP12" s="84"/>
      <c r="AQ12" s="84"/>
      <c r="AR12" s="84"/>
      <c r="AS12" s="74">
        <v>85.348816111766297</v>
      </c>
      <c r="AT12" s="74">
        <v>128.023224167649</v>
      </c>
      <c r="AU12" s="74">
        <v>13.208745350630499</v>
      </c>
      <c r="AV12" s="74">
        <v>11.176630681302701</v>
      </c>
      <c r="AW12" s="74">
        <v>29.465662705252701</v>
      </c>
      <c r="AX12" s="74">
        <v>28.449605370588799</v>
      </c>
      <c r="AY12" s="74">
        <v>13.208745350630499</v>
      </c>
      <c r="AZ12" s="74">
        <f t="shared" si="8"/>
        <v>308.88142973782055</v>
      </c>
      <c r="BA12" s="74">
        <v>36.5780640478999</v>
      </c>
      <c r="BB12" s="74">
        <f t="shared" si="9"/>
        <v>345.45949378572044</v>
      </c>
      <c r="BC12" s="84"/>
      <c r="BD12" s="74">
        <v>106</v>
      </c>
      <c r="BE12" s="74">
        <f>SUM(BB12:BD12)</f>
        <v>451.45949378572044</v>
      </c>
      <c r="BH12" s="74"/>
      <c r="BI12" s="74"/>
      <c r="BJ12" s="74"/>
      <c r="BK12" s="74"/>
      <c r="BL12" s="74"/>
      <c r="BM12" s="74"/>
      <c r="BN12" s="74"/>
      <c r="BO12" s="74"/>
      <c r="BP12" s="74"/>
      <c r="BQ12" s="74"/>
      <c r="BR12" s="55">
        <f t="shared" ref="BR12:BX12" si="22">AS12/$BB12*100</f>
        <v>24.705882352941195</v>
      </c>
      <c r="BS12" s="55">
        <f t="shared" si="22"/>
        <v>37.058823529411669</v>
      </c>
      <c r="BT12" s="55">
        <f t="shared" si="22"/>
        <v>3.8235294117647096</v>
      </c>
      <c r="BU12" s="55">
        <f t="shared" si="22"/>
        <v>3.2352941176470527</v>
      </c>
      <c r="BV12" s="55">
        <f t="shared" si="22"/>
        <v>8.5294117647059036</v>
      </c>
      <c r="BW12" s="55">
        <f t="shared" si="22"/>
        <v>8.2352941176470758</v>
      </c>
      <c r="BX12" s="55">
        <f t="shared" si="22"/>
        <v>3.8235294117647096</v>
      </c>
      <c r="BY12" s="55">
        <f>BA12/$BB12*100</f>
        <v>10.588235294117673</v>
      </c>
      <c r="CX12" s="74"/>
      <c r="CY12" s="74"/>
      <c r="CZ12" s="74"/>
    </row>
    <row r="13" spans="1:153" s="37" customFormat="1">
      <c r="A13" s="37" t="s">
        <v>747</v>
      </c>
      <c r="D13" s="37" t="s">
        <v>748</v>
      </c>
      <c r="E13" s="37" t="s">
        <v>727</v>
      </c>
      <c r="F13" s="37">
        <v>1973</v>
      </c>
      <c r="G13" s="53">
        <v>57.912704218483299</v>
      </c>
      <c r="H13" s="53">
        <v>54.864667154352603</v>
      </c>
      <c r="I13" s="53"/>
      <c r="J13" s="44">
        <f t="shared" si="16"/>
        <v>54.864667154352603</v>
      </c>
      <c r="K13" s="53">
        <v>7.9248963667398202</v>
      </c>
      <c r="L13" s="53">
        <v>7.9248963667398202</v>
      </c>
      <c r="M13" s="44">
        <f t="shared" si="3"/>
        <v>7.9248963667398202</v>
      </c>
      <c r="N13" s="53">
        <v>4.8768593026091196</v>
      </c>
      <c r="O13" s="53">
        <v>2.22252702592864</v>
      </c>
      <c r="P13" s="53">
        <f t="shared" si="18"/>
        <v>2.6543322766804796</v>
      </c>
      <c r="Q13" s="55">
        <f>BE13</f>
        <v>451.16502766941852</v>
      </c>
      <c r="R13" s="37">
        <v>0.48</v>
      </c>
      <c r="S13" s="37">
        <v>0.67</v>
      </c>
      <c r="T13" s="37">
        <v>0.72</v>
      </c>
      <c r="W13" s="53">
        <f t="shared" si="4"/>
        <v>11.250000000000002</v>
      </c>
      <c r="X13" s="53">
        <f t="shared" si="5"/>
        <v>6.9230769230769234</v>
      </c>
      <c r="Y13" s="53">
        <f t="shared" si="6"/>
        <v>3.5657142857142783</v>
      </c>
      <c r="Z13" s="53">
        <f>H13/O13</f>
        <v>24.685714285714237</v>
      </c>
      <c r="AA13" s="73">
        <f t="shared" si="7"/>
        <v>4.8379629629629536E-2</v>
      </c>
      <c r="AB13" s="55">
        <f t="shared" si="12"/>
        <v>76.137690145502603</v>
      </c>
      <c r="AC13" s="74">
        <f t="shared" si="0"/>
        <v>2120.4428256226211</v>
      </c>
      <c r="AD13" s="74">
        <f t="shared" si="1"/>
        <v>702.36406379017592</v>
      </c>
      <c r="AE13" s="74">
        <f t="shared" si="14"/>
        <v>969.93132618643347</v>
      </c>
      <c r="AI13" s="74">
        <v>2</v>
      </c>
      <c r="AJ13" s="74">
        <f>AK13/AI13</f>
        <v>5726.9760000000006</v>
      </c>
      <c r="AK13" s="74">
        <f>15360*0.7457</f>
        <v>11453.952000000001</v>
      </c>
      <c r="AL13" s="74">
        <f t="shared" si="20"/>
        <v>107.02313768526879</v>
      </c>
      <c r="AM13" s="74">
        <v>29.8</v>
      </c>
      <c r="AN13" s="74"/>
      <c r="AO13" s="37" t="s">
        <v>728</v>
      </c>
      <c r="AP13" s="84"/>
      <c r="AQ13" s="84"/>
      <c r="AR13" s="84"/>
      <c r="AS13" s="74">
        <v>84.129547310169698</v>
      </c>
      <c r="AT13" s="74">
        <v>139.40306631588501</v>
      </c>
      <c r="AU13" s="74">
        <v>13.107139617164099</v>
      </c>
      <c r="AV13" s="74">
        <v>12.5991109498322</v>
      </c>
      <c r="AW13" s="74">
        <v>29.059239771387102</v>
      </c>
      <c r="AX13" s="74">
        <v>27.9415767032568</v>
      </c>
      <c r="AY13" s="74">
        <v>13.8183797514288</v>
      </c>
      <c r="AZ13" s="74">
        <f t="shared" si="8"/>
        <v>320.05806041912376</v>
      </c>
      <c r="BA13" s="74">
        <v>38.406967250294798</v>
      </c>
      <c r="BB13" s="74">
        <f t="shared" si="9"/>
        <v>358.46502766941853</v>
      </c>
      <c r="BC13" s="84"/>
      <c r="BD13" s="74">
        <v>92.7</v>
      </c>
      <c r="BE13" s="74">
        <f>SUM(BB13:BD13)</f>
        <v>451.16502766941852</v>
      </c>
      <c r="BF13" s="40"/>
      <c r="BG13" s="40"/>
      <c r="BH13" s="74"/>
      <c r="BI13" s="74"/>
      <c r="BJ13" s="74"/>
      <c r="BK13" s="74"/>
      <c r="BL13" s="74"/>
      <c r="BM13" s="74"/>
      <c r="BN13" s="74"/>
      <c r="BO13" s="74"/>
      <c r="BP13" s="74"/>
      <c r="BQ13" s="74"/>
      <c r="BR13" s="55">
        <f t="shared" ref="BR13:BX13" si="23">AS13/$BB13*100</f>
        <v>23.469387755102051</v>
      </c>
      <c r="BS13" s="55">
        <f t="shared" si="23"/>
        <v>38.888888888888893</v>
      </c>
      <c r="BT13" s="55">
        <f t="shared" si="23"/>
        <v>3.65646258503401</v>
      </c>
      <c r="BU13" s="55">
        <f t="shared" si="23"/>
        <v>3.5147392290249519</v>
      </c>
      <c r="BV13" s="55">
        <f t="shared" si="23"/>
        <v>8.1065759637188215</v>
      </c>
      <c r="BW13" s="55">
        <f t="shared" si="23"/>
        <v>7.7947845804988578</v>
      </c>
      <c r="BX13" s="55">
        <f t="shared" si="23"/>
        <v>3.8548752834467028</v>
      </c>
      <c r="BY13" s="55">
        <f>BA13/$BB13*100</f>
        <v>10.714285714285701</v>
      </c>
      <c r="CA13" s="40"/>
      <c r="CB13" s="40"/>
      <c r="CC13" s="40"/>
      <c r="CD13" s="40"/>
      <c r="CE13" s="40"/>
      <c r="CF13" s="40"/>
      <c r="CG13" s="40"/>
      <c r="CH13" s="40"/>
      <c r="CI13" s="40"/>
      <c r="CJ13" s="40"/>
      <c r="CK13" s="40"/>
      <c r="CL13" s="40"/>
      <c r="CM13" s="40"/>
      <c r="CN13" s="40"/>
      <c r="CO13" s="40"/>
      <c r="CP13" s="40"/>
      <c r="CQ13" s="40"/>
      <c r="CR13" s="40"/>
      <c r="CS13" s="40"/>
      <c r="CT13" s="40"/>
      <c r="CU13" s="40"/>
      <c r="CW13" s="40"/>
      <c r="CX13" s="74"/>
      <c r="CY13" s="74"/>
      <c r="CZ13" s="74"/>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row>
    <row r="14" spans="1:153" s="37" customFormat="1">
      <c r="A14" s="37" t="s">
        <v>749</v>
      </c>
      <c r="D14" s="37" t="s">
        <v>750</v>
      </c>
      <c r="E14" s="37" t="s">
        <v>727</v>
      </c>
      <c r="F14" s="37">
        <v>1973</v>
      </c>
      <c r="G14" s="53"/>
      <c r="H14" s="53">
        <v>57.912704218483299</v>
      </c>
      <c r="I14" s="53"/>
      <c r="J14" s="44">
        <f t="shared" si="16"/>
        <v>57.912704218483299</v>
      </c>
      <c r="K14" s="53">
        <v>8.0772982199463499</v>
      </c>
      <c r="L14" s="53">
        <v>8.0772982199463499</v>
      </c>
      <c r="M14" s="44">
        <f t="shared" si="3"/>
        <v>8.0772982199463499</v>
      </c>
      <c r="N14" s="53">
        <v>4.8768593026091196</v>
      </c>
      <c r="O14" s="53">
        <v>2.22252702592864</v>
      </c>
      <c r="P14" s="53">
        <f t="shared" si="18"/>
        <v>2.6543322766804796</v>
      </c>
      <c r="Q14" s="55">
        <f>BE14</f>
        <v>461.5879524630314</v>
      </c>
      <c r="W14" s="53">
        <f t="shared" si="4"/>
        <v>11.875</v>
      </c>
      <c r="X14" s="53">
        <f t="shared" si="5"/>
        <v>7.1698113207547216</v>
      </c>
      <c r="Y14" s="53">
        <f t="shared" si="6"/>
        <v>3.6342857142857046</v>
      </c>
      <c r="Z14" s="53">
        <f>H14/O14</f>
        <v>26.057142857142804</v>
      </c>
      <c r="AA14" s="73">
        <f t="shared" si="7"/>
        <v>4.5833333333333247E-2</v>
      </c>
      <c r="AB14" s="55">
        <f t="shared" si="12"/>
        <v>66.233155603690562</v>
      </c>
      <c r="AC14" s="74">
        <f t="shared" si="0"/>
        <v>2281.2883818397204</v>
      </c>
      <c r="AD14" s="74">
        <f t="shared" si="1"/>
        <v>750.21029300339535</v>
      </c>
      <c r="AE14" s="74">
        <f t="shared" si="14"/>
        <v>1032.6424033105559</v>
      </c>
      <c r="AI14" s="74">
        <v>2</v>
      </c>
      <c r="AJ14" s="74">
        <f>AK14/AI14</f>
        <v>5726.9760000000006</v>
      </c>
      <c r="AK14" s="74">
        <f>15360*0.7457</f>
        <v>11453.952000000001</v>
      </c>
      <c r="AL14" s="74">
        <f t="shared" si="20"/>
        <v>107.02313768526879</v>
      </c>
      <c r="AM14" s="84"/>
      <c r="AN14" s="74"/>
      <c r="AO14" s="37" t="s">
        <v>728</v>
      </c>
      <c r="AP14" s="84"/>
      <c r="AQ14" s="84"/>
      <c r="AR14" s="84"/>
      <c r="AS14" s="74">
        <v>90.429102785085703</v>
      </c>
      <c r="AT14" s="74">
        <v>129.039281502313</v>
      </c>
      <c r="AU14" s="74">
        <v>13.208745350630499</v>
      </c>
      <c r="AV14" s="74">
        <v>11.176630681302701</v>
      </c>
      <c r="AW14" s="74">
        <v>30.4817200399165</v>
      </c>
      <c r="AX14" s="74">
        <v>28.449605370588799</v>
      </c>
      <c r="AY14" s="74">
        <v>13.208745350630499</v>
      </c>
      <c r="AZ14" s="74">
        <f t="shared" si="8"/>
        <v>315.99383108046771</v>
      </c>
      <c r="BA14" s="74">
        <v>37.594121382563699</v>
      </c>
      <c r="BB14" s="74">
        <f t="shared" si="9"/>
        <v>353.5879524630314</v>
      </c>
      <c r="BC14" s="84"/>
      <c r="BD14" s="74">
        <v>108</v>
      </c>
      <c r="BE14" s="74">
        <f>SUM(BB14:BD14)</f>
        <v>461.5879524630314</v>
      </c>
      <c r="BF14" s="40"/>
      <c r="BG14" s="40"/>
      <c r="BH14" s="74"/>
      <c r="BI14" s="74"/>
      <c r="BJ14" s="74"/>
      <c r="BK14" s="74"/>
      <c r="BL14" s="74"/>
      <c r="BM14" s="74"/>
      <c r="BN14" s="74"/>
      <c r="BO14" s="74"/>
      <c r="BP14" s="74"/>
      <c r="BQ14" s="74"/>
      <c r="BR14" s="55">
        <f t="shared" ref="BR14:BX14" si="24">AS14/$BB14*100</f>
        <v>25.57471264367819</v>
      </c>
      <c r="BS14" s="55">
        <f t="shared" si="24"/>
        <v>36.494252873563163</v>
      </c>
      <c r="BT14" s="55">
        <f t="shared" si="24"/>
        <v>3.7356321839080504</v>
      </c>
      <c r="BU14" s="55">
        <f t="shared" si="24"/>
        <v>3.1609195402298806</v>
      </c>
      <c r="BV14" s="55">
        <f t="shared" si="24"/>
        <v>8.6206896551724146</v>
      </c>
      <c r="BW14" s="55">
        <f t="shared" si="24"/>
        <v>8.045977011494271</v>
      </c>
      <c r="BX14" s="55">
        <f t="shared" si="24"/>
        <v>3.7356321839080504</v>
      </c>
      <c r="BY14" s="55">
        <f>BA14/$BB14*100</f>
        <v>10.632183908045983</v>
      </c>
      <c r="CA14" s="40"/>
      <c r="CB14" s="40"/>
      <c r="CC14" s="40"/>
      <c r="CD14" s="40"/>
      <c r="CE14" s="40"/>
      <c r="CF14" s="40"/>
      <c r="CG14" s="40"/>
      <c r="CH14" s="40"/>
      <c r="CI14" s="40"/>
      <c r="CJ14" s="40"/>
      <c r="CK14" s="40"/>
      <c r="CL14" s="40"/>
      <c r="CM14" s="40"/>
      <c r="CN14" s="40"/>
      <c r="CO14" s="40"/>
      <c r="CP14" s="40"/>
      <c r="CQ14" s="40"/>
      <c r="CR14" s="40"/>
      <c r="CS14" s="40"/>
      <c r="CT14" s="40"/>
      <c r="CU14" s="40"/>
      <c r="CW14" s="40"/>
      <c r="CX14" s="74"/>
      <c r="CY14" s="74"/>
      <c r="CZ14" s="74"/>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row>
    <row r="15" spans="1:153">
      <c r="A15" s="42" t="s">
        <v>751</v>
      </c>
      <c r="B15" s="43" t="s">
        <v>751</v>
      </c>
      <c r="C15" s="43" t="s">
        <v>752</v>
      </c>
      <c r="D15" s="43" t="s">
        <v>753</v>
      </c>
      <c r="E15" s="43" t="s">
        <v>732</v>
      </c>
      <c r="G15" s="44">
        <v>61.692270178005401</v>
      </c>
      <c r="H15" s="42"/>
      <c r="I15" s="44">
        <v>57.973664959765898</v>
      </c>
      <c r="J15" s="44">
        <f t="shared" si="16"/>
        <v>57.973664959765898</v>
      </c>
      <c r="K15" s="44">
        <v>7.1933674713484503</v>
      </c>
      <c r="M15" s="44">
        <f t="shared" si="3"/>
        <v>7.1933674713484503</v>
      </c>
      <c r="N15" s="64">
        <v>5.2511582540843698</v>
      </c>
      <c r="O15" s="44">
        <v>2.5298707632284798</v>
      </c>
      <c r="P15" s="53">
        <f t="shared" si="18"/>
        <v>2.7212874908558899</v>
      </c>
      <c r="Q15" s="46">
        <v>487.70752063866502</v>
      </c>
      <c r="R15" s="71">
        <v>0.45400000000000001</v>
      </c>
      <c r="S15" s="71">
        <v>0.67300000000000004</v>
      </c>
      <c r="T15" s="71">
        <v>0.67500000000000004</v>
      </c>
      <c r="U15" s="71"/>
      <c r="V15" s="43">
        <v>5.3999999999999999E-2</v>
      </c>
      <c r="W15" s="53">
        <f t="shared" si="4"/>
        <v>11.040167169723704</v>
      </c>
      <c r="X15" s="53">
        <f t="shared" si="5"/>
        <v>8.0593220338983045</v>
      </c>
      <c r="Y15" s="53">
        <f t="shared" si="6"/>
        <v>2.8433734939759043</v>
      </c>
      <c r="Z15" s="45">
        <f>I15/O15</f>
        <v>22.915662650602414</v>
      </c>
      <c r="AA15" s="73">
        <f t="shared" si="7"/>
        <v>4.694006309148268E-2</v>
      </c>
      <c r="AB15" s="55">
        <f t="shared" si="12"/>
        <v>69.760518453476209</v>
      </c>
      <c r="AC15" s="74">
        <f t="shared" si="0"/>
        <v>2189.8688694351122</v>
      </c>
      <c r="AD15" s="74">
        <f t="shared" si="1"/>
        <v>721.45476498943003</v>
      </c>
      <c r="AE15" s="74">
        <f t="shared" si="14"/>
        <v>1025.8836542624265</v>
      </c>
      <c r="AI15" s="84"/>
      <c r="AJ15" s="84"/>
      <c r="AK15" s="46">
        <f>17600*0.7457</f>
        <v>13124.32</v>
      </c>
      <c r="AL15" s="46">
        <f t="shared" si="20"/>
        <v>114.5614245721482</v>
      </c>
      <c r="AM15" s="46">
        <v>30</v>
      </c>
      <c r="AO15" s="43" t="s">
        <v>728</v>
      </c>
      <c r="AP15" s="84"/>
      <c r="AQ15" s="46">
        <v>44</v>
      </c>
      <c r="AR15" s="46">
        <f>AQ15*AC15</f>
        <v>96354.230255144939</v>
      </c>
      <c r="AS15" s="46">
        <v>135.13562551029699</v>
      </c>
      <c r="AT15" s="46">
        <v>80.268529438446905</v>
      </c>
      <c r="AU15" s="46">
        <v>19.305089358613799</v>
      </c>
      <c r="AV15" s="46">
        <v>23.3693186972693</v>
      </c>
      <c r="AW15" s="46">
        <v>44.706522725210903</v>
      </c>
      <c r="AX15" s="46">
        <v>28.449605370588799</v>
      </c>
      <c r="AY15" s="46">
        <v>21.337204027941599</v>
      </c>
      <c r="AZ15" s="46">
        <f t="shared" si="8"/>
        <v>352.57189512836828</v>
      </c>
      <c r="BA15" s="46">
        <v>0</v>
      </c>
      <c r="BB15" s="46">
        <f t="shared" si="9"/>
        <v>352.57189512836828</v>
      </c>
      <c r="BC15" s="84"/>
      <c r="BD15" s="46">
        <v>135.13562551029699</v>
      </c>
      <c r="BE15" s="46">
        <v>487.70752063866502</v>
      </c>
      <c r="BF15" s="43">
        <f>AM15/SQRT(J15*3.2808)</f>
        <v>2.1752841650548032</v>
      </c>
      <c r="BG15" s="43">
        <f>BF15*1.6878/SQRT(32.174)</f>
        <v>0.64726847032848156</v>
      </c>
      <c r="BR15" s="44">
        <v>38.328530259365998</v>
      </c>
      <c r="BS15" s="44">
        <v>22.766570605187301</v>
      </c>
      <c r="BT15" s="44">
        <v>5.4755043227665698</v>
      </c>
      <c r="BU15" s="44">
        <v>6.6282420749279503</v>
      </c>
      <c r="BV15" s="44">
        <v>12.680115273775201</v>
      </c>
      <c r="BW15" s="44">
        <v>8.0691642651296807</v>
      </c>
      <c r="BX15" s="44">
        <v>6.05187319884726</v>
      </c>
      <c r="BY15" s="43">
        <v>0</v>
      </c>
      <c r="BZ15" s="43"/>
      <c r="CA15" s="43"/>
      <c r="CB15" s="42"/>
      <c r="CC15" s="42"/>
      <c r="CD15" s="42"/>
      <c r="CE15" s="42"/>
      <c r="CF15" s="42"/>
      <c r="CG15" s="42"/>
      <c r="CH15" s="42"/>
      <c r="CI15" s="42"/>
      <c r="CJ15" s="42"/>
      <c r="CK15" s="42"/>
      <c r="CL15" s="42"/>
      <c r="CM15" s="42"/>
      <c r="CN15" s="42"/>
      <c r="CO15" s="42"/>
      <c r="CP15" s="42"/>
      <c r="CQ15" s="42"/>
      <c r="CR15" s="42"/>
      <c r="CS15" s="43"/>
      <c r="CT15" s="42"/>
      <c r="CU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row>
    <row r="16" spans="1:153">
      <c r="A16" s="51"/>
      <c r="F16" s="51"/>
      <c r="H16" s="40"/>
      <c r="K16" s="44"/>
      <c r="M16" s="44"/>
      <c r="N16" s="64"/>
      <c r="O16" s="44"/>
      <c r="P16" s="40"/>
      <c r="R16" s="71"/>
      <c r="S16" s="71"/>
      <c r="T16" s="71"/>
      <c r="U16" s="71"/>
      <c r="W16" s="53"/>
      <c r="X16" s="53"/>
      <c r="Y16" s="53"/>
      <c r="AA16" s="73"/>
      <c r="AB16" s="55"/>
      <c r="AI16" s="40"/>
      <c r="AJ16" s="40"/>
      <c r="AN16" s="40"/>
      <c r="BY16" s="43"/>
      <c r="BZ16" s="43"/>
      <c r="CA16" s="43"/>
      <c r="CB16" s="43"/>
      <c r="CC16" s="44"/>
      <c r="CD16" s="44"/>
      <c r="CE16" s="44"/>
      <c r="CF16" s="44"/>
      <c r="CG16" s="44"/>
      <c r="CH16" s="44"/>
      <c r="CI16" s="43"/>
      <c r="CJ16" s="43"/>
      <c r="CK16" s="43"/>
      <c r="CL16" s="43"/>
      <c r="CM16" s="43"/>
      <c r="CN16" s="40"/>
      <c r="CO16" s="40"/>
      <c r="CQ16" s="40"/>
      <c r="CR16" s="40"/>
      <c r="CS16" s="43"/>
    </row>
    <row r="17" spans="1:153">
      <c r="A17" s="42" t="s">
        <v>754</v>
      </c>
      <c r="B17" s="40"/>
      <c r="C17" s="43" t="s">
        <v>755</v>
      </c>
      <c r="D17" s="43" t="s">
        <v>756</v>
      </c>
      <c r="E17" s="43" t="s">
        <v>720</v>
      </c>
      <c r="F17" s="42">
        <v>1977</v>
      </c>
      <c r="G17" s="40"/>
      <c r="H17" s="43">
        <v>54</v>
      </c>
      <c r="I17" s="40"/>
      <c r="J17" s="44">
        <f t="shared" ref="J17:J23" si="25">IF(I17="",H17,I17)</f>
        <v>54</v>
      </c>
      <c r="K17" s="43">
        <v>10.89</v>
      </c>
      <c r="L17" s="40"/>
      <c r="M17" s="44">
        <f t="shared" ref="M17:M23" si="26">IF(L17="",K17,L17)</f>
        <v>10.89</v>
      </c>
      <c r="N17" s="43">
        <v>6.81</v>
      </c>
      <c r="O17" s="43">
        <v>4.17</v>
      </c>
      <c r="P17" s="53">
        <f t="shared" ref="P17:P29" si="27">N17-O17</f>
        <v>2.6399999999999997</v>
      </c>
      <c r="Q17" s="46">
        <v>1210</v>
      </c>
      <c r="R17" s="71">
        <f>S17*T17</f>
        <v>0.47250000000000003</v>
      </c>
      <c r="S17" s="71">
        <v>0.63</v>
      </c>
      <c r="T17" s="71">
        <v>0.75</v>
      </c>
      <c r="U17" s="71"/>
      <c r="V17" s="40"/>
      <c r="W17" s="53">
        <f t="shared" si="4"/>
        <v>7.929515418502203</v>
      </c>
      <c r="X17" s="53">
        <f t="shared" si="5"/>
        <v>4.9586776859504127</v>
      </c>
      <c r="Y17" s="53">
        <f t="shared" si="6"/>
        <v>2.6115107913669067</v>
      </c>
      <c r="Z17" s="43">
        <v>12.8</v>
      </c>
      <c r="AA17" s="73">
        <f t="shared" si="7"/>
        <v>4.8888888888888885E-2</v>
      </c>
      <c r="AB17" s="55">
        <f t="shared" si="12"/>
        <v>214.1640675887451</v>
      </c>
      <c r="AC17" s="74">
        <f t="shared" ref="AC17:AC28" si="28">J17*M17*N17</f>
        <v>4004.6886</v>
      </c>
      <c r="AD17" s="74">
        <f t="shared" ref="AD17:AD28" si="29">J17*(M17+N17)</f>
        <v>955.8</v>
      </c>
      <c r="AE17" s="74">
        <f t="shared" ref="AE17:AE28" si="30">J17*(M17+2*N17)</f>
        <v>1323.54</v>
      </c>
      <c r="AI17" s="43">
        <v>1</v>
      </c>
      <c r="AJ17" s="46">
        <v>3245.1</v>
      </c>
      <c r="AK17" s="46">
        <f>AI17*AJ17</f>
        <v>3245.1</v>
      </c>
      <c r="AL17" s="46">
        <f t="shared" ref="AL17:AL23" si="31">AK17^0.5</f>
        <v>56.965779201201137</v>
      </c>
      <c r="AM17" s="43">
        <v>16</v>
      </c>
      <c r="AN17" s="43">
        <v>12</v>
      </c>
      <c r="AO17" s="43" t="s">
        <v>757</v>
      </c>
      <c r="AP17" s="84"/>
      <c r="AQ17" s="43">
        <v>39</v>
      </c>
      <c r="AR17" s="84"/>
      <c r="AS17" s="46">
        <v>505.78</v>
      </c>
      <c r="AT17" s="46">
        <v>94.38</v>
      </c>
      <c r="AU17" s="46">
        <v>45.98</v>
      </c>
      <c r="AV17" s="46">
        <v>26.62</v>
      </c>
      <c r="AW17" s="46">
        <v>95.59</v>
      </c>
      <c r="AX17" s="46">
        <v>89.54</v>
      </c>
      <c r="AY17" s="46">
        <v>12.1</v>
      </c>
      <c r="AZ17" s="46">
        <f t="shared" ref="AZ17:AZ23" si="32">SUM(AS17:AY17)</f>
        <v>869.99</v>
      </c>
      <c r="BA17" s="40"/>
      <c r="BB17" s="46">
        <f t="shared" ref="BB17:BB23" si="33">SUM(AZ17:BA17)</f>
        <v>869.99</v>
      </c>
      <c r="BC17" s="40"/>
      <c r="BD17" s="46">
        <v>340.01</v>
      </c>
      <c r="BE17" s="43">
        <v>1210</v>
      </c>
      <c r="BF17" s="43">
        <f>AM17/SQRT(J17*3.2808)</f>
        <v>1.2020795934218418</v>
      </c>
      <c r="BG17" s="43">
        <f>BF17*1.6878/SQRT(32.174)</f>
        <v>0.35768578291822223</v>
      </c>
      <c r="BH17" s="43"/>
      <c r="BI17" s="43"/>
      <c r="BJ17" s="43"/>
      <c r="BK17" s="43"/>
      <c r="BL17" s="43"/>
      <c r="BM17" s="43"/>
      <c r="BN17" s="43"/>
      <c r="BO17" s="43"/>
      <c r="BP17" s="43"/>
      <c r="BQ17" s="43"/>
      <c r="BR17" s="44">
        <f t="shared" ref="BR17:BX17" si="34">AS17/$BB17*100</f>
        <v>58.136300417246169</v>
      </c>
      <c r="BS17" s="44">
        <f t="shared" si="34"/>
        <v>10.848400556328233</v>
      </c>
      <c r="BT17" s="44">
        <f t="shared" si="34"/>
        <v>5.285118219749652</v>
      </c>
      <c r="BU17" s="44">
        <f t="shared" si="34"/>
        <v>3.05980528511822</v>
      </c>
      <c r="BV17" s="44">
        <f t="shared" si="34"/>
        <v>10.987482614742698</v>
      </c>
      <c r="BW17" s="44">
        <f t="shared" si="34"/>
        <v>10.292072322670375</v>
      </c>
      <c r="BX17" s="44">
        <f t="shared" si="34"/>
        <v>1.3908205841446453</v>
      </c>
      <c r="BY17" s="44">
        <f>BA17/$BB17*100</f>
        <v>0</v>
      </c>
      <c r="BZ17" s="40"/>
      <c r="CA17" s="43"/>
      <c r="CB17" s="43"/>
      <c r="CC17" s="43"/>
      <c r="CD17" s="43"/>
      <c r="CE17" s="43"/>
      <c r="CF17" s="43"/>
      <c r="CG17" s="43"/>
      <c r="CH17" s="43"/>
      <c r="CI17" s="43"/>
      <c r="CJ17" s="43"/>
      <c r="CK17" s="43"/>
      <c r="CL17" s="43"/>
      <c r="CM17" s="43"/>
      <c r="CN17" s="43"/>
      <c r="CO17" s="43"/>
      <c r="CP17" s="40"/>
      <c r="CQ17" s="43"/>
      <c r="CR17" s="43"/>
      <c r="CS17" s="43"/>
      <c r="CT17" s="40"/>
      <c r="CU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row>
    <row r="18" spans="1:153" ht="12.75">
      <c r="A18" s="42" t="s">
        <v>758</v>
      </c>
      <c r="C18" s="43" t="s">
        <v>755</v>
      </c>
      <c r="D18" s="43" t="s">
        <v>759</v>
      </c>
      <c r="E18" s="43" t="s">
        <v>720</v>
      </c>
      <c r="F18" s="42">
        <v>1983</v>
      </c>
      <c r="G18" s="43"/>
      <c r="H18" s="43">
        <v>63</v>
      </c>
      <c r="I18" s="43"/>
      <c r="J18" s="44">
        <f t="shared" si="25"/>
        <v>63</v>
      </c>
      <c r="K18" s="43">
        <v>10</v>
      </c>
      <c r="L18" s="43"/>
      <c r="M18" s="44">
        <f t="shared" si="26"/>
        <v>10</v>
      </c>
      <c r="N18" s="43">
        <v>5.5</v>
      </c>
      <c r="O18" s="43">
        <v>2.72</v>
      </c>
      <c r="P18" s="53">
        <f t="shared" si="27"/>
        <v>2.78</v>
      </c>
      <c r="Q18" s="46">
        <v>662</v>
      </c>
      <c r="R18" s="71">
        <f>S18*T18</f>
        <v>0.40019999999999994</v>
      </c>
      <c r="S18" s="71">
        <v>0.57999999999999996</v>
      </c>
      <c r="T18" s="71">
        <v>0.69</v>
      </c>
      <c r="U18" s="71"/>
      <c r="W18" s="53">
        <f t="shared" si="4"/>
        <v>11.454545454545455</v>
      </c>
      <c r="X18" s="53">
        <f t="shared" si="5"/>
        <v>6.3</v>
      </c>
      <c r="Y18" s="53">
        <f t="shared" si="6"/>
        <v>3.6764705882352939</v>
      </c>
      <c r="Z18" s="43">
        <v>21.7</v>
      </c>
      <c r="AA18" s="73">
        <f t="shared" si="7"/>
        <v>4.4126984126984126E-2</v>
      </c>
      <c r="AB18" s="55">
        <f t="shared" si="12"/>
        <v>73.786830717417644</v>
      </c>
      <c r="AC18" s="74">
        <f t="shared" si="28"/>
        <v>3465</v>
      </c>
      <c r="AD18" s="74">
        <f t="shared" si="29"/>
        <v>976.5</v>
      </c>
      <c r="AE18" s="74">
        <f t="shared" si="30"/>
        <v>1323</v>
      </c>
      <c r="AF18" s="43"/>
      <c r="AG18" s="43"/>
      <c r="AH18" s="43"/>
      <c r="AI18" s="43">
        <v>2</v>
      </c>
      <c r="AJ18" s="88">
        <v>5292.1239999999998</v>
      </c>
      <c r="AK18" s="46">
        <f>AI18*AJ18</f>
        <v>10584.248</v>
      </c>
      <c r="AL18" s="46">
        <f t="shared" si="31"/>
        <v>102.87977449430961</v>
      </c>
      <c r="AM18" s="43">
        <v>28</v>
      </c>
      <c r="AN18" s="43">
        <v>12</v>
      </c>
      <c r="AO18" s="43" t="s">
        <v>760</v>
      </c>
      <c r="AP18" s="84"/>
      <c r="AQ18" s="43">
        <v>44</v>
      </c>
      <c r="AR18" s="84"/>
      <c r="AS18" s="46">
        <v>217.136</v>
      </c>
      <c r="AT18" s="46">
        <v>162.852</v>
      </c>
      <c r="AU18" s="46">
        <v>25.155999999999999</v>
      </c>
      <c r="AV18" s="46">
        <v>27.803999999999998</v>
      </c>
      <c r="AW18" s="46">
        <v>52.298000000000002</v>
      </c>
      <c r="AX18" s="46">
        <v>44.353999999999999</v>
      </c>
      <c r="AY18" s="46">
        <v>12.577999999999999</v>
      </c>
      <c r="AZ18" s="46">
        <f t="shared" si="32"/>
        <v>542.178</v>
      </c>
      <c r="BA18" s="43"/>
      <c r="BB18" s="46">
        <f t="shared" si="33"/>
        <v>542.178</v>
      </c>
      <c r="BC18" s="43"/>
      <c r="BD18" s="46">
        <v>119.822</v>
      </c>
      <c r="BE18" s="43">
        <v>662</v>
      </c>
      <c r="BF18" s="43">
        <f>AM18/SQRT(J18*3.2808)</f>
        <v>1.947591535953626</v>
      </c>
      <c r="BG18" s="43">
        <f>BF18*1.6878/SQRT(32.174)</f>
        <v>0.57951720265000051</v>
      </c>
      <c r="BH18" s="43"/>
      <c r="BI18" s="43"/>
      <c r="BJ18" s="43"/>
      <c r="BK18" s="43"/>
      <c r="BL18" s="43"/>
      <c r="BM18" s="43"/>
      <c r="BN18" s="43"/>
      <c r="BO18" s="43"/>
      <c r="BP18" s="43"/>
      <c r="BQ18" s="43"/>
      <c r="BR18" s="44">
        <f t="shared" ref="BR18:BX18" si="35">AS18/$BB18*100</f>
        <v>40.048840048840049</v>
      </c>
      <c r="BS18" s="44">
        <f t="shared" si="35"/>
        <v>30.036630036630036</v>
      </c>
      <c r="BT18" s="44">
        <f t="shared" si="35"/>
        <v>4.6398046398046393</v>
      </c>
      <c r="BU18" s="44">
        <f t="shared" si="35"/>
        <v>5.1282051282051277</v>
      </c>
      <c r="BV18" s="44">
        <f t="shared" si="35"/>
        <v>9.6459096459096472</v>
      </c>
      <c r="BW18" s="44">
        <f t="shared" si="35"/>
        <v>8.1807081807081801</v>
      </c>
      <c r="BX18" s="44">
        <f t="shared" si="35"/>
        <v>2.3199023199023197</v>
      </c>
      <c r="BY18" s="44">
        <f>BA18/$BB18*100</f>
        <v>0</v>
      </c>
      <c r="BZ18" s="43"/>
      <c r="CA18" s="43"/>
      <c r="CB18" s="43"/>
      <c r="CC18" s="43"/>
      <c r="CD18" s="43"/>
      <c r="CE18" s="43"/>
      <c r="CF18" s="43"/>
      <c r="CG18" s="43"/>
      <c r="CH18" s="43"/>
      <c r="CI18" s="43"/>
      <c r="CJ18" s="43"/>
      <c r="CK18" s="43"/>
      <c r="CL18" s="43"/>
      <c r="CM18" s="43"/>
      <c r="CN18" s="43"/>
      <c r="CO18" s="43"/>
      <c r="CP18" s="43"/>
      <c r="CQ18" s="43"/>
      <c r="CR18" s="43"/>
      <c r="CS18" s="43"/>
      <c r="CV18" s="43"/>
      <c r="CW18" s="43"/>
      <c r="CX18" s="43"/>
      <c r="CY18" s="43"/>
      <c r="CZ18" s="43"/>
    </row>
    <row r="19" spans="1:153" s="38" customFormat="1">
      <c r="A19" s="51"/>
      <c r="B19" s="43" t="s">
        <v>761</v>
      </c>
      <c r="C19" s="43" t="s">
        <v>762</v>
      </c>
      <c r="D19" s="43" t="s">
        <v>763</v>
      </c>
      <c r="E19" s="43" t="s">
        <v>720</v>
      </c>
      <c r="F19" s="42">
        <v>1983</v>
      </c>
      <c r="G19" s="40"/>
      <c r="H19" s="43">
        <v>67</v>
      </c>
      <c r="I19" s="40"/>
      <c r="J19" s="44">
        <f t="shared" si="25"/>
        <v>67</v>
      </c>
      <c r="K19" s="43">
        <v>10.6</v>
      </c>
      <c r="L19" s="42"/>
      <c r="M19" s="44">
        <f t="shared" si="26"/>
        <v>10.6</v>
      </c>
      <c r="N19" s="43">
        <v>5.5</v>
      </c>
      <c r="O19" s="43">
        <v>3</v>
      </c>
      <c r="P19" s="53">
        <f t="shared" si="27"/>
        <v>2.5</v>
      </c>
      <c r="Q19" s="46">
        <v>1100</v>
      </c>
      <c r="R19" s="71">
        <f>S19*T19</f>
        <v>0.48799999999999999</v>
      </c>
      <c r="S19" s="71">
        <v>0.61</v>
      </c>
      <c r="T19" s="71">
        <v>0.8</v>
      </c>
      <c r="U19" s="71"/>
      <c r="V19" s="42"/>
      <c r="W19" s="53">
        <f t="shared" si="4"/>
        <v>12.181818181818182</v>
      </c>
      <c r="X19" s="53">
        <f t="shared" si="5"/>
        <v>6.3207547169811322</v>
      </c>
      <c r="Y19" s="53">
        <f t="shared" si="6"/>
        <v>3.5333333333333332</v>
      </c>
      <c r="Z19" s="43">
        <v>24.3</v>
      </c>
      <c r="AA19" s="73">
        <f t="shared" si="7"/>
        <v>3.7313432835820892E-2</v>
      </c>
      <c r="AB19" s="55">
        <f t="shared" si="12"/>
        <v>101.93205806805344</v>
      </c>
      <c r="AC19" s="74">
        <f t="shared" si="28"/>
        <v>3906.0999999999995</v>
      </c>
      <c r="AD19" s="74">
        <f t="shared" si="29"/>
        <v>1078.7</v>
      </c>
      <c r="AE19" s="74">
        <f t="shared" si="30"/>
        <v>1447.2</v>
      </c>
      <c r="AI19" s="43">
        <v>2</v>
      </c>
      <c r="AJ19" s="46">
        <v>4699.8</v>
      </c>
      <c r="AK19" s="46">
        <f>AI19*AJ19</f>
        <v>9399.6</v>
      </c>
      <c r="AL19" s="46">
        <f t="shared" si="31"/>
        <v>96.951534283888464</v>
      </c>
      <c r="AM19" s="43">
        <v>22</v>
      </c>
      <c r="AN19" s="43">
        <v>14</v>
      </c>
      <c r="AO19" s="43" t="s">
        <v>760</v>
      </c>
      <c r="AP19" s="84"/>
      <c r="AQ19" s="43">
        <v>74</v>
      </c>
      <c r="AR19" s="84"/>
      <c r="AS19" s="46">
        <v>429</v>
      </c>
      <c r="AT19" s="46">
        <v>108.9</v>
      </c>
      <c r="AU19" s="46">
        <v>41.8</v>
      </c>
      <c r="AV19" s="46">
        <v>24.2</v>
      </c>
      <c r="AW19" s="46">
        <v>86.9</v>
      </c>
      <c r="AX19" s="46">
        <v>103.4</v>
      </c>
      <c r="AY19" s="46">
        <v>28.6</v>
      </c>
      <c r="AZ19" s="46">
        <f t="shared" si="32"/>
        <v>822.8</v>
      </c>
      <c r="BA19" s="40"/>
      <c r="BB19" s="46">
        <f t="shared" si="33"/>
        <v>822.8</v>
      </c>
      <c r="BC19" s="40"/>
      <c r="BD19" s="46">
        <v>277.2</v>
      </c>
      <c r="BE19" s="43">
        <v>1100</v>
      </c>
      <c r="BF19" s="43">
        <f>AM19/SQRT(J19*3.2808)</f>
        <v>1.4838684512636591</v>
      </c>
      <c r="BG19" s="43">
        <f>BF19*1.6878/SQRT(32.174)</f>
        <v>0.44153369846919488</v>
      </c>
      <c r="BH19" s="43"/>
      <c r="BI19" s="43"/>
      <c r="BJ19" s="43"/>
      <c r="BK19" s="43"/>
      <c r="BL19" s="43"/>
      <c r="BM19" s="43"/>
      <c r="BN19" s="43"/>
      <c r="BO19" s="43"/>
      <c r="BP19" s="43"/>
      <c r="BQ19" s="43"/>
      <c r="BR19" s="44">
        <f t="shared" ref="BR19:BX19" si="36">AS19/$BB19*100</f>
        <v>52.139037433155075</v>
      </c>
      <c r="BS19" s="44">
        <f t="shared" si="36"/>
        <v>13.23529411764706</v>
      </c>
      <c r="BT19" s="44">
        <f t="shared" si="36"/>
        <v>5.0802139037433154</v>
      </c>
      <c r="BU19" s="44">
        <f t="shared" si="36"/>
        <v>2.9411764705882351</v>
      </c>
      <c r="BV19" s="44">
        <f t="shared" si="36"/>
        <v>10.561497326203211</v>
      </c>
      <c r="BW19" s="44">
        <f t="shared" si="36"/>
        <v>12.566844919786096</v>
      </c>
      <c r="BX19" s="44">
        <f t="shared" si="36"/>
        <v>3.4759358288770059</v>
      </c>
      <c r="BY19" s="44">
        <f>BA19/$BB19*100</f>
        <v>0</v>
      </c>
      <c r="BZ19" s="40"/>
      <c r="CA19" s="43"/>
      <c r="CB19" s="43"/>
      <c r="CC19" s="43"/>
      <c r="CD19" s="43"/>
      <c r="CE19" s="43"/>
      <c r="CF19" s="43"/>
      <c r="CG19" s="43"/>
      <c r="CH19" s="43"/>
      <c r="CI19" s="43"/>
      <c r="CJ19" s="43"/>
      <c r="CK19" s="43"/>
      <c r="CL19" s="43"/>
      <c r="CM19" s="43"/>
      <c r="CN19" s="43"/>
      <c r="CO19" s="43"/>
      <c r="CP19" s="40"/>
      <c r="CQ19" s="43"/>
      <c r="CR19" s="43"/>
      <c r="CS19" s="43"/>
      <c r="CT19" s="42"/>
      <c r="CU19" s="42"/>
      <c r="CW19" s="40"/>
      <c r="CX19" s="40"/>
      <c r="CY19" s="40"/>
      <c r="CZ19" s="40"/>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row>
    <row r="20" spans="1:153" s="37" customFormat="1">
      <c r="A20" s="42" t="s">
        <v>764</v>
      </c>
      <c r="B20" s="40"/>
      <c r="C20" s="43" t="s">
        <v>755</v>
      </c>
      <c r="D20" s="43" t="s">
        <v>765</v>
      </c>
      <c r="E20" s="43" t="s">
        <v>720</v>
      </c>
      <c r="F20" s="42">
        <v>1981</v>
      </c>
      <c r="G20" s="40"/>
      <c r="H20" s="43">
        <v>72</v>
      </c>
      <c r="I20" s="40"/>
      <c r="J20" s="44">
        <f t="shared" si="25"/>
        <v>72</v>
      </c>
      <c r="K20" s="43">
        <v>11.5</v>
      </c>
      <c r="L20" s="40"/>
      <c r="M20" s="44">
        <f t="shared" si="26"/>
        <v>11.5</v>
      </c>
      <c r="N20" s="43">
        <v>7.3</v>
      </c>
      <c r="O20" s="43">
        <v>3.42</v>
      </c>
      <c r="P20" s="53">
        <f t="shared" si="27"/>
        <v>3.88</v>
      </c>
      <c r="Q20" s="46">
        <v>1450</v>
      </c>
      <c r="R20" s="71">
        <f>S20*T20</f>
        <v>0.4864</v>
      </c>
      <c r="S20" s="71">
        <v>0.64</v>
      </c>
      <c r="T20" s="71">
        <v>0.76</v>
      </c>
      <c r="U20" s="71"/>
      <c r="V20" s="42"/>
      <c r="W20" s="53">
        <f t="shared" si="4"/>
        <v>9.8630136986301373</v>
      </c>
      <c r="X20" s="53">
        <f t="shared" si="5"/>
        <v>6.2608695652173916</v>
      </c>
      <c r="Y20" s="53">
        <f t="shared" si="6"/>
        <v>3.3625730994152048</v>
      </c>
      <c r="Z20" s="43">
        <v>22.3</v>
      </c>
      <c r="AA20" s="73">
        <f t="shared" si="7"/>
        <v>5.3888888888888889E-2</v>
      </c>
      <c r="AB20" s="55">
        <f t="shared" si="12"/>
        <v>108.27121960355596</v>
      </c>
      <c r="AC20" s="74">
        <f t="shared" si="28"/>
        <v>6044.4</v>
      </c>
      <c r="AD20" s="74">
        <f t="shared" si="29"/>
        <v>1353.6000000000001</v>
      </c>
      <c r="AE20" s="74">
        <f t="shared" si="30"/>
        <v>1879.2</v>
      </c>
      <c r="AI20" s="43">
        <v>2</v>
      </c>
      <c r="AJ20" s="46">
        <v>1879.92</v>
      </c>
      <c r="AK20" s="46">
        <f>AI20*AJ20</f>
        <v>3759.84</v>
      </c>
      <c r="AL20" s="46">
        <f t="shared" si="31"/>
        <v>61.317534196997848</v>
      </c>
      <c r="AM20" s="43">
        <v>19.5</v>
      </c>
      <c r="AN20" s="43">
        <v>12</v>
      </c>
      <c r="AO20" s="43" t="s">
        <v>760</v>
      </c>
      <c r="AP20" s="84"/>
      <c r="AQ20" s="43">
        <v>50</v>
      </c>
      <c r="AR20" s="84"/>
      <c r="AS20" s="46">
        <v>613.35</v>
      </c>
      <c r="AT20" s="46">
        <v>113.1</v>
      </c>
      <c r="AU20" s="46">
        <v>56.55</v>
      </c>
      <c r="AV20" s="46">
        <v>30.45</v>
      </c>
      <c r="AW20" s="46">
        <v>100.05</v>
      </c>
      <c r="AX20" s="46">
        <v>108.75</v>
      </c>
      <c r="AY20" s="46">
        <v>14.5</v>
      </c>
      <c r="AZ20" s="46">
        <f t="shared" si="32"/>
        <v>1036.75</v>
      </c>
      <c r="BA20" s="42"/>
      <c r="BB20" s="46">
        <f t="shared" si="33"/>
        <v>1036.75</v>
      </c>
      <c r="BC20" s="42"/>
      <c r="BD20" s="46">
        <v>413.25</v>
      </c>
      <c r="BE20" s="43">
        <v>1450</v>
      </c>
      <c r="BF20" s="43">
        <f>AM20/SQRT(J20*3.2808)</f>
        <v>1.2687570983029122</v>
      </c>
      <c r="BG20" s="43">
        <f>BF20*1.6878/SQRT(32.174)</f>
        <v>0.37752606276901729</v>
      </c>
      <c r="BH20" s="43"/>
      <c r="BI20" s="43"/>
      <c r="BJ20" s="43"/>
      <c r="BK20" s="43"/>
      <c r="BL20" s="43"/>
      <c r="BM20" s="43"/>
      <c r="BN20" s="43"/>
      <c r="BO20" s="43"/>
      <c r="BP20" s="43"/>
      <c r="BQ20" s="43"/>
      <c r="BR20" s="44">
        <f t="shared" ref="BR20:BX20" si="37">AS20/$BB20*100</f>
        <v>59.16083916083916</v>
      </c>
      <c r="BS20" s="44">
        <f t="shared" si="37"/>
        <v>10.909090909090908</v>
      </c>
      <c r="BT20" s="44">
        <f t="shared" si="37"/>
        <v>5.4545454545454541</v>
      </c>
      <c r="BU20" s="44">
        <f t="shared" si="37"/>
        <v>2.9370629370629371</v>
      </c>
      <c r="BV20" s="44">
        <f t="shared" si="37"/>
        <v>9.65034965034965</v>
      </c>
      <c r="BW20" s="44">
        <f t="shared" si="37"/>
        <v>10.48951048951049</v>
      </c>
      <c r="BX20" s="44">
        <f t="shared" si="37"/>
        <v>1.3986013986013985</v>
      </c>
      <c r="BY20" s="44">
        <f>BA20/$BB20*100</f>
        <v>0</v>
      </c>
      <c r="BZ20" s="40"/>
      <c r="CA20" s="43"/>
      <c r="CB20" s="43"/>
      <c r="CC20" s="43"/>
      <c r="CD20" s="43"/>
      <c r="CE20" s="43"/>
      <c r="CF20" s="43"/>
      <c r="CG20" s="43"/>
      <c r="CH20" s="43"/>
      <c r="CI20" s="43"/>
      <c r="CJ20" s="43"/>
      <c r="CK20" s="43"/>
      <c r="CL20" s="43"/>
      <c r="CM20" s="43"/>
      <c r="CN20" s="43"/>
      <c r="CO20" s="43"/>
      <c r="CP20" s="40"/>
      <c r="CQ20" s="43"/>
      <c r="CR20" s="43"/>
      <c r="CS20" s="43"/>
      <c r="CT20" s="42"/>
      <c r="CU20" s="42"/>
      <c r="CW20" s="42"/>
      <c r="CX20" s="40"/>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row>
    <row r="21" spans="1:153" s="37" customFormat="1">
      <c r="A21" s="50" t="s">
        <v>766</v>
      </c>
      <c r="B21" s="43" t="s">
        <v>767</v>
      </c>
      <c r="C21" s="43" t="s">
        <v>768</v>
      </c>
      <c r="D21" s="43" t="s">
        <v>769</v>
      </c>
      <c r="E21" s="42" t="s">
        <v>770</v>
      </c>
      <c r="F21" s="51"/>
      <c r="G21" s="44">
        <v>81</v>
      </c>
      <c r="H21" s="40"/>
      <c r="I21" s="44">
        <v>77.7</v>
      </c>
      <c r="J21" s="44">
        <f t="shared" si="25"/>
        <v>77.7</v>
      </c>
      <c r="K21" s="45">
        <v>11.5</v>
      </c>
      <c r="L21" s="45">
        <v>11.5</v>
      </c>
      <c r="M21" s="44">
        <f t="shared" si="26"/>
        <v>11.5</v>
      </c>
      <c r="N21" s="63">
        <v>9.5</v>
      </c>
      <c r="O21" s="45">
        <v>4.2</v>
      </c>
      <c r="P21" s="53">
        <f t="shared" si="27"/>
        <v>5.3</v>
      </c>
      <c r="Q21" s="46">
        <f>BE21</f>
        <v>1823.6</v>
      </c>
      <c r="R21" s="71">
        <f>S21*T21</f>
        <v>0.44541199999999997</v>
      </c>
      <c r="S21" s="71">
        <v>0.58299999999999996</v>
      </c>
      <c r="T21" s="71">
        <v>0.76400000000000001</v>
      </c>
      <c r="U21" s="71"/>
      <c r="V21" s="40"/>
      <c r="W21" s="53">
        <f t="shared" si="4"/>
        <v>8.1789473684210527</v>
      </c>
      <c r="X21" s="53">
        <f t="shared" si="5"/>
        <v>6.7565217391304353</v>
      </c>
      <c r="Y21" s="53">
        <f t="shared" si="6"/>
        <v>2.7380952380952381</v>
      </c>
      <c r="Z21" s="45">
        <f>I21/O21</f>
        <v>18.5</v>
      </c>
      <c r="AA21" s="73">
        <f t="shared" si="7"/>
        <v>6.8211068211068204E-2</v>
      </c>
      <c r="AB21" s="55">
        <f t="shared" si="12"/>
        <v>108.34504219007422</v>
      </c>
      <c r="AC21" s="74">
        <f t="shared" si="28"/>
        <v>8488.7250000000004</v>
      </c>
      <c r="AD21" s="74">
        <f t="shared" si="29"/>
        <v>1631.7</v>
      </c>
      <c r="AE21" s="74">
        <f t="shared" si="30"/>
        <v>2369.85</v>
      </c>
      <c r="AF21" s="245">
        <f>232159.5/3.2808^3</f>
        <v>6574.2647726380183</v>
      </c>
      <c r="AG21" s="245">
        <f>181033/3.2808^3</f>
        <v>5126.4707004666116</v>
      </c>
      <c r="AH21" s="245">
        <f>51126.5/3.2808^3</f>
        <v>1447.7940721714065</v>
      </c>
      <c r="AI21" s="84"/>
      <c r="AJ21" s="84"/>
      <c r="AK21" s="46">
        <v>5440</v>
      </c>
      <c r="AL21" s="46">
        <f t="shared" si="31"/>
        <v>73.756355658343097</v>
      </c>
      <c r="AM21" s="84"/>
      <c r="AN21" s="84"/>
      <c r="AO21" s="43" t="s">
        <v>263</v>
      </c>
      <c r="AP21" s="84"/>
      <c r="AQ21" s="46">
        <v>105</v>
      </c>
      <c r="AR21" s="46">
        <f>AQ21*AC21</f>
        <v>891316.125</v>
      </c>
      <c r="AS21" s="46">
        <v>743.5</v>
      </c>
      <c r="AT21" s="43">
        <v>169</v>
      </c>
      <c r="AU21" s="46">
        <v>83.4</v>
      </c>
      <c r="AV21" s="46">
        <v>50.6</v>
      </c>
      <c r="AW21" s="43">
        <v>217</v>
      </c>
      <c r="AX21" s="46">
        <v>171.1</v>
      </c>
      <c r="AY21" s="46">
        <v>12.9</v>
      </c>
      <c r="AZ21" s="46">
        <f t="shared" si="32"/>
        <v>1447.5</v>
      </c>
      <c r="BA21" s="46">
        <v>0</v>
      </c>
      <c r="BB21" s="46">
        <f t="shared" si="33"/>
        <v>1447.5</v>
      </c>
      <c r="BC21" s="40"/>
      <c r="BD21" s="46">
        <v>376.1</v>
      </c>
      <c r="BE21" s="46">
        <f>SUM(BB21:BD21)</f>
        <v>1823.6</v>
      </c>
      <c r="BF21" s="42"/>
      <c r="BG21" s="42"/>
      <c r="BH21" s="46"/>
      <c r="BI21" s="46"/>
      <c r="BJ21" s="46"/>
      <c r="BK21" s="46"/>
      <c r="BL21" s="46"/>
      <c r="BM21" s="46"/>
      <c r="BN21" s="46"/>
      <c r="BO21" s="46"/>
      <c r="BP21" s="46"/>
      <c r="BQ21" s="46"/>
      <c r="BR21" s="44">
        <f t="shared" ref="BR21:BX21" si="38">AS21/$BB21*100</f>
        <v>51.364421416234883</v>
      </c>
      <c r="BS21" s="44">
        <f t="shared" si="38"/>
        <v>11.675302245250432</v>
      </c>
      <c r="BT21" s="44">
        <f t="shared" si="38"/>
        <v>5.7616580310880838</v>
      </c>
      <c r="BU21" s="44">
        <f t="shared" si="38"/>
        <v>3.4956822107081176</v>
      </c>
      <c r="BV21" s="44">
        <f t="shared" si="38"/>
        <v>14.991364421416234</v>
      </c>
      <c r="BW21" s="44">
        <f t="shared" si="38"/>
        <v>11.820379965457684</v>
      </c>
      <c r="BX21" s="44">
        <f t="shared" si="38"/>
        <v>0.89119170984455953</v>
      </c>
      <c r="BY21" s="44">
        <f>BA21/$BB21*100</f>
        <v>0</v>
      </c>
      <c r="BZ21" s="45">
        <v>5.18</v>
      </c>
      <c r="CA21" s="45">
        <v>3.19</v>
      </c>
      <c r="CB21" s="45">
        <v>5.98</v>
      </c>
      <c r="CC21" s="45">
        <v>9.43</v>
      </c>
      <c r="CD21" s="45">
        <v>6.25</v>
      </c>
      <c r="CE21" s="45">
        <v>6.62</v>
      </c>
      <c r="CF21" s="45">
        <v>10.38</v>
      </c>
      <c r="CG21" s="40"/>
      <c r="CH21" s="45">
        <v>5.52</v>
      </c>
      <c r="CI21" s="40"/>
      <c r="CJ21" s="40"/>
      <c r="CK21" s="45">
        <f t="shared" ref="CK21:CS21" si="39">BZ21/$N21</f>
        <v>0.54526315789473678</v>
      </c>
      <c r="CL21" s="45">
        <f t="shared" si="39"/>
        <v>0.33578947368421053</v>
      </c>
      <c r="CM21" s="45">
        <f t="shared" si="39"/>
        <v>0.62947368421052641</v>
      </c>
      <c r="CN21" s="45">
        <f t="shared" si="39"/>
        <v>0.99263157894736842</v>
      </c>
      <c r="CO21" s="45">
        <f t="shared" si="39"/>
        <v>0.65789473684210531</v>
      </c>
      <c r="CP21" s="45">
        <f t="shared" si="39"/>
        <v>0.69684210526315793</v>
      </c>
      <c r="CQ21" s="45">
        <f t="shared" si="39"/>
        <v>1.0926315789473684</v>
      </c>
      <c r="CR21" s="45">
        <f t="shared" si="39"/>
        <v>0</v>
      </c>
      <c r="CS21" s="45">
        <f t="shared" si="39"/>
        <v>0.58105263157894738</v>
      </c>
      <c r="CT21" s="40"/>
      <c r="CU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row>
    <row r="22" spans="1:153">
      <c r="A22" s="50" t="s">
        <v>766</v>
      </c>
      <c r="B22" s="43" t="s">
        <v>767</v>
      </c>
      <c r="C22" s="43" t="s">
        <v>768</v>
      </c>
      <c r="D22" s="43" t="s">
        <v>771</v>
      </c>
      <c r="E22" s="43" t="s">
        <v>720</v>
      </c>
      <c r="G22" s="44">
        <v>81</v>
      </c>
      <c r="H22" s="40"/>
      <c r="I22" s="44">
        <v>77.7</v>
      </c>
      <c r="J22" s="44">
        <f t="shared" si="25"/>
        <v>77.7</v>
      </c>
      <c r="K22" s="45">
        <v>11.6</v>
      </c>
      <c r="M22" s="44">
        <f t="shared" si="26"/>
        <v>11.6</v>
      </c>
      <c r="N22" s="63">
        <v>9.5</v>
      </c>
      <c r="O22" s="45">
        <v>3.9</v>
      </c>
      <c r="P22" s="53">
        <f t="shared" si="27"/>
        <v>5.6</v>
      </c>
      <c r="Q22" s="46">
        <v>1606</v>
      </c>
      <c r="R22" s="71">
        <f>Q22/(1.025*I22*K22*O22)</f>
        <v>0.44573635826789737</v>
      </c>
      <c r="S22" s="71">
        <v>0.59399999999999997</v>
      </c>
      <c r="T22" s="71">
        <v>0.76</v>
      </c>
      <c r="U22" s="71">
        <v>0.76500000000000001</v>
      </c>
      <c r="V22" s="43">
        <v>4.8599999999999997E-2</v>
      </c>
      <c r="W22" s="53">
        <f t="shared" si="4"/>
        <v>8.1789473684210527</v>
      </c>
      <c r="X22" s="53">
        <f t="shared" si="5"/>
        <v>6.6982758620689662</v>
      </c>
      <c r="Y22" s="53">
        <f t="shared" si="6"/>
        <v>2.9743589743589745</v>
      </c>
      <c r="Z22" s="45">
        <f>I22/O22</f>
        <v>19.923076923076923</v>
      </c>
      <c r="AA22" s="73">
        <f t="shared" si="7"/>
        <v>7.2072072072072071E-2</v>
      </c>
      <c r="AB22" s="55">
        <f t="shared" si="12"/>
        <v>95.416833602357542</v>
      </c>
      <c r="AC22" s="74">
        <f t="shared" si="28"/>
        <v>8562.5400000000009</v>
      </c>
      <c r="AD22" s="74">
        <f t="shared" si="29"/>
        <v>1639.4700000000003</v>
      </c>
      <c r="AE22" s="74">
        <f t="shared" si="30"/>
        <v>2377.6200000000003</v>
      </c>
      <c r="AF22" s="245">
        <f>232159.5/3.2808^3</f>
        <v>6574.2647726380183</v>
      </c>
      <c r="AG22" s="245">
        <f>181033/3.2808^3</f>
        <v>5126.4707004666116</v>
      </c>
      <c r="AH22" s="245">
        <f>51126.5/3.2808^3</f>
        <v>1447.7940721714065</v>
      </c>
      <c r="AI22" s="84"/>
      <c r="AJ22" s="84"/>
      <c r="AK22" s="46">
        <v>5440</v>
      </c>
      <c r="AL22" s="46">
        <f t="shared" si="31"/>
        <v>73.756355658343097</v>
      </c>
      <c r="AM22" s="84"/>
      <c r="AN22" s="84"/>
      <c r="AO22" s="43" t="s">
        <v>263</v>
      </c>
      <c r="AP22" s="84"/>
      <c r="AQ22" s="46">
        <v>105</v>
      </c>
      <c r="AR22" s="46">
        <f>AQ22*AC22</f>
        <v>899066.70000000007</v>
      </c>
      <c r="AS22" s="46">
        <v>585</v>
      </c>
      <c r="AT22" s="46">
        <v>168</v>
      </c>
      <c r="AU22" s="46">
        <v>64</v>
      </c>
      <c r="AV22" s="46">
        <v>38</v>
      </c>
      <c r="AW22" s="46">
        <v>210</v>
      </c>
      <c r="AX22" s="46">
        <v>183</v>
      </c>
      <c r="AY22" s="46">
        <v>11</v>
      </c>
      <c r="AZ22" s="46">
        <f t="shared" si="32"/>
        <v>1259</v>
      </c>
      <c r="BA22" s="46">
        <v>0</v>
      </c>
      <c r="BB22" s="46">
        <f t="shared" si="33"/>
        <v>1259</v>
      </c>
      <c r="BC22" s="40"/>
      <c r="BD22" s="46">
        <v>348</v>
      </c>
      <c r="BE22" s="46">
        <v>1606</v>
      </c>
      <c r="BF22" s="40"/>
      <c r="BG22" s="40"/>
      <c r="BR22" s="44">
        <f t="shared" ref="BR22:BX22" si="40">AS22/$BB22*100</f>
        <v>46.465448768864178</v>
      </c>
      <c r="BS22" s="44">
        <f t="shared" si="40"/>
        <v>13.343923749007146</v>
      </c>
      <c r="BT22" s="44">
        <f t="shared" si="40"/>
        <v>5.0833995234312948</v>
      </c>
      <c r="BU22" s="44">
        <f t="shared" si="40"/>
        <v>3.0182684670373314</v>
      </c>
      <c r="BV22" s="44">
        <f t="shared" si="40"/>
        <v>16.679904686258936</v>
      </c>
      <c r="BW22" s="44">
        <f t="shared" si="40"/>
        <v>14.535345512311359</v>
      </c>
      <c r="BX22" s="44">
        <f t="shared" si="40"/>
        <v>0.87370929308975376</v>
      </c>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row>
    <row r="23" spans="1:153" s="37" customFormat="1" ht="12.75">
      <c r="A23" s="42" t="s">
        <v>772</v>
      </c>
      <c r="B23" s="43"/>
      <c r="C23" s="43" t="s">
        <v>773</v>
      </c>
      <c r="D23" s="43" t="s">
        <v>774</v>
      </c>
      <c r="E23" s="43" t="s">
        <v>720</v>
      </c>
      <c r="F23" s="42">
        <v>1981</v>
      </c>
      <c r="G23" s="43"/>
      <c r="H23" s="43">
        <v>94</v>
      </c>
      <c r="I23" s="43"/>
      <c r="J23" s="44">
        <f t="shared" si="25"/>
        <v>94</v>
      </c>
      <c r="K23" s="43">
        <v>13.1</v>
      </c>
      <c r="L23" s="43"/>
      <c r="M23" s="44">
        <f t="shared" si="26"/>
        <v>13.1</v>
      </c>
      <c r="N23" s="43">
        <v>8.25</v>
      </c>
      <c r="O23" s="43">
        <v>4.32</v>
      </c>
      <c r="P23" s="53">
        <f t="shared" si="27"/>
        <v>3.9299999999999997</v>
      </c>
      <c r="Q23" s="46">
        <v>3200</v>
      </c>
      <c r="R23" s="71">
        <f>S23*T23</f>
        <v>0.54270000000000007</v>
      </c>
      <c r="S23" s="71">
        <v>0.67</v>
      </c>
      <c r="T23" s="71">
        <v>0.81</v>
      </c>
      <c r="U23" s="71"/>
      <c r="V23" s="43"/>
      <c r="W23" s="53">
        <f t="shared" si="4"/>
        <v>11.393939393939394</v>
      </c>
      <c r="X23" s="53">
        <f t="shared" si="5"/>
        <v>7.1755725190839694</v>
      </c>
      <c r="Y23" s="53">
        <f t="shared" si="6"/>
        <v>3.032407407407407</v>
      </c>
      <c r="Z23" s="43">
        <v>24.5</v>
      </c>
      <c r="AA23" s="73">
        <f t="shared" si="7"/>
        <v>4.1808510638297866E-2</v>
      </c>
      <c r="AB23" s="55">
        <f t="shared" si="12"/>
        <v>107.37642326834904</v>
      </c>
      <c r="AC23" s="74">
        <f t="shared" si="28"/>
        <v>10159.049999999999</v>
      </c>
      <c r="AD23" s="74">
        <f t="shared" si="29"/>
        <v>2006.9</v>
      </c>
      <c r="AE23" s="74">
        <f t="shared" si="30"/>
        <v>2782.4</v>
      </c>
      <c r="AI23" s="43">
        <v>2</v>
      </c>
      <c r="AJ23" s="46">
        <v>5371.2</v>
      </c>
      <c r="AK23" s="46">
        <f>AI23*AJ23</f>
        <v>10742.4</v>
      </c>
      <c r="AL23" s="46">
        <f t="shared" si="31"/>
        <v>103.64554983210809</v>
      </c>
      <c r="AM23" s="43">
        <v>22.5</v>
      </c>
      <c r="AN23" s="43">
        <v>15</v>
      </c>
      <c r="AO23" s="43" t="s">
        <v>757</v>
      </c>
      <c r="AP23" s="84"/>
      <c r="AQ23" s="43">
        <v>46</v>
      </c>
      <c r="AR23" s="43"/>
      <c r="AS23" s="46">
        <v>1584</v>
      </c>
      <c r="AT23" s="46">
        <v>380.8</v>
      </c>
      <c r="AU23" s="46">
        <v>144</v>
      </c>
      <c r="AV23" s="46">
        <v>41.6</v>
      </c>
      <c r="AW23" s="46">
        <v>224</v>
      </c>
      <c r="AX23" s="46">
        <v>92.8</v>
      </c>
      <c r="AY23" s="46">
        <v>57.6</v>
      </c>
      <c r="AZ23" s="46">
        <f t="shared" si="32"/>
        <v>2524.8000000000002</v>
      </c>
      <c r="BA23" s="43"/>
      <c r="BB23" s="46">
        <f t="shared" si="33"/>
        <v>2524.8000000000002</v>
      </c>
      <c r="BC23" s="43"/>
      <c r="BD23" s="46">
        <v>675.2</v>
      </c>
      <c r="BE23" s="43">
        <v>3200</v>
      </c>
      <c r="BF23" s="43">
        <f>AM23/SQRT(J23*3.2808)</f>
        <v>1.2812347617012532</v>
      </c>
      <c r="BG23" s="43">
        <f>BF23*1.6878/SQRT(32.174)</f>
        <v>0.38123886417255914</v>
      </c>
      <c r="BH23" s="43"/>
      <c r="BI23" s="43"/>
      <c r="BJ23" s="43"/>
      <c r="BK23" s="43"/>
      <c r="BL23" s="43"/>
      <c r="BM23" s="43"/>
      <c r="BN23" s="43"/>
      <c r="BO23" s="43"/>
      <c r="BP23" s="43"/>
      <c r="BQ23" s="43"/>
      <c r="BR23" s="44">
        <f t="shared" ref="BR23:BX23" si="41">AS23/$BB23*100</f>
        <v>62.73764258555132</v>
      </c>
      <c r="BS23" s="44">
        <f t="shared" si="41"/>
        <v>15.082382762991129</v>
      </c>
      <c r="BT23" s="44">
        <f t="shared" si="41"/>
        <v>5.7034220532319386</v>
      </c>
      <c r="BU23" s="44">
        <f t="shared" si="41"/>
        <v>1.6476552598225602</v>
      </c>
      <c r="BV23" s="44">
        <f t="shared" si="41"/>
        <v>8.8719898605830156</v>
      </c>
      <c r="BW23" s="44">
        <f t="shared" si="41"/>
        <v>3.6755386565272499</v>
      </c>
      <c r="BX23" s="44">
        <f t="shared" si="41"/>
        <v>2.2813688212927752</v>
      </c>
      <c r="BY23" s="44">
        <f>BA23/$BB23*100</f>
        <v>0</v>
      </c>
      <c r="BZ23" s="43"/>
      <c r="CA23" s="43"/>
      <c r="CB23" s="43"/>
      <c r="CC23" s="43"/>
      <c r="CD23" s="43"/>
      <c r="CE23" s="43"/>
      <c r="CF23" s="43"/>
      <c r="CG23" s="43"/>
      <c r="CH23" s="43"/>
      <c r="CI23" s="43"/>
      <c r="CJ23" s="43"/>
      <c r="CK23" s="43"/>
      <c r="CL23" s="43"/>
      <c r="CM23" s="43"/>
      <c r="CN23" s="43"/>
      <c r="CO23" s="43"/>
      <c r="CP23" s="43"/>
      <c r="CQ23" s="43"/>
      <c r="CR23" s="43"/>
      <c r="CS23" s="43"/>
      <c r="CT23" s="43"/>
      <c r="CU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row>
    <row r="24" spans="1:153" s="37" customFormat="1" ht="12.75">
      <c r="A24" s="38"/>
      <c r="B24" s="54" t="s">
        <v>775</v>
      </c>
      <c r="C24" s="54" t="s">
        <v>768</v>
      </c>
      <c r="D24" s="54" t="s">
        <v>776</v>
      </c>
      <c r="E24" s="54" t="s">
        <v>741</v>
      </c>
      <c r="F24" s="38"/>
      <c r="G24" s="55">
        <v>38.2528651548403</v>
      </c>
      <c r="H24" s="55"/>
      <c r="I24" s="55">
        <v>39.6244818336991</v>
      </c>
      <c r="J24" s="44">
        <f t="shared" ref="J24:J29" si="42">IF(I24="",H24,I24)</f>
        <v>39.6244818336991</v>
      </c>
      <c r="K24" s="53">
        <v>6.6447207998049302</v>
      </c>
      <c r="L24" s="53">
        <v>6.85808339429407</v>
      </c>
      <c r="M24" s="44">
        <f t="shared" ref="M24:M29" si="43">IF(L24="",K24,L24)</f>
        <v>6.85808339429407</v>
      </c>
      <c r="N24" s="53">
        <v>3.5265788831992202</v>
      </c>
      <c r="O24" s="53">
        <v>2.2342111680077998</v>
      </c>
      <c r="P24" s="53">
        <f t="shared" si="27"/>
        <v>1.2923677151914204</v>
      </c>
      <c r="Q24" s="72">
        <v>201.179352263449</v>
      </c>
      <c r="R24" s="38"/>
      <c r="S24" s="38"/>
      <c r="T24" s="38"/>
      <c r="U24" s="38"/>
      <c r="V24" s="38"/>
      <c r="W24" s="53">
        <f t="shared" si="4"/>
        <v>11.235955056179774</v>
      </c>
      <c r="X24" s="53">
        <f t="shared" si="5"/>
        <v>5.7777777777777821</v>
      </c>
      <c r="Y24" s="53">
        <f t="shared" si="6"/>
        <v>3.0695770804911344</v>
      </c>
      <c r="Z24" s="53">
        <f>G24/O24</f>
        <v>17.121418826739458</v>
      </c>
      <c r="AA24" s="73">
        <f t="shared" si="7"/>
        <v>3.2615384615384706E-2</v>
      </c>
      <c r="AB24" s="55">
        <f t="shared" si="12"/>
        <v>90.12289485662258</v>
      </c>
      <c r="AC24" s="74">
        <f t="shared" si="28"/>
        <v>958.34076142397305</v>
      </c>
      <c r="AD24" s="74">
        <f t="shared" si="29"/>
        <v>411.48686176363321</v>
      </c>
      <c r="AE24" s="74">
        <f t="shared" si="30"/>
        <v>551.22572265606755</v>
      </c>
      <c r="AI24" s="74">
        <v>2</v>
      </c>
      <c r="AJ24" s="74">
        <v>2833.6596199999999</v>
      </c>
      <c r="AK24" s="74">
        <v>5667.3192399999998</v>
      </c>
      <c r="AL24" s="74">
        <v>75.281599611060301</v>
      </c>
      <c r="AM24" s="74">
        <v>30</v>
      </c>
      <c r="AN24" s="84"/>
      <c r="AO24" s="74" t="s">
        <v>728</v>
      </c>
      <c r="AP24" s="74">
        <v>268</v>
      </c>
      <c r="AQ24" s="37">
        <v>19</v>
      </c>
      <c r="AR24" s="74">
        <f>AQ24*AC24</f>
        <v>18208.474467055486</v>
      </c>
      <c r="AS24" s="74">
        <v>55.791708246393902</v>
      </c>
      <c r="AT24" s="74">
        <v>30.105778826090901</v>
      </c>
      <c r="AU24" s="74">
        <v>9.2359611720947097</v>
      </c>
      <c r="AV24" s="74">
        <v>2.2150049895672699</v>
      </c>
      <c r="AW24" s="74">
        <v>19.609906559013002</v>
      </c>
      <c r="AX24" s="74">
        <v>20.453234146783998</v>
      </c>
      <c r="AY24" s="74">
        <v>2.1540415494874399</v>
      </c>
      <c r="AZ24" s="74">
        <v>139.565635489431</v>
      </c>
      <c r="BA24" s="74">
        <v>4.2166379388551203</v>
      </c>
      <c r="BB24" s="74">
        <v>143.782273428286</v>
      </c>
      <c r="BC24" s="95"/>
      <c r="BD24" s="74">
        <v>50.8028667331942</v>
      </c>
      <c r="BE24" s="74">
        <v>194.58514016148101</v>
      </c>
      <c r="BF24" s="38"/>
      <c r="BG24" s="38"/>
      <c r="BH24" s="74"/>
      <c r="BI24" s="74"/>
      <c r="BJ24" s="74"/>
      <c r="BK24" s="74"/>
      <c r="BL24" s="74"/>
      <c r="BM24" s="74"/>
      <c r="BN24" s="74"/>
      <c r="BO24" s="74"/>
      <c r="BP24" s="74"/>
      <c r="BQ24" s="74"/>
      <c r="BR24" s="74">
        <v>194.58514016148101</v>
      </c>
      <c r="BS24" s="55">
        <v>38.802911455020798</v>
      </c>
      <c r="BT24" s="55">
        <v>20.938449579535</v>
      </c>
      <c r="BU24" s="55">
        <v>6.4235743057027799</v>
      </c>
      <c r="BV24" s="55">
        <v>1.54052717122465</v>
      </c>
      <c r="BW24" s="55">
        <v>13.638612112218199</v>
      </c>
      <c r="BX24" s="55">
        <v>14.2251430994276</v>
      </c>
      <c r="BY24" s="55">
        <v>1.4981273408239699</v>
      </c>
      <c r="BZ24" s="38"/>
      <c r="CA24" s="38"/>
      <c r="CB24" s="38"/>
      <c r="CC24" s="38"/>
      <c r="CD24" s="38"/>
      <c r="CE24" s="38"/>
      <c r="CF24" s="38"/>
      <c r="CG24" s="38"/>
      <c r="CH24" s="38"/>
      <c r="CI24" s="38"/>
      <c r="CJ24" s="38"/>
      <c r="CK24" s="38"/>
      <c r="CL24" s="38"/>
      <c r="CM24" s="38"/>
      <c r="CN24" s="38"/>
      <c r="CO24" s="38"/>
      <c r="CP24" s="38"/>
      <c r="CQ24" s="38"/>
      <c r="CR24" s="38"/>
      <c r="CS24" s="38"/>
      <c r="CT24" s="38"/>
      <c r="CU24" s="38"/>
      <c r="CW24" s="38"/>
      <c r="CX24" s="101"/>
      <c r="CY24" s="101"/>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row>
    <row r="25" spans="1:153" s="37" customFormat="1" ht="12.75">
      <c r="B25" s="37" t="s">
        <v>777</v>
      </c>
      <c r="C25" s="54" t="s">
        <v>768</v>
      </c>
      <c r="D25" s="37" t="s">
        <v>778</v>
      </c>
      <c r="E25" s="54" t="s">
        <v>741</v>
      </c>
      <c r="G25" s="55">
        <v>40.0694952450622</v>
      </c>
      <c r="H25" s="55"/>
      <c r="I25" s="55">
        <v>36.561204584247697</v>
      </c>
      <c r="J25" s="44">
        <f t="shared" si="42"/>
        <v>36.561204584247697</v>
      </c>
      <c r="K25" s="53">
        <v>6.9708607656669104</v>
      </c>
      <c r="L25" s="53">
        <v>7.5012192148256496</v>
      </c>
      <c r="M25" s="44">
        <f t="shared" si="43"/>
        <v>7.5012192148256496</v>
      </c>
      <c r="N25" s="53">
        <v>5.7485979029505003</v>
      </c>
      <c r="O25" s="53">
        <v>1.4691538649110001</v>
      </c>
      <c r="P25" s="53">
        <f t="shared" si="27"/>
        <v>4.2794440380395002</v>
      </c>
      <c r="Q25" s="72">
        <v>178.17</v>
      </c>
      <c r="R25" s="73"/>
      <c r="S25" s="73"/>
      <c r="T25" s="73"/>
      <c r="W25" s="53">
        <f t="shared" si="4"/>
        <v>6.3600212089077326</v>
      </c>
      <c r="X25" s="53">
        <f t="shared" si="5"/>
        <v>4.8740349451442455</v>
      </c>
      <c r="Y25" s="53">
        <f t="shared" si="6"/>
        <v>5.1058091286306944</v>
      </c>
      <c r="Z25" s="53">
        <f>G25/O25</f>
        <v>27.273858921161789</v>
      </c>
      <c r="AA25" s="73">
        <f t="shared" si="7"/>
        <v>0.11704877032096715</v>
      </c>
      <c r="AB25" s="55">
        <f t="shared" si="12"/>
        <v>101.60512344519863</v>
      </c>
      <c r="AC25" s="74">
        <f t="shared" si="28"/>
        <v>1576.5737293031714</v>
      </c>
      <c r="AD25" s="74">
        <f t="shared" si="29"/>
        <v>484.42927434688096</v>
      </c>
      <c r="AE25" s="74">
        <f t="shared" si="30"/>
        <v>694.60493834923147</v>
      </c>
      <c r="AI25" s="74">
        <v>2</v>
      </c>
      <c r="AJ25" s="74">
        <v>2238</v>
      </c>
      <c r="AK25" s="74">
        <v>4476</v>
      </c>
      <c r="AL25" s="74">
        <v>66.902914734710905</v>
      </c>
      <c r="AM25" s="74">
        <v>29.4</v>
      </c>
      <c r="AN25" s="74">
        <v>10</v>
      </c>
      <c r="AO25" s="74" t="s">
        <v>728</v>
      </c>
      <c r="AP25" s="74">
        <v>380</v>
      </c>
      <c r="AQ25" s="37">
        <v>18</v>
      </c>
      <c r="AR25" s="74">
        <f>AQ25*AC25</f>
        <v>28378.327127457083</v>
      </c>
      <c r="AS25" s="74">
        <v>41.22</v>
      </c>
      <c r="AT25" s="74">
        <v>29.1</v>
      </c>
      <c r="AU25" s="74">
        <v>14.77</v>
      </c>
      <c r="AV25" s="74">
        <v>3.71</v>
      </c>
      <c r="AW25" s="74">
        <v>29.07</v>
      </c>
      <c r="AX25" s="74">
        <v>18.28</v>
      </c>
      <c r="AY25" s="74">
        <v>3.82</v>
      </c>
      <c r="AZ25" s="74">
        <v>139.97</v>
      </c>
      <c r="BA25" s="74">
        <v>11.19</v>
      </c>
      <c r="BB25" s="74">
        <v>151.16</v>
      </c>
      <c r="BC25" s="95"/>
      <c r="BD25" s="74">
        <v>27.01</v>
      </c>
      <c r="BE25" s="74">
        <v>178.17</v>
      </c>
      <c r="BH25" s="74"/>
      <c r="BI25" s="74"/>
      <c r="BJ25" s="74"/>
      <c r="BK25" s="74"/>
      <c r="BL25" s="74"/>
      <c r="BM25" s="74"/>
      <c r="BN25" s="74"/>
      <c r="BO25" s="74"/>
      <c r="BP25" s="74"/>
      <c r="BQ25" s="74"/>
      <c r="BR25" s="74">
        <v>178.17</v>
      </c>
      <c r="BS25" s="55">
        <v>27.269118814501201</v>
      </c>
      <c r="BT25" s="55">
        <v>19.2511246361471</v>
      </c>
      <c r="BU25" s="55">
        <v>9.7711034665255401</v>
      </c>
      <c r="BV25" s="55">
        <v>2.45435300344006</v>
      </c>
      <c r="BW25" s="55">
        <v>19.231278115903699</v>
      </c>
      <c r="BX25" s="55">
        <v>12.093146335009299</v>
      </c>
      <c r="BY25" s="55">
        <v>2.5271235776660501</v>
      </c>
    </row>
    <row r="26" spans="1:153">
      <c r="A26" s="37"/>
      <c r="B26" s="37" t="s">
        <v>779</v>
      </c>
      <c r="C26" s="54" t="s">
        <v>768</v>
      </c>
      <c r="D26" s="37" t="s">
        <v>780</v>
      </c>
      <c r="E26" s="54" t="s">
        <v>741</v>
      </c>
      <c r="F26" s="37"/>
      <c r="G26" s="55">
        <v>43.7088514996342</v>
      </c>
      <c r="H26" s="55"/>
      <c r="I26" s="55">
        <v>39.380638868568603</v>
      </c>
      <c r="J26" s="44">
        <f t="shared" si="42"/>
        <v>39.380638868568603</v>
      </c>
      <c r="K26" s="53">
        <v>7.4372104364789102</v>
      </c>
      <c r="L26" s="53">
        <v>8.1382589612289706</v>
      </c>
      <c r="M26" s="44">
        <f t="shared" si="43"/>
        <v>8.1382589612289706</v>
      </c>
      <c r="N26" s="53">
        <v>3.9411119239209902</v>
      </c>
      <c r="O26" s="53">
        <v>1.60021945866862</v>
      </c>
      <c r="P26" s="53">
        <f t="shared" si="27"/>
        <v>2.3408924652523702</v>
      </c>
      <c r="Q26" s="74">
        <v>205.18261816202499</v>
      </c>
      <c r="R26" s="37">
        <v>0.55700000000000005</v>
      </c>
      <c r="S26" s="37">
        <v>0.64500000000000002</v>
      </c>
      <c r="T26" s="37">
        <v>0.863565891472868</v>
      </c>
      <c r="U26" s="37"/>
      <c r="V26" s="37"/>
      <c r="W26" s="53">
        <f t="shared" si="4"/>
        <v>9.9922660479505048</v>
      </c>
      <c r="X26" s="53">
        <f t="shared" si="5"/>
        <v>4.8389513108614173</v>
      </c>
      <c r="Y26" s="53">
        <f t="shared" si="6"/>
        <v>5.0857142857142783</v>
      </c>
      <c r="Z26" s="53">
        <v>24.6095238095238</v>
      </c>
      <c r="AA26" s="73">
        <f t="shared" si="7"/>
        <v>5.9442724458204206E-2</v>
      </c>
      <c r="AB26" s="55">
        <f t="shared" si="12"/>
        <v>93.634266118195669</v>
      </c>
      <c r="AC26" s="74">
        <f t="shared" si="28"/>
        <v>1263.086318770323</v>
      </c>
      <c r="AD26" s="74">
        <f t="shared" si="29"/>
        <v>475.6933425875925</v>
      </c>
      <c r="AE26" s="74">
        <f t="shared" si="30"/>
        <v>630.89684800413465</v>
      </c>
      <c r="AI26" s="74">
        <v>2</v>
      </c>
      <c r="AJ26" s="74">
        <v>2720.3132351999998</v>
      </c>
      <c r="AK26" s="74">
        <v>5440.6264703999996</v>
      </c>
      <c r="AL26" s="74">
        <v>73.760602427040993</v>
      </c>
      <c r="AM26" s="74">
        <v>30</v>
      </c>
      <c r="AN26" s="74">
        <v>12</v>
      </c>
      <c r="AO26" s="74" t="s">
        <v>728</v>
      </c>
      <c r="AP26" s="74">
        <v>150</v>
      </c>
      <c r="AQ26" s="37">
        <v>21</v>
      </c>
      <c r="AR26" s="74">
        <f>AQ26*AC26</f>
        <v>26524.812694176784</v>
      </c>
      <c r="AS26" s="74">
        <v>51.351537693912697</v>
      </c>
      <c r="AT26" s="74">
        <v>26.773110768393401</v>
      </c>
      <c r="AU26" s="74">
        <v>11.6033747618616</v>
      </c>
      <c r="AV26" s="74">
        <v>2.0117935226344899</v>
      </c>
      <c r="AW26" s="74">
        <v>20.361788986664202</v>
      </c>
      <c r="AX26" s="74">
        <v>27.006803955366099</v>
      </c>
      <c r="AY26" s="74">
        <v>2.2556472829538201</v>
      </c>
      <c r="AZ26" s="74">
        <v>141.364056971786</v>
      </c>
      <c r="BA26" s="74">
        <v>4.2674408055883104</v>
      </c>
      <c r="BB26" s="74">
        <v>145.63149777737499</v>
      </c>
      <c r="BC26" s="95"/>
      <c r="BD26" s="74">
        <v>59.551120384650297</v>
      </c>
      <c r="BE26" s="74">
        <v>205.18261816202499</v>
      </c>
      <c r="BF26" s="37"/>
      <c r="BG26" s="37"/>
      <c r="BH26" s="74"/>
      <c r="BI26" s="74"/>
      <c r="BJ26" s="74"/>
      <c r="BK26" s="74"/>
      <c r="BL26" s="74"/>
      <c r="BM26" s="74"/>
      <c r="BN26" s="74"/>
      <c r="BO26" s="74"/>
      <c r="BP26" s="74"/>
      <c r="BQ26" s="74"/>
      <c r="BR26" s="74">
        <v>205.18261816202499</v>
      </c>
      <c r="BS26" s="55">
        <v>35.261285146166202</v>
      </c>
      <c r="BT26" s="55">
        <v>18.384148468568998</v>
      </c>
      <c r="BU26" s="55">
        <v>7.9676271541198602</v>
      </c>
      <c r="BV26" s="55">
        <v>1.3814274750575599</v>
      </c>
      <c r="BW26" s="55">
        <v>13.981720505127999</v>
      </c>
      <c r="BX26" s="55">
        <v>18.544617316681801</v>
      </c>
      <c r="BY26" s="55">
        <v>1.5488732296099901</v>
      </c>
      <c r="BZ26" s="37"/>
      <c r="CA26" s="37"/>
      <c r="CB26" s="37"/>
      <c r="CC26" s="37"/>
      <c r="CD26" s="37"/>
      <c r="CE26" s="37"/>
      <c r="CF26" s="37"/>
      <c r="CG26" s="37"/>
      <c r="CH26" s="37"/>
      <c r="CI26" s="37"/>
      <c r="CJ26" s="37"/>
      <c r="CK26" s="37"/>
      <c r="CL26" s="37"/>
      <c r="CM26" s="37"/>
      <c r="CN26" s="37"/>
      <c r="CO26" s="37"/>
      <c r="CP26" s="37"/>
      <c r="CQ26" s="37"/>
      <c r="CR26" s="37"/>
      <c r="CS26" s="37"/>
      <c r="CT26" s="37"/>
      <c r="CU26" s="37"/>
      <c r="CW26" s="37"/>
      <c r="CX26" s="74"/>
      <c r="CY26" s="74"/>
      <c r="CZ26" s="74"/>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row>
    <row r="27" spans="1:153">
      <c r="A27" s="37" t="s">
        <v>545</v>
      </c>
      <c r="B27" s="37"/>
      <c r="C27" s="37"/>
      <c r="D27" s="37" t="s">
        <v>781</v>
      </c>
      <c r="E27" s="37" t="s">
        <v>741</v>
      </c>
      <c r="F27" s="37"/>
      <c r="G27" s="53"/>
      <c r="H27" s="60">
        <v>77.724945135332803</v>
      </c>
      <c r="I27" s="53"/>
      <c r="J27" s="44">
        <f t="shared" si="42"/>
        <v>77.724945135332803</v>
      </c>
      <c r="K27" s="53">
        <v>9.7537186052182392</v>
      </c>
      <c r="L27" s="53">
        <v>10.668129724457399</v>
      </c>
      <c r="M27" s="44">
        <f t="shared" si="43"/>
        <v>10.668129724457399</v>
      </c>
      <c r="N27" s="53">
        <v>6.0198732016581298</v>
      </c>
      <c r="O27" s="53">
        <v>3.0480370641307002</v>
      </c>
      <c r="P27" s="53">
        <f t="shared" si="27"/>
        <v>2.9718361375274296</v>
      </c>
      <c r="Q27" s="80"/>
      <c r="R27" s="37"/>
      <c r="S27" s="37"/>
      <c r="T27" s="37"/>
      <c r="U27" s="37"/>
      <c r="V27" s="37"/>
      <c r="W27" s="53">
        <f t="shared" si="4"/>
        <v>12.911392405063289</v>
      </c>
      <c r="X27" s="53">
        <f t="shared" si="5"/>
        <v>7.2857142857143158</v>
      </c>
      <c r="Y27" s="53">
        <f t="shared" si="6"/>
        <v>3.4999999999999831</v>
      </c>
      <c r="Z27" s="53">
        <f>H27/O27</f>
        <v>25.499999999999982</v>
      </c>
      <c r="AA27" s="73">
        <f t="shared" si="7"/>
        <v>3.8235294117647048E-2</v>
      </c>
      <c r="AB27" s="84"/>
      <c r="AC27" s="74">
        <f t="shared" si="28"/>
        <v>4991.5572425075488</v>
      </c>
      <c r="AD27" s="74">
        <f t="shared" si="29"/>
        <v>1297.0741118506028</v>
      </c>
      <c r="AE27" s="74">
        <f t="shared" si="30"/>
        <v>1764.9684261711411</v>
      </c>
      <c r="AH27" s="43">
        <v>800</v>
      </c>
      <c r="AI27" s="84"/>
      <c r="AJ27" s="84"/>
      <c r="AK27" s="84"/>
      <c r="AL27" s="84"/>
      <c r="AM27" s="84"/>
      <c r="AN27" s="84"/>
      <c r="AO27" s="95"/>
      <c r="AP27" s="84"/>
      <c r="AQ27" s="84"/>
      <c r="AR27" s="84"/>
      <c r="AS27" s="74">
        <v>486.256148844015</v>
      </c>
      <c r="AT27" s="74">
        <v>167.02</v>
      </c>
      <c r="AU27" s="84"/>
      <c r="AV27" s="84"/>
      <c r="AW27" s="74">
        <v>167.05</v>
      </c>
      <c r="AX27" s="84"/>
      <c r="AY27" s="84"/>
      <c r="AZ27" s="95"/>
      <c r="BA27" s="95"/>
      <c r="BB27" s="95"/>
      <c r="BC27" s="95"/>
      <c r="BD27" s="84"/>
      <c r="BE27" s="84"/>
      <c r="BF27" s="41"/>
      <c r="BG27" s="41"/>
      <c r="BH27" s="84"/>
      <c r="BI27" s="84"/>
      <c r="BJ27" s="84"/>
      <c r="BK27" s="84"/>
      <c r="BL27" s="84"/>
      <c r="BM27" s="84"/>
      <c r="BN27" s="84"/>
      <c r="BO27" s="84"/>
      <c r="BP27" s="84"/>
      <c r="BQ27" s="84"/>
      <c r="BR27" s="80"/>
      <c r="BS27" s="80"/>
      <c r="BT27" s="80"/>
      <c r="BU27" s="80"/>
      <c r="BV27" s="80"/>
      <c r="BW27" s="80"/>
      <c r="BX27" s="80"/>
      <c r="BY27" s="81"/>
      <c r="BZ27" s="41"/>
      <c r="CA27" s="41"/>
      <c r="CB27" s="41"/>
      <c r="CC27" s="41"/>
      <c r="CD27" s="41"/>
      <c r="CE27" s="41"/>
      <c r="CF27" s="41"/>
      <c r="CG27" s="41"/>
      <c r="CH27" s="41"/>
      <c r="CI27" s="41"/>
      <c r="CJ27" s="41"/>
      <c r="CK27" s="41"/>
      <c r="CL27" s="41"/>
      <c r="CM27" s="41"/>
      <c r="CN27" s="41"/>
      <c r="CO27" s="41"/>
      <c r="CP27" s="41"/>
      <c r="CQ27" s="41"/>
      <c r="CR27" s="41"/>
      <c r="CS27" s="41"/>
      <c r="CT27" s="41"/>
      <c r="CU27" s="41"/>
      <c r="CW27" s="37"/>
      <c r="CX27" s="74"/>
      <c r="CY27" s="74"/>
      <c r="CZ27" s="74">
        <v>800.12168854122797</v>
      </c>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row>
    <row r="28" spans="1:153">
      <c r="A28" s="37" t="s">
        <v>782</v>
      </c>
      <c r="B28" s="37" t="s">
        <v>783</v>
      </c>
      <c r="C28" s="37" t="s">
        <v>768</v>
      </c>
      <c r="D28" s="37" t="s">
        <v>784</v>
      </c>
      <c r="E28" s="37" t="s">
        <v>741</v>
      </c>
      <c r="F28" s="37">
        <v>1991</v>
      </c>
      <c r="G28" s="53">
        <v>36.637405510851003</v>
      </c>
      <c r="H28" s="53"/>
      <c r="I28" s="53">
        <v>33.528407705437701</v>
      </c>
      <c r="J28" s="44">
        <f t="shared" si="42"/>
        <v>33.528407705437701</v>
      </c>
      <c r="K28" s="65">
        <v>6.0960741282614004</v>
      </c>
      <c r="L28" s="53">
        <v>6.8885637649353804</v>
      </c>
      <c r="M28" s="44">
        <f t="shared" si="43"/>
        <v>6.8885637649353804</v>
      </c>
      <c r="N28" s="53">
        <v>3.6576444769568401</v>
      </c>
      <c r="O28" s="53">
        <v>1.4935381614240399</v>
      </c>
      <c r="P28" s="53">
        <f t="shared" si="27"/>
        <v>2.1641063155328002</v>
      </c>
      <c r="Q28" s="55">
        <v>162.4</v>
      </c>
      <c r="R28" s="37"/>
      <c r="S28" s="37"/>
      <c r="T28" s="37"/>
      <c r="U28" s="37"/>
      <c r="V28" s="37"/>
      <c r="W28" s="53">
        <f t="shared" si="4"/>
        <v>9.1666666666666661</v>
      </c>
      <c r="X28" s="53">
        <f t="shared" si="5"/>
        <v>4.8672566371681425</v>
      </c>
      <c r="Y28" s="53">
        <f t="shared" si="6"/>
        <v>4.6122448979591919</v>
      </c>
      <c r="Z28" s="53">
        <f>I28/O28</f>
        <v>22.448979591836782</v>
      </c>
      <c r="AA28" s="73">
        <f t="shared" si="7"/>
        <v>6.4545454545454642E-2</v>
      </c>
      <c r="AB28" s="55">
        <f t="shared" si="12"/>
        <v>120.08527422990228</v>
      </c>
      <c r="AC28" s="74">
        <f t="shared" si="28"/>
        <v>844.77898469516595</v>
      </c>
      <c r="AD28" s="74">
        <f t="shared" si="29"/>
        <v>353.59756968060969</v>
      </c>
      <c r="AE28" s="74">
        <f t="shared" si="30"/>
        <v>476.23256494556102</v>
      </c>
      <c r="AI28" s="74">
        <v>2</v>
      </c>
      <c r="AJ28" s="74">
        <f>AK28/AI28</f>
        <v>2642</v>
      </c>
      <c r="AK28" s="74">
        <f>2642*2</f>
        <v>5284</v>
      </c>
      <c r="AL28" s="74">
        <f>AK28^0.5</f>
        <v>72.691127381544987</v>
      </c>
      <c r="AM28" s="74">
        <v>28</v>
      </c>
      <c r="AN28" s="84"/>
      <c r="AO28" s="37" t="s">
        <v>728</v>
      </c>
      <c r="AP28" s="74">
        <f>2*135</f>
        <v>270</v>
      </c>
      <c r="AQ28" s="74">
        <v>20</v>
      </c>
      <c r="AR28" s="74">
        <f>AQ28*AC28</f>
        <v>16895.579693903317</v>
      </c>
      <c r="AS28" s="74">
        <v>44.472829538238202</v>
      </c>
      <c r="AT28" s="74">
        <v>24.517463485439499</v>
      </c>
      <c r="AU28" s="74">
        <v>10.5466751338111</v>
      </c>
      <c r="AV28" s="74">
        <v>2.5909462033929098</v>
      </c>
      <c r="AW28" s="74">
        <v>18.156944570443599</v>
      </c>
      <c r="AX28" s="74">
        <v>20.1280957996916</v>
      </c>
      <c r="AY28" s="74">
        <v>2.2251655629139102</v>
      </c>
      <c r="AZ28" s="74">
        <f>SUM(AS28:AY28)</f>
        <v>122.63812029393084</v>
      </c>
      <c r="BA28" s="74">
        <v>15.332305180078</v>
      </c>
      <c r="BB28" s="74">
        <f>AZ28+BA28</f>
        <v>137.97042547400883</v>
      </c>
      <c r="BC28" s="95"/>
      <c r="BD28" s="74">
        <v>27.027125102059301</v>
      </c>
      <c r="BE28" s="74">
        <f>SUM(BB28:BD28)</f>
        <v>164.99755057606814</v>
      </c>
      <c r="BF28" s="37"/>
      <c r="BG28" s="37"/>
      <c r="BH28" s="74"/>
      <c r="BI28" s="74"/>
      <c r="BJ28" s="74"/>
      <c r="BK28" s="74"/>
      <c r="BL28" s="74"/>
      <c r="BM28" s="74"/>
      <c r="BN28" s="74"/>
      <c r="BO28" s="74"/>
      <c r="BP28" s="74"/>
      <c r="BQ28" s="74"/>
      <c r="BR28" s="55">
        <f t="shared" ref="BR28:BX28" si="44">AS28/$BB28*100</f>
        <v>32.233595993813971</v>
      </c>
      <c r="BS28" s="55">
        <f t="shared" si="44"/>
        <v>17.770086162456717</v>
      </c>
      <c r="BT28" s="55">
        <f t="shared" si="44"/>
        <v>7.6441564179983672</v>
      </c>
      <c r="BU28" s="55">
        <f t="shared" si="44"/>
        <v>1.8778996980631895</v>
      </c>
      <c r="BV28" s="55">
        <f t="shared" si="44"/>
        <v>13.160026511525141</v>
      </c>
      <c r="BW28" s="55">
        <f t="shared" si="44"/>
        <v>14.588703144561494</v>
      </c>
      <c r="BX28" s="55">
        <f t="shared" si="44"/>
        <v>1.6127844465719152</v>
      </c>
      <c r="BY28" s="55">
        <f>BA28/$BB28*100</f>
        <v>11.112747625009197</v>
      </c>
      <c r="BZ28" s="37"/>
      <c r="CA28" s="37"/>
      <c r="CB28" s="37"/>
      <c r="CC28" s="37"/>
      <c r="CD28" s="37"/>
      <c r="CE28" s="37"/>
      <c r="CF28" s="37"/>
      <c r="CG28" s="37"/>
      <c r="CH28" s="37"/>
      <c r="CI28" s="37"/>
      <c r="CJ28" s="37"/>
      <c r="CK28" s="37"/>
      <c r="CL28" s="37"/>
      <c r="CM28" s="37"/>
      <c r="CN28" s="37"/>
      <c r="CO28" s="37"/>
      <c r="CP28" s="37"/>
      <c r="CQ28" s="37"/>
      <c r="CR28" s="37"/>
      <c r="CS28" s="37"/>
      <c r="CT28" s="37"/>
      <c r="CU28" s="37"/>
      <c r="CW28" s="37"/>
      <c r="CX28" s="74"/>
      <c r="CY28" s="74"/>
      <c r="CZ28" s="74"/>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row>
    <row r="29" spans="1:153" s="39" customFormat="1" ht="12.75">
      <c r="A29" s="37" t="s">
        <v>535</v>
      </c>
      <c r="B29" s="37"/>
      <c r="C29" s="37" t="s">
        <v>768</v>
      </c>
      <c r="D29" s="37" t="s">
        <v>785</v>
      </c>
      <c r="E29" s="37" t="s">
        <v>741</v>
      </c>
      <c r="F29" s="37">
        <v>2005</v>
      </c>
      <c r="G29" s="53">
        <f>350/3.2808</f>
        <v>106.68129724457449</v>
      </c>
      <c r="H29" s="55">
        <f>330/3.2808</f>
        <v>100.58522311631309</v>
      </c>
      <c r="I29" s="53">
        <f>330/3.2808</f>
        <v>100.58522311631309</v>
      </c>
      <c r="J29" s="44">
        <f t="shared" si="42"/>
        <v>100.58522311631309</v>
      </c>
      <c r="K29" s="53">
        <v>14.5861273673088</v>
      </c>
      <c r="L29" s="53">
        <v>15.589439567585099</v>
      </c>
      <c r="M29" s="44">
        <f t="shared" si="43"/>
        <v>15.589439567585099</v>
      </c>
      <c r="N29" s="53">
        <v>8.7631065593757604</v>
      </c>
      <c r="O29" s="53">
        <f>13.77/3.2808</f>
        <v>4.1971470373079729</v>
      </c>
      <c r="P29" s="53">
        <f t="shared" si="27"/>
        <v>4.5659595220677875</v>
      </c>
      <c r="Q29" s="55">
        <v>3287.7586705826998</v>
      </c>
      <c r="R29" s="73">
        <f>Q29/1.0256/(I29*K29*O29)</f>
        <v>0.52058727773259894</v>
      </c>
      <c r="S29" s="73"/>
      <c r="T29" s="73"/>
      <c r="U29" s="73"/>
      <c r="V29" s="73"/>
      <c r="W29" s="53">
        <f t="shared" si="4"/>
        <v>11.478260869565219</v>
      </c>
      <c r="X29" s="53">
        <f t="shared" si="5"/>
        <v>6.4521384928717076</v>
      </c>
      <c r="Y29" s="53">
        <f t="shared" si="6"/>
        <v>3.7142943597191871</v>
      </c>
      <c r="Z29" s="53">
        <f>I29/O29</f>
        <v>23.965141612200437</v>
      </c>
      <c r="AA29" s="73">
        <f t="shared" si="7"/>
        <v>4.5393939393939389E-2</v>
      </c>
      <c r="AB29" s="55">
        <f t="shared" si="12"/>
        <v>90.040914422245621</v>
      </c>
      <c r="AC29" s="74">
        <f t="shared" ref="AC29:AC38" si="45">J29*M29*N29</f>
        <v>13741.140466794688</v>
      </c>
      <c r="AD29" s="74">
        <f t="shared" ref="AD29:AD38" si="46">J29*(M29+N29)</f>
        <v>2449.506285630664</v>
      </c>
      <c r="AE29" s="74">
        <f t="shared" ref="AE29:AE38" si="47">J29*(M29+2*N29)</f>
        <v>3330.9453140975015</v>
      </c>
      <c r="AF29" s="245">
        <f>498390/3.2808^3</f>
        <v>14113.348021662097</v>
      </c>
      <c r="AG29" s="42"/>
      <c r="AH29" s="42"/>
      <c r="AI29" s="74">
        <v>2</v>
      </c>
      <c r="AJ29" s="55">
        <f>AK29/AI29</f>
        <v>14399.467000000001</v>
      </c>
      <c r="AK29" s="74">
        <f>38620*0.7457</f>
        <v>28798.934000000001</v>
      </c>
      <c r="AL29" s="74">
        <f>AK29^0.5</f>
        <v>169.70248672308841</v>
      </c>
      <c r="AM29" s="74">
        <v>26.5</v>
      </c>
      <c r="AN29" s="74">
        <v>10</v>
      </c>
      <c r="AO29" s="37" t="s">
        <v>786</v>
      </c>
      <c r="AP29" s="74">
        <v>3640</v>
      </c>
      <c r="AQ29" s="74">
        <v>94</v>
      </c>
      <c r="AR29" s="74">
        <f>AQ29*AC29</f>
        <v>1291667.2038787007</v>
      </c>
      <c r="AS29" s="74">
        <v>1188.39746909366</v>
      </c>
      <c r="AT29" s="74">
        <v>459.43917879343201</v>
      </c>
      <c r="AU29" s="74">
        <v>93.616853247296007</v>
      </c>
      <c r="AV29" s="74">
        <v>22.8181593796151</v>
      </c>
      <c r="AW29" s="74">
        <v>280.461523415025</v>
      </c>
      <c r="AX29" s="74">
        <v>279.82100951070402</v>
      </c>
      <c r="AY29" s="74">
        <v>12.462913907284801</v>
      </c>
      <c r="AZ29" s="74">
        <f>SUM(AS29:AY29)</f>
        <v>2337.0171073470174</v>
      </c>
      <c r="BA29" s="74">
        <v>353.82439005233903</v>
      </c>
      <c r="BB29" s="74">
        <f>SUM(AZ29:BA29)</f>
        <v>2690.8414973993563</v>
      </c>
      <c r="BC29" s="95"/>
      <c r="BD29" s="74">
        <v>587.48374999999999</v>
      </c>
      <c r="BE29" s="74">
        <f>SUM(BB29:BD29)</f>
        <v>3278.3252473993562</v>
      </c>
      <c r="BF29" s="37"/>
      <c r="BG29" s="37"/>
      <c r="BH29" s="74"/>
      <c r="BI29" s="74"/>
      <c r="BJ29" s="74"/>
      <c r="BK29" s="74"/>
      <c r="BL29" s="74"/>
      <c r="BM29" s="74"/>
      <c r="BN29" s="74"/>
      <c r="BO29" s="74"/>
      <c r="BP29" s="74"/>
      <c r="BQ29" s="74"/>
      <c r="BR29" s="55">
        <v>34.110787172011698</v>
      </c>
      <c r="BS29" s="55">
        <v>16.618075801749299</v>
      </c>
      <c r="BT29" s="55">
        <v>9.0379008746355698</v>
      </c>
      <c r="BU29" s="55">
        <v>4.6647230320699702</v>
      </c>
      <c r="BV29" s="55">
        <v>14.5772594752187</v>
      </c>
      <c r="BW29" s="55">
        <v>11.9533527696793</v>
      </c>
      <c r="BX29" s="55">
        <v>9.0379008746355698</v>
      </c>
      <c r="BY29" s="37">
        <v>0</v>
      </c>
      <c r="BZ29" s="37"/>
      <c r="CA29" s="37"/>
      <c r="CB29" s="37"/>
      <c r="CC29" s="37"/>
      <c r="CD29" s="37"/>
      <c r="CE29" s="37"/>
      <c r="CF29" s="37"/>
      <c r="CG29" s="37"/>
      <c r="CH29" s="37"/>
      <c r="CI29" s="37"/>
      <c r="CJ29" s="37"/>
      <c r="CK29" s="37"/>
      <c r="CL29" s="37"/>
      <c r="CM29" s="37"/>
      <c r="CN29" s="37"/>
      <c r="CO29" s="37"/>
      <c r="CP29" s="37"/>
      <c r="CQ29" s="37"/>
      <c r="CR29" s="37"/>
      <c r="CS29" s="37"/>
      <c r="CT29" s="37"/>
      <c r="CU29" s="37"/>
      <c r="CW29" s="37"/>
      <c r="CX29" s="74"/>
      <c r="CY29" s="74"/>
      <c r="CZ29" s="74">
        <v>3992</v>
      </c>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row>
    <row r="30" spans="1:153" s="40" customFormat="1">
      <c r="A30" s="42"/>
      <c r="C30" s="43"/>
      <c r="D30" s="43"/>
      <c r="E30" s="43"/>
      <c r="F30" s="42"/>
      <c r="H30" s="43"/>
      <c r="J30" s="44"/>
      <c r="K30" s="43"/>
      <c r="M30" s="44"/>
      <c r="N30" s="43"/>
      <c r="O30" s="43"/>
      <c r="P30" s="45"/>
      <c r="Q30" s="46"/>
      <c r="R30" s="71"/>
      <c r="S30" s="71"/>
      <c r="T30" s="71"/>
      <c r="U30" s="71"/>
      <c r="W30" s="53"/>
      <c r="X30" s="53"/>
      <c r="Y30" s="53"/>
      <c r="Z30" s="43"/>
      <c r="AA30" s="73"/>
      <c r="AB30" s="55"/>
      <c r="AC30" s="46"/>
      <c r="AD30" s="46"/>
      <c r="AE30" s="46"/>
      <c r="AI30" s="43"/>
      <c r="AJ30" s="46"/>
      <c r="AK30" s="46"/>
      <c r="AL30" s="46"/>
      <c r="AM30" s="43"/>
      <c r="AN30" s="43"/>
      <c r="AO30" s="43"/>
      <c r="AQ30" s="43"/>
      <c r="AS30" s="46"/>
      <c r="AT30" s="46"/>
      <c r="AU30" s="46"/>
      <c r="AV30" s="46"/>
      <c r="AW30" s="46"/>
      <c r="AX30" s="46"/>
      <c r="AY30" s="46"/>
      <c r="AZ30" s="46"/>
      <c r="BB30" s="46"/>
      <c r="BD30" s="46"/>
      <c r="BE30" s="43"/>
      <c r="BF30" s="43"/>
      <c r="BG30" s="43"/>
      <c r="BH30" s="43"/>
      <c r="BI30" s="43"/>
      <c r="BJ30" s="43"/>
      <c r="BK30" s="43"/>
      <c r="BL30" s="43"/>
      <c r="BM30" s="43"/>
      <c r="BN30" s="43"/>
      <c r="BO30" s="43"/>
      <c r="BP30" s="43"/>
      <c r="BQ30" s="43"/>
      <c r="BR30" s="44"/>
      <c r="BS30" s="44"/>
      <c r="BT30" s="44"/>
      <c r="BU30" s="44"/>
      <c r="BV30" s="44"/>
      <c r="BW30" s="44"/>
      <c r="BX30" s="44"/>
      <c r="BY30" s="44"/>
      <c r="CA30" s="43"/>
      <c r="CB30" s="43"/>
      <c r="CC30" s="43"/>
      <c r="CD30" s="43"/>
      <c r="CE30" s="43"/>
      <c r="CF30" s="43"/>
      <c r="CG30" s="43"/>
      <c r="CH30" s="43"/>
      <c r="CI30" s="43"/>
      <c r="CJ30" s="43"/>
      <c r="CK30" s="43"/>
      <c r="CL30" s="43"/>
      <c r="CM30" s="43"/>
      <c r="CN30" s="43"/>
      <c r="CO30" s="43"/>
      <c r="CQ30" s="43"/>
      <c r="CR30" s="43"/>
      <c r="CS30" s="43"/>
    </row>
    <row r="31" spans="1:153" ht="12.75">
      <c r="B31" s="42" t="s">
        <v>787</v>
      </c>
      <c r="C31" s="42" t="s">
        <v>788</v>
      </c>
      <c r="D31" s="42" t="s">
        <v>789</v>
      </c>
      <c r="E31" s="56" t="s">
        <v>720</v>
      </c>
      <c r="G31" s="42">
        <v>47.5</v>
      </c>
      <c r="H31" s="42"/>
      <c r="I31" s="42">
        <v>43.2</v>
      </c>
      <c r="J31" s="44">
        <f t="shared" ref="J31:J38" si="48">IF(I31="",H31,I31)</f>
        <v>43.2</v>
      </c>
      <c r="K31" s="42">
        <v>8.6</v>
      </c>
      <c r="L31" s="42"/>
      <c r="M31" s="44">
        <f t="shared" ref="M31:M38" si="49">IF(L31="",K31,L31)</f>
        <v>8.6</v>
      </c>
      <c r="N31" s="42">
        <v>4.8</v>
      </c>
      <c r="O31" s="42">
        <v>2.2000000000000002</v>
      </c>
      <c r="P31" s="42">
        <f t="shared" ref="P31:P38" si="50">N31-O31</f>
        <v>2.5999999999999996</v>
      </c>
      <c r="Q31" s="76">
        <v>335</v>
      </c>
      <c r="R31" s="77"/>
      <c r="S31" s="77"/>
      <c r="T31" s="77"/>
      <c r="U31" s="77"/>
      <c r="V31" s="42"/>
      <c r="W31" s="53">
        <f t="shared" si="4"/>
        <v>9.0000000000000018</v>
      </c>
      <c r="X31" s="53">
        <f t="shared" si="5"/>
        <v>5.0232558139534893</v>
      </c>
      <c r="Y31" s="53">
        <f t="shared" si="6"/>
        <v>3.9090909090909087</v>
      </c>
      <c r="Z31" s="83">
        <f>J31/O31</f>
        <v>19.636363636363637</v>
      </c>
      <c r="AA31" s="73">
        <f t="shared" si="7"/>
        <v>6.0185185185185175E-2</v>
      </c>
      <c r="AB31" s="55">
        <f t="shared" si="12"/>
        <v>115.80733897570639</v>
      </c>
      <c r="AC31" s="74">
        <f t="shared" si="45"/>
        <v>1783.2959999999998</v>
      </c>
      <c r="AD31" s="74">
        <f t="shared" si="46"/>
        <v>578.88</v>
      </c>
      <c r="AE31" s="74">
        <f t="shared" si="47"/>
        <v>786.24</v>
      </c>
      <c r="AF31" s="43">
        <v>1975</v>
      </c>
      <c r="AG31" s="43"/>
      <c r="AH31" s="43"/>
      <c r="AI31" s="42">
        <v>2</v>
      </c>
      <c r="AJ31" s="42">
        <f>358*0.7457</f>
        <v>266.9606</v>
      </c>
      <c r="AK31" s="42">
        <f t="shared" ref="AK31:AK38" si="51">AI31*AJ31</f>
        <v>533.9212</v>
      </c>
      <c r="AL31" s="76">
        <f t="shared" ref="AL31:AL38" si="52">AK31^0.5</f>
        <v>23.10673494892777</v>
      </c>
      <c r="AM31" s="42">
        <v>15.6</v>
      </c>
      <c r="AN31" s="42">
        <v>12</v>
      </c>
      <c r="AO31" s="42" t="s">
        <v>728</v>
      </c>
      <c r="AP31" s="42">
        <v>585</v>
      </c>
      <c r="AQ31" s="42">
        <v>26</v>
      </c>
      <c r="AR31" s="46">
        <f t="shared" ref="AR31:AR38" si="53">AQ31*AC31</f>
        <v>46365.695999999996</v>
      </c>
      <c r="AS31" s="96">
        <f t="shared" ref="AS31:AY31" si="54">BR31/100*$AZ31</f>
        <v>165.45570427023594</v>
      </c>
      <c r="AT31" s="96">
        <f t="shared" si="54"/>
        <v>43.244104525175388</v>
      </c>
      <c r="AU31" s="96">
        <f t="shared" si="54"/>
        <v>22.562141491395781</v>
      </c>
      <c r="AV31" s="96">
        <f t="shared" si="54"/>
        <v>7.3326959847036335</v>
      </c>
      <c r="AW31" s="96">
        <f t="shared" si="54"/>
        <v>17.485659655831743</v>
      </c>
      <c r="AX31" s="96">
        <f t="shared" si="54"/>
        <v>12.033142128744437</v>
      </c>
      <c r="AY31" s="96">
        <f t="shared" si="54"/>
        <v>26.886551943913322</v>
      </c>
      <c r="AZ31" s="76">
        <v>295</v>
      </c>
      <c r="BA31" s="42">
        <f>BY31/100*$AZ31</f>
        <v>0</v>
      </c>
      <c r="BB31" s="76">
        <f t="shared" ref="BB31:BB38" si="55">AZ31+BA31</f>
        <v>295</v>
      </c>
      <c r="BC31" s="42">
        <v>0</v>
      </c>
      <c r="BD31" s="76">
        <f t="shared" ref="BD31:BD38" si="56">BE31-BB31</f>
        <v>40</v>
      </c>
      <c r="BE31" s="42">
        <f t="shared" ref="BE31:BE38" si="57">Q31</f>
        <v>335</v>
      </c>
      <c r="BF31" s="43">
        <f t="shared" ref="BF31:BF38" si="58">AM31/SQRT(J31*3.2808)</f>
        <v>1.3103666965625669</v>
      </c>
      <c r="BG31" s="43">
        <f t="shared" ref="BG31:BG38" si="59">BF31*1.6878/SQRT(32.174)</f>
        <v>0.38990724103030933</v>
      </c>
      <c r="BH31" s="42"/>
      <c r="BI31" s="42"/>
      <c r="BJ31" s="42"/>
      <c r="BK31" s="42"/>
      <c r="BL31" s="42"/>
      <c r="BM31" s="42"/>
      <c r="BN31" s="42"/>
      <c r="BO31" s="42"/>
      <c r="BP31" s="42"/>
      <c r="BQ31" s="42"/>
      <c r="BR31" s="66">
        <v>56.086679413639303</v>
      </c>
      <c r="BS31" s="66">
        <v>14.6590184831103</v>
      </c>
      <c r="BT31" s="66">
        <v>7.6481835564053497</v>
      </c>
      <c r="BU31" s="66">
        <v>2.4856596558317401</v>
      </c>
      <c r="BV31" s="66">
        <v>5.9273422562141498</v>
      </c>
      <c r="BW31" s="66">
        <v>4.0790312300828599</v>
      </c>
      <c r="BX31" s="66">
        <v>9.1140854047163806</v>
      </c>
      <c r="BY31" s="66">
        <v>0</v>
      </c>
      <c r="BZ31" s="42"/>
      <c r="CA31" s="42"/>
      <c r="CB31" s="42"/>
      <c r="CC31" s="42"/>
      <c r="CD31" s="42"/>
      <c r="CE31" s="42"/>
      <c r="CF31" s="42"/>
      <c r="CG31" s="42"/>
      <c r="CH31" s="42"/>
      <c r="CI31" s="42"/>
      <c r="CJ31" s="42"/>
      <c r="CK31" s="42"/>
      <c r="CL31" s="42"/>
      <c r="CM31" s="42"/>
      <c r="CN31" s="42"/>
      <c r="CO31" s="42"/>
      <c r="CP31" s="42"/>
      <c r="CQ31" s="42"/>
      <c r="CR31" s="42"/>
      <c r="CS31" s="42"/>
      <c r="CT31" s="42"/>
      <c r="CU31" s="42"/>
      <c r="CV31" s="43"/>
      <c r="CW31" s="42"/>
      <c r="CX31" s="42">
        <v>1975</v>
      </c>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row>
    <row r="32" spans="1:153" ht="12.75">
      <c r="A32" s="42" t="s">
        <v>790</v>
      </c>
      <c r="B32" s="42"/>
      <c r="C32" s="42" t="s">
        <v>791</v>
      </c>
      <c r="D32" s="42" t="s">
        <v>792</v>
      </c>
      <c r="E32" s="56" t="s">
        <v>720</v>
      </c>
      <c r="G32" s="42">
        <v>50</v>
      </c>
      <c r="H32" s="42"/>
      <c r="I32" s="42">
        <v>45.5</v>
      </c>
      <c r="J32" s="44">
        <f t="shared" si="48"/>
        <v>45.5</v>
      </c>
      <c r="K32" s="42">
        <v>9.6</v>
      </c>
      <c r="L32" s="42"/>
      <c r="M32" s="44">
        <f t="shared" si="49"/>
        <v>9.6</v>
      </c>
      <c r="N32" s="42">
        <v>7.3</v>
      </c>
      <c r="O32" s="42">
        <v>2.7</v>
      </c>
      <c r="P32" s="42">
        <f t="shared" si="50"/>
        <v>4.5999999999999996</v>
      </c>
      <c r="Q32" s="76">
        <v>540</v>
      </c>
      <c r="R32" s="77"/>
      <c r="S32" s="77"/>
      <c r="T32" s="77"/>
      <c r="U32" s="77"/>
      <c r="V32" s="42"/>
      <c r="W32" s="53">
        <f t="shared" si="4"/>
        <v>6.2328767123287676</v>
      </c>
      <c r="X32" s="53">
        <f t="shared" si="5"/>
        <v>4.7395833333333339</v>
      </c>
      <c r="Y32" s="53">
        <f t="shared" si="6"/>
        <v>3.5555555555555554</v>
      </c>
      <c r="Z32" s="83">
        <f t="shared" ref="Z32:Z38" si="60">J32/O32</f>
        <v>16.851851851851851</v>
      </c>
      <c r="AA32" s="73">
        <f t="shared" si="7"/>
        <v>0.10109890109890109</v>
      </c>
      <c r="AB32" s="55">
        <f t="shared" si="12"/>
        <v>159.77252023271848</v>
      </c>
      <c r="AC32" s="74">
        <f t="shared" si="45"/>
        <v>3188.64</v>
      </c>
      <c r="AD32" s="74">
        <f t="shared" si="46"/>
        <v>768.94999999999993</v>
      </c>
      <c r="AE32" s="74">
        <f t="shared" si="47"/>
        <v>1101.0999999999999</v>
      </c>
      <c r="AF32" s="43">
        <v>2415</v>
      </c>
      <c r="AG32" s="43"/>
      <c r="AH32" s="43"/>
      <c r="AI32" s="42">
        <v>1</v>
      </c>
      <c r="AJ32" s="42">
        <f>1600*0.7457</f>
        <v>1193.1200000000001</v>
      </c>
      <c r="AK32" s="42">
        <f t="shared" si="51"/>
        <v>1193.1200000000001</v>
      </c>
      <c r="AL32" s="76">
        <f t="shared" si="52"/>
        <v>34.541569159492454</v>
      </c>
      <c r="AM32" s="42">
        <v>16.3</v>
      </c>
      <c r="AN32" s="42">
        <v>12</v>
      </c>
      <c r="AO32" s="42" t="s">
        <v>728</v>
      </c>
      <c r="AP32" s="42">
        <v>650</v>
      </c>
      <c r="AQ32" s="42">
        <v>44</v>
      </c>
      <c r="AR32" s="46">
        <f t="shared" si="53"/>
        <v>140300.16</v>
      </c>
      <c r="AS32" s="96">
        <f t="shared" ref="AS32:AY32" si="61">BR32/100*$AZ32</f>
        <v>262.68810289389052</v>
      </c>
      <c r="AT32" s="96">
        <f t="shared" si="61"/>
        <v>54.135048231511227</v>
      </c>
      <c r="AU32" s="96">
        <f t="shared" si="61"/>
        <v>35.498392282958214</v>
      </c>
      <c r="AV32" s="96">
        <f t="shared" si="61"/>
        <v>27.807073954983931</v>
      </c>
      <c r="AW32" s="96">
        <f t="shared" si="61"/>
        <v>45.556270096463017</v>
      </c>
      <c r="AX32" s="96">
        <f t="shared" si="61"/>
        <v>26.919614147909964</v>
      </c>
      <c r="AY32" s="96">
        <f t="shared" si="61"/>
        <v>7.3954983922829429</v>
      </c>
      <c r="AZ32" s="76">
        <v>460</v>
      </c>
      <c r="BA32" s="42">
        <f>BY32/100*$AZ32</f>
        <v>0</v>
      </c>
      <c r="BB32" s="76">
        <f t="shared" si="55"/>
        <v>460</v>
      </c>
      <c r="BC32" s="42">
        <v>0</v>
      </c>
      <c r="BD32" s="76">
        <f t="shared" si="56"/>
        <v>80</v>
      </c>
      <c r="BE32" s="42">
        <f t="shared" si="57"/>
        <v>540</v>
      </c>
      <c r="BF32" s="43">
        <f t="shared" si="58"/>
        <v>1.3341111932577332</v>
      </c>
      <c r="BG32" s="43">
        <f t="shared" si="59"/>
        <v>0.39697255428983591</v>
      </c>
      <c r="BH32" s="42"/>
      <c r="BI32" s="42"/>
      <c r="BJ32" s="42"/>
      <c r="BK32" s="42"/>
      <c r="BL32" s="42"/>
      <c r="BM32" s="42"/>
      <c r="BN32" s="42"/>
      <c r="BO32" s="42"/>
      <c r="BP32" s="42"/>
      <c r="BQ32" s="42"/>
      <c r="BR32" s="66">
        <v>57.106109324758798</v>
      </c>
      <c r="BS32" s="66">
        <v>11.768488745980701</v>
      </c>
      <c r="BT32" s="66">
        <v>7.7170418006430896</v>
      </c>
      <c r="BU32" s="66">
        <v>6.0450160771704198</v>
      </c>
      <c r="BV32" s="66">
        <v>9.9035369774919602</v>
      </c>
      <c r="BW32" s="66">
        <v>5.8520900321543401</v>
      </c>
      <c r="BX32" s="66">
        <v>1.6077170418006399</v>
      </c>
      <c r="BY32" s="66">
        <v>0</v>
      </c>
      <c r="BZ32" s="42"/>
      <c r="CA32" s="42"/>
      <c r="CB32" s="42"/>
      <c r="CC32" s="42"/>
      <c r="CD32" s="42"/>
      <c r="CE32" s="42"/>
      <c r="CF32" s="42"/>
      <c r="CG32" s="42"/>
      <c r="CH32" s="42"/>
      <c r="CI32" s="42"/>
      <c r="CJ32" s="42"/>
      <c r="CK32" s="42"/>
      <c r="CL32" s="42"/>
      <c r="CM32" s="42"/>
      <c r="CN32" s="42"/>
      <c r="CO32" s="42"/>
      <c r="CP32" s="42"/>
      <c r="CQ32" s="42"/>
      <c r="CR32" s="42"/>
      <c r="CS32" s="42"/>
      <c r="CT32" s="42"/>
      <c r="CU32" s="42"/>
      <c r="CV32" s="43"/>
      <c r="CW32" s="42"/>
      <c r="CX32" s="42">
        <v>2415</v>
      </c>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row>
    <row r="33" spans="1:153">
      <c r="A33" s="42" t="s">
        <v>793</v>
      </c>
      <c r="B33" s="42"/>
      <c r="C33" s="42" t="s">
        <v>794</v>
      </c>
      <c r="D33" s="42" t="s">
        <v>795</v>
      </c>
      <c r="E33" s="56" t="s">
        <v>720</v>
      </c>
      <c r="G33" s="42">
        <v>51.5</v>
      </c>
      <c r="H33" s="42"/>
      <c r="I33" s="42">
        <v>47.1</v>
      </c>
      <c r="J33" s="44">
        <f t="shared" si="48"/>
        <v>47.1</v>
      </c>
      <c r="K33" s="42">
        <v>8.9</v>
      </c>
      <c r="L33" s="42"/>
      <c r="M33" s="44">
        <f t="shared" si="49"/>
        <v>8.9</v>
      </c>
      <c r="N33" s="39">
        <v>7.2</v>
      </c>
      <c r="O33" s="42">
        <v>2.6</v>
      </c>
      <c r="P33" s="42">
        <f t="shared" si="50"/>
        <v>4.5999999999999996</v>
      </c>
      <c r="Q33" s="76">
        <v>540</v>
      </c>
      <c r="R33" s="77"/>
      <c r="S33" s="77"/>
      <c r="T33" s="77"/>
      <c r="U33" s="77"/>
      <c r="V33" s="42"/>
      <c r="W33" s="53">
        <f t="shared" si="4"/>
        <v>6.541666666666667</v>
      </c>
      <c r="X33" s="53">
        <f t="shared" si="5"/>
        <v>5.2921348314606744</v>
      </c>
      <c r="Y33" s="53">
        <f t="shared" si="6"/>
        <v>3.4230769230769229</v>
      </c>
      <c r="Z33" s="83">
        <f t="shared" si="60"/>
        <v>18.115384615384617</v>
      </c>
      <c r="AA33" s="73">
        <f t="shared" si="7"/>
        <v>9.7664543524416128E-2</v>
      </c>
      <c r="AB33" s="55">
        <f t="shared" si="12"/>
        <v>144.03682986829097</v>
      </c>
      <c r="AC33" s="74">
        <f t="shared" si="45"/>
        <v>3018.1680000000006</v>
      </c>
      <c r="AD33" s="74">
        <f t="shared" si="46"/>
        <v>758.31000000000006</v>
      </c>
      <c r="AE33" s="74">
        <f t="shared" si="47"/>
        <v>1097.43</v>
      </c>
      <c r="AF33" s="43">
        <v>2580</v>
      </c>
      <c r="AI33" s="42">
        <v>1</v>
      </c>
      <c r="AJ33" s="42">
        <f>1840*0.7457</f>
        <v>1372.088</v>
      </c>
      <c r="AK33" s="42">
        <f t="shared" si="51"/>
        <v>1372.088</v>
      </c>
      <c r="AL33" s="76">
        <f t="shared" si="52"/>
        <v>37.041706224200851</v>
      </c>
      <c r="AM33" s="42">
        <v>16.100000000000001</v>
      </c>
      <c r="AN33" s="42">
        <v>12</v>
      </c>
      <c r="AO33" s="42" t="s">
        <v>728</v>
      </c>
      <c r="AP33" s="42">
        <v>810</v>
      </c>
      <c r="AQ33" s="42">
        <v>49</v>
      </c>
      <c r="AR33" s="46">
        <f t="shared" si="53"/>
        <v>147890.23200000002</v>
      </c>
      <c r="AS33" s="96">
        <f t="shared" ref="AS33:AY33" si="62">BR33/100*$AZ33</f>
        <v>216.26409017713357</v>
      </c>
      <c r="AT33" s="96">
        <f t="shared" si="62"/>
        <v>60.225442834138491</v>
      </c>
      <c r="AU33" s="96">
        <f t="shared" si="62"/>
        <v>28.470209339774566</v>
      </c>
      <c r="AV33" s="96">
        <f t="shared" si="62"/>
        <v>37.777777777777779</v>
      </c>
      <c r="AW33" s="96">
        <f t="shared" si="62"/>
        <v>53.10789049919498</v>
      </c>
      <c r="AX33" s="96">
        <f t="shared" si="62"/>
        <v>23.132045088566816</v>
      </c>
      <c r="AY33" s="96">
        <f t="shared" si="62"/>
        <v>6.0225442834138496</v>
      </c>
      <c r="AZ33" s="76">
        <v>425</v>
      </c>
      <c r="BA33" s="42">
        <f>BY33/100*$AZ33</f>
        <v>0</v>
      </c>
      <c r="BB33" s="76">
        <f t="shared" si="55"/>
        <v>425</v>
      </c>
      <c r="BC33" s="42">
        <v>0</v>
      </c>
      <c r="BD33" s="76">
        <f t="shared" si="56"/>
        <v>115</v>
      </c>
      <c r="BE33" s="42">
        <f t="shared" si="57"/>
        <v>540</v>
      </c>
      <c r="BF33" s="43">
        <f t="shared" si="58"/>
        <v>1.2951663259502277</v>
      </c>
      <c r="BG33" s="43">
        <f t="shared" si="59"/>
        <v>0.3853842822404967</v>
      </c>
      <c r="BH33" s="42"/>
      <c r="BI33" s="42"/>
      <c r="BJ33" s="42"/>
      <c r="BK33" s="42"/>
      <c r="BL33" s="42"/>
      <c r="BM33" s="42"/>
      <c r="BN33" s="42"/>
      <c r="BO33" s="42"/>
      <c r="BP33" s="42"/>
      <c r="BQ33" s="42"/>
      <c r="BR33" s="66">
        <v>50.885668276972602</v>
      </c>
      <c r="BS33" s="66">
        <v>14.170692431561999</v>
      </c>
      <c r="BT33" s="66">
        <v>6.6988727858293098</v>
      </c>
      <c r="BU33" s="66">
        <v>8.8888888888888893</v>
      </c>
      <c r="BV33" s="66">
        <v>12.495974235104701</v>
      </c>
      <c r="BW33" s="66">
        <v>5.4428341384863099</v>
      </c>
      <c r="BX33" s="66">
        <v>1.4170692431562</v>
      </c>
      <c r="BY33" s="66">
        <v>0</v>
      </c>
      <c r="BZ33" s="42"/>
      <c r="CA33" s="42"/>
      <c r="CB33" s="42"/>
      <c r="CC33" s="42"/>
      <c r="CD33" s="42"/>
      <c r="CE33" s="42"/>
      <c r="CF33" s="42"/>
      <c r="CG33" s="42"/>
      <c r="CH33" s="42"/>
      <c r="CI33" s="42"/>
      <c r="CJ33" s="42"/>
      <c r="CK33" s="42"/>
      <c r="CL33" s="42"/>
      <c r="CM33" s="42"/>
      <c r="CN33" s="42"/>
      <c r="CO33" s="42"/>
      <c r="CP33" s="42"/>
      <c r="CQ33" s="42"/>
      <c r="CR33" s="42"/>
      <c r="CS33" s="42"/>
      <c r="CT33" s="42"/>
      <c r="CU33" s="42"/>
      <c r="CW33" s="42"/>
      <c r="CX33" s="42">
        <v>2580</v>
      </c>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row>
    <row r="34" spans="1:153">
      <c r="A34" s="42" t="s">
        <v>796</v>
      </c>
      <c r="B34" s="42"/>
      <c r="C34" s="42" t="s">
        <v>755</v>
      </c>
      <c r="D34" s="42" t="s">
        <v>797</v>
      </c>
      <c r="E34" s="56" t="s">
        <v>720</v>
      </c>
      <c r="G34" s="42">
        <v>52.5</v>
      </c>
      <c r="H34" s="42"/>
      <c r="I34" s="42">
        <v>50</v>
      </c>
      <c r="J34" s="44">
        <f t="shared" si="48"/>
        <v>50</v>
      </c>
      <c r="K34" s="42">
        <v>9</v>
      </c>
      <c r="L34" s="42"/>
      <c r="M34" s="44">
        <f t="shared" si="49"/>
        <v>9</v>
      </c>
      <c r="N34" s="42">
        <v>5.5</v>
      </c>
      <c r="O34" s="42">
        <v>2.2000000000000002</v>
      </c>
      <c r="P34" s="42">
        <f t="shared" si="50"/>
        <v>3.3</v>
      </c>
      <c r="Q34" s="76">
        <v>480</v>
      </c>
      <c r="R34" s="77"/>
      <c r="S34" s="77"/>
      <c r="T34" s="77"/>
      <c r="U34" s="77"/>
      <c r="V34" s="42"/>
      <c r="W34" s="53">
        <f t="shared" si="4"/>
        <v>9.0909090909090917</v>
      </c>
      <c r="X34" s="53">
        <f t="shared" si="5"/>
        <v>5.5555555555555554</v>
      </c>
      <c r="Y34" s="53">
        <f t="shared" si="6"/>
        <v>4.0909090909090908</v>
      </c>
      <c r="Z34" s="83">
        <f t="shared" si="60"/>
        <v>22.727272727272727</v>
      </c>
      <c r="AA34" s="73">
        <f t="shared" si="7"/>
        <v>6.6000000000000003E-2</v>
      </c>
      <c r="AB34" s="55">
        <f t="shared" si="12"/>
        <v>107.02216697270214</v>
      </c>
      <c r="AC34" s="74">
        <f t="shared" si="45"/>
        <v>2475</v>
      </c>
      <c r="AD34" s="74">
        <f t="shared" si="46"/>
        <v>725</v>
      </c>
      <c r="AE34" s="74">
        <f t="shared" si="47"/>
        <v>1000</v>
      </c>
      <c r="AF34" s="43">
        <v>2680</v>
      </c>
      <c r="AI34" s="42">
        <v>2</v>
      </c>
      <c r="AJ34" s="42">
        <f>620*0.7457</f>
        <v>462.334</v>
      </c>
      <c r="AK34" s="42">
        <f t="shared" si="51"/>
        <v>924.66800000000001</v>
      </c>
      <c r="AL34" s="76">
        <f t="shared" si="52"/>
        <v>30.408354115275625</v>
      </c>
      <c r="AM34" s="42">
        <v>13.8</v>
      </c>
      <c r="AN34" s="42">
        <v>12</v>
      </c>
      <c r="AO34" s="42" t="s">
        <v>728</v>
      </c>
      <c r="AP34" s="42">
        <v>750</v>
      </c>
      <c r="AQ34" s="42">
        <v>40</v>
      </c>
      <c r="AR34" s="46">
        <f t="shared" si="53"/>
        <v>99000</v>
      </c>
      <c r="AS34" s="96">
        <f t="shared" ref="AS34:AY34" si="63">BR34/100*$AZ34</f>
        <v>144.38347320852159</v>
      </c>
      <c r="AT34" s="96">
        <f t="shared" si="63"/>
        <v>37.814719173660457</v>
      </c>
      <c r="AU34" s="96">
        <f t="shared" si="63"/>
        <v>38.043899289864477</v>
      </c>
      <c r="AV34" s="96">
        <f t="shared" si="63"/>
        <v>22.918011620400261</v>
      </c>
      <c r="AW34" s="96">
        <f t="shared" si="63"/>
        <v>36.210458360232323</v>
      </c>
      <c r="AX34" s="96">
        <f t="shared" si="63"/>
        <v>57.295029051000746</v>
      </c>
      <c r="AY34" s="96">
        <f t="shared" si="63"/>
        <v>18.334409296320217</v>
      </c>
      <c r="AZ34" s="76">
        <v>355</v>
      </c>
      <c r="BA34" s="42">
        <f>BY34/100*$AZ34</f>
        <v>0</v>
      </c>
      <c r="BB34" s="76">
        <f t="shared" si="55"/>
        <v>355</v>
      </c>
      <c r="BC34" s="42">
        <v>0</v>
      </c>
      <c r="BD34" s="76">
        <f t="shared" si="56"/>
        <v>125</v>
      </c>
      <c r="BE34" s="42">
        <f t="shared" si="57"/>
        <v>480</v>
      </c>
      <c r="BF34" s="43">
        <f t="shared" si="58"/>
        <v>1.0774675665587807</v>
      </c>
      <c r="BG34" s="43">
        <f t="shared" si="59"/>
        <v>0.32060674868999617</v>
      </c>
      <c r="BH34" s="42"/>
      <c r="BI34" s="42"/>
      <c r="BJ34" s="42"/>
      <c r="BK34" s="42"/>
      <c r="BL34" s="42"/>
      <c r="BM34" s="42"/>
      <c r="BN34" s="42"/>
      <c r="BO34" s="42"/>
      <c r="BP34" s="42"/>
      <c r="BQ34" s="42"/>
      <c r="BR34" s="66">
        <v>40.671400903808902</v>
      </c>
      <c r="BS34" s="66">
        <v>10.6520335700452</v>
      </c>
      <c r="BT34" s="66">
        <v>10.7165913492576</v>
      </c>
      <c r="BU34" s="66">
        <v>6.4557779212395099</v>
      </c>
      <c r="BV34" s="66">
        <v>10.200129115558401</v>
      </c>
      <c r="BW34" s="66">
        <v>16.139444803098801</v>
      </c>
      <c r="BX34" s="66">
        <v>5.1646223369916102</v>
      </c>
      <c r="BY34" s="66">
        <v>0</v>
      </c>
      <c r="BZ34" s="42"/>
      <c r="CA34" s="42"/>
      <c r="CB34" s="42"/>
      <c r="CC34" s="42"/>
      <c r="CD34" s="42"/>
      <c r="CE34" s="42"/>
      <c r="CF34" s="42"/>
      <c r="CG34" s="42"/>
      <c r="CH34" s="42"/>
      <c r="CI34" s="42"/>
      <c r="CJ34" s="42"/>
      <c r="CK34" s="42"/>
      <c r="CL34" s="42"/>
      <c r="CM34" s="42"/>
      <c r="CN34" s="42"/>
      <c r="CO34" s="42"/>
      <c r="CP34" s="42"/>
      <c r="CQ34" s="42"/>
      <c r="CR34" s="42"/>
      <c r="CS34" s="42"/>
      <c r="CT34" s="42"/>
      <c r="CU34" s="42"/>
      <c r="CW34" s="42"/>
      <c r="CX34" s="42">
        <v>2680</v>
      </c>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row>
    <row r="35" spans="1:153">
      <c r="B35" s="42" t="s">
        <v>798</v>
      </c>
      <c r="C35" s="42" t="s">
        <v>799</v>
      </c>
      <c r="D35" s="42" t="s">
        <v>800</v>
      </c>
      <c r="E35" s="56" t="s">
        <v>720</v>
      </c>
      <c r="G35" s="42">
        <v>54.4</v>
      </c>
      <c r="H35" s="42"/>
      <c r="I35" s="42">
        <v>51</v>
      </c>
      <c r="J35" s="44">
        <f t="shared" si="48"/>
        <v>51</v>
      </c>
      <c r="K35" s="42">
        <v>8.9</v>
      </c>
      <c r="L35" s="42"/>
      <c r="M35" s="44">
        <f t="shared" si="49"/>
        <v>8.9</v>
      </c>
      <c r="N35" s="42">
        <v>4.8</v>
      </c>
      <c r="O35" s="42">
        <v>2.5</v>
      </c>
      <c r="P35" s="42">
        <f t="shared" si="50"/>
        <v>2.2999999999999998</v>
      </c>
      <c r="Q35" s="76">
        <v>600</v>
      </c>
      <c r="R35" s="77"/>
      <c r="S35" s="77"/>
      <c r="T35" s="77"/>
      <c r="U35" s="77"/>
      <c r="V35" s="42"/>
      <c r="W35" s="53">
        <f t="shared" ref="W35:W51" si="64">J35/N35</f>
        <v>10.625</v>
      </c>
      <c r="X35" s="53">
        <f t="shared" ref="X35:X51" si="65">J35/M35</f>
        <v>5.7303370786516847</v>
      </c>
      <c r="Y35" s="53">
        <f t="shared" ref="Y35:Y51" si="66">M35/O35</f>
        <v>3.56</v>
      </c>
      <c r="Z35" s="83">
        <f t="shared" si="60"/>
        <v>20.399999999999999</v>
      </c>
      <c r="AA35" s="73">
        <f t="shared" si="7"/>
        <v>4.5098039215686274E-2</v>
      </c>
      <c r="AB35" s="55">
        <f t="shared" si="12"/>
        <v>126.06172278750034</v>
      </c>
      <c r="AC35" s="74">
        <f t="shared" si="45"/>
        <v>2178.7200000000003</v>
      </c>
      <c r="AD35" s="74">
        <f t="shared" si="46"/>
        <v>698.69999999999993</v>
      </c>
      <c r="AE35" s="74">
        <f t="shared" si="47"/>
        <v>943.5</v>
      </c>
      <c r="AF35" s="43">
        <v>2335</v>
      </c>
      <c r="AI35" s="42">
        <v>2</v>
      </c>
      <c r="AJ35" s="42">
        <f>2727*0.7457</f>
        <v>2033.5239000000001</v>
      </c>
      <c r="AK35" s="42">
        <f t="shared" si="51"/>
        <v>4067.0478000000003</v>
      </c>
      <c r="AL35" s="76">
        <f t="shared" si="52"/>
        <v>63.773409819453754</v>
      </c>
      <c r="AM35" s="66">
        <v>24</v>
      </c>
      <c r="AN35" s="42">
        <v>12</v>
      </c>
      <c r="AO35" s="42" t="s">
        <v>728</v>
      </c>
      <c r="AP35" s="42">
        <v>690</v>
      </c>
      <c r="AQ35" s="42">
        <v>37</v>
      </c>
      <c r="AR35" s="46">
        <f t="shared" si="53"/>
        <v>80612.640000000014</v>
      </c>
      <c r="AS35" s="96">
        <f>BR35/100*$AZ35</f>
        <v>189.87096774193523</v>
      </c>
      <c r="AT35" s="84"/>
      <c r="AU35" s="84"/>
      <c r="AV35" s="84"/>
      <c r="AW35" s="84"/>
      <c r="AX35" s="84"/>
      <c r="AY35" s="84"/>
      <c r="AZ35" s="76">
        <v>540</v>
      </c>
      <c r="BA35" s="84"/>
      <c r="BB35" s="76">
        <f t="shared" si="55"/>
        <v>540</v>
      </c>
      <c r="BC35" s="84"/>
      <c r="BD35" s="76">
        <f t="shared" si="56"/>
        <v>60</v>
      </c>
      <c r="BE35" s="42">
        <f t="shared" si="57"/>
        <v>600</v>
      </c>
      <c r="BF35" s="43">
        <f t="shared" si="58"/>
        <v>1.8553945455047531</v>
      </c>
      <c r="BG35" s="43">
        <f t="shared" si="59"/>
        <v>0.55208345126459102</v>
      </c>
      <c r="BH35" s="42"/>
      <c r="BI35" s="42"/>
      <c r="BJ35" s="42"/>
      <c r="BK35" s="42"/>
      <c r="BL35" s="42"/>
      <c r="BM35" s="42"/>
      <c r="BN35" s="42"/>
      <c r="BO35" s="42"/>
      <c r="BP35" s="42"/>
      <c r="BQ35" s="42"/>
      <c r="BR35" s="66">
        <v>35.161290322580598</v>
      </c>
      <c r="BS35" s="66"/>
      <c r="BT35" s="66"/>
      <c r="BU35" s="66"/>
      <c r="BV35" s="66"/>
      <c r="BW35" s="66"/>
      <c r="BX35" s="66"/>
      <c r="BY35" s="66"/>
      <c r="BZ35" s="42"/>
      <c r="CA35" s="42"/>
      <c r="CB35" s="42"/>
      <c r="CC35" s="42"/>
      <c r="CD35" s="42"/>
      <c r="CE35" s="42"/>
      <c r="CF35" s="42"/>
      <c r="CG35" s="42"/>
      <c r="CH35" s="42"/>
      <c r="CI35" s="42"/>
      <c r="CJ35" s="42"/>
      <c r="CK35" s="42"/>
      <c r="CL35" s="42"/>
      <c r="CM35" s="42"/>
      <c r="CN35" s="42"/>
      <c r="CO35" s="42"/>
      <c r="CP35" s="42"/>
      <c r="CQ35" s="42"/>
      <c r="CR35" s="42"/>
      <c r="CS35" s="42"/>
      <c r="CT35" s="42"/>
      <c r="CU35" s="42"/>
      <c r="CW35" s="42"/>
      <c r="CX35" s="42">
        <v>2335</v>
      </c>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row>
    <row r="36" spans="1:153">
      <c r="B36" s="42" t="s">
        <v>801</v>
      </c>
      <c r="C36" s="42" t="s">
        <v>718</v>
      </c>
      <c r="D36" s="42" t="s">
        <v>802</v>
      </c>
      <c r="E36" s="56" t="s">
        <v>720</v>
      </c>
      <c r="G36" s="42">
        <v>57.7</v>
      </c>
      <c r="H36" s="42"/>
      <c r="I36" s="42">
        <v>53.1</v>
      </c>
      <c r="J36" s="44">
        <f t="shared" si="48"/>
        <v>53.1</v>
      </c>
      <c r="K36" s="42">
        <v>10.5</v>
      </c>
      <c r="L36" s="42"/>
      <c r="M36" s="44">
        <f t="shared" si="49"/>
        <v>10.5</v>
      </c>
      <c r="N36" s="42">
        <v>7.6</v>
      </c>
      <c r="O36" s="66">
        <v>3</v>
      </c>
      <c r="P36" s="42">
        <f t="shared" si="50"/>
        <v>4.5999999999999996</v>
      </c>
      <c r="Q36" s="76">
        <v>915</v>
      </c>
      <c r="R36" s="77"/>
      <c r="S36" s="77"/>
      <c r="T36" s="77"/>
      <c r="U36" s="77"/>
      <c r="V36" s="42"/>
      <c r="W36" s="53">
        <f t="shared" si="64"/>
        <v>6.9868421052631584</v>
      </c>
      <c r="X36" s="53">
        <f t="shared" si="65"/>
        <v>5.0571428571428569</v>
      </c>
      <c r="Y36" s="53">
        <f t="shared" si="66"/>
        <v>3.5</v>
      </c>
      <c r="Z36" s="83">
        <f t="shared" si="60"/>
        <v>17.7</v>
      </c>
      <c r="AA36" s="73">
        <f t="shared" si="7"/>
        <v>8.662900188323916E-2</v>
      </c>
      <c r="AB36" s="55">
        <f t="shared" si="12"/>
        <v>170.32564676432145</v>
      </c>
      <c r="AC36" s="74">
        <f t="shared" si="45"/>
        <v>4237.38</v>
      </c>
      <c r="AD36" s="74">
        <f t="shared" si="46"/>
        <v>961.11000000000013</v>
      </c>
      <c r="AE36" s="74">
        <f t="shared" si="47"/>
        <v>1364.67</v>
      </c>
      <c r="AF36" s="43">
        <v>3520</v>
      </c>
      <c r="AI36" s="42">
        <v>2</v>
      </c>
      <c r="AJ36" s="42">
        <f>800*0.7457</f>
        <v>596.56000000000006</v>
      </c>
      <c r="AK36" s="42">
        <f t="shared" si="51"/>
        <v>1193.1200000000001</v>
      </c>
      <c r="AL36" s="76">
        <f t="shared" si="52"/>
        <v>34.541569159492454</v>
      </c>
      <c r="AM36" s="42">
        <v>12.7</v>
      </c>
      <c r="AN36" s="42">
        <v>12</v>
      </c>
      <c r="AO36" s="42" t="s">
        <v>728</v>
      </c>
      <c r="AP36" s="42">
        <v>900</v>
      </c>
      <c r="AQ36" s="42">
        <v>51</v>
      </c>
      <c r="AR36" s="46">
        <f t="shared" si="53"/>
        <v>216106.38</v>
      </c>
      <c r="AS36" s="96">
        <f t="shared" ref="AS36:AY36" si="67">BR36/100*$AZ36</f>
        <v>433.32690453230458</v>
      </c>
      <c r="AT36" s="96">
        <f t="shared" si="67"/>
        <v>68.003857280617154</v>
      </c>
      <c r="AU36" s="96">
        <f t="shared" si="67"/>
        <v>52.716168434586919</v>
      </c>
      <c r="AV36" s="96">
        <f t="shared" si="67"/>
        <v>63.259402121504365</v>
      </c>
      <c r="AW36" s="96">
        <f t="shared" si="67"/>
        <v>102.53294760527177</v>
      </c>
      <c r="AX36" s="96">
        <f t="shared" si="67"/>
        <v>89.617486338797988</v>
      </c>
      <c r="AY36" s="96">
        <f t="shared" si="67"/>
        <v>10.543233686917366</v>
      </c>
      <c r="AZ36" s="76">
        <v>820</v>
      </c>
      <c r="BA36" s="42">
        <f>BY36/100*$AZ36</f>
        <v>0</v>
      </c>
      <c r="BB36" s="76">
        <f t="shared" si="55"/>
        <v>820</v>
      </c>
      <c r="BC36" s="42">
        <v>0</v>
      </c>
      <c r="BD36" s="76">
        <f t="shared" si="56"/>
        <v>95</v>
      </c>
      <c r="BE36" s="42">
        <f t="shared" si="57"/>
        <v>915</v>
      </c>
      <c r="BF36" s="43">
        <f t="shared" si="58"/>
        <v>0.96220272448232358</v>
      </c>
      <c r="BG36" s="43">
        <f t="shared" si="59"/>
        <v>0.28630902372512806</v>
      </c>
      <c r="BH36" s="42"/>
      <c r="BI36" s="42"/>
      <c r="BJ36" s="42"/>
      <c r="BK36" s="42"/>
      <c r="BL36" s="42"/>
      <c r="BM36" s="42"/>
      <c r="BN36" s="42"/>
      <c r="BO36" s="42"/>
      <c r="BP36" s="42"/>
      <c r="BQ36" s="42"/>
      <c r="BR36" s="66">
        <v>52.844744455159102</v>
      </c>
      <c r="BS36" s="66">
        <v>8.2931533269045303</v>
      </c>
      <c r="BT36" s="66">
        <v>6.4288010286081603</v>
      </c>
      <c r="BU36" s="66">
        <v>7.7145612343297998</v>
      </c>
      <c r="BV36" s="66">
        <v>12.504018000642899</v>
      </c>
      <c r="BW36" s="66">
        <v>10.928961748633901</v>
      </c>
      <c r="BX36" s="66">
        <v>1.28576020572163</v>
      </c>
      <c r="BY36" s="66">
        <v>0</v>
      </c>
      <c r="BZ36" s="66"/>
      <c r="CA36" s="42"/>
      <c r="CB36" s="42"/>
      <c r="CC36" s="42"/>
      <c r="CD36" s="42"/>
      <c r="CE36" s="42"/>
      <c r="CF36" s="42"/>
      <c r="CG36" s="42"/>
      <c r="CH36" s="42"/>
      <c r="CI36" s="42"/>
      <c r="CJ36" s="42"/>
      <c r="CK36" s="42"/>
      <c r="CL36" s="42"/>
      <c r="CM36" s="42"/>
      <c r="CN36" s="42"/>
      <c r="CO36" s="42"/>
      <c r="CP36" s="42"/>
      <c r="CQ36" s="42"/>
      <c r="CR36" s="42"/>
      <c r="CS36" s="42"/>
      <c r="CT36" s="42"/>
      <c r="CU36" s="42"/>
      <c r="CW36" s="42"/>
      <c r="CX36" s="42">
        <v>3520</v>
      </c>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row>
    <row r="37" spans="1:153" ht="12.75">
      <c r="A37" s="42" t="s">
        <v>803</v>
      </c>
      <c r="B37" s="42"/>
      <c r="C37" s="42" t="s">
        <v>755</v>
      </c>
      <c r="D37" s="42" t="s">
        <v>804</v>
      </c>
      <c r="E37" s="56" t="s">
        <v>720</v>
      </c>
      <c r="G37" s="42">
        <v>60</v>
      </c>
      <c r="H37" s="42"/>
      <c r="I37" s="42">
        <v>57</v>
      </c>
      <c r="J37" s="44">
        <f t="shared" si="48"/>
        <v>57</v>
      </c>
      <c r="K37" s="42">
        <v>10</v>
      </c>
      <c r="L37" s="42"/>
      <c r="M37" s="44">
        <f t="shared" si="49"/>
        <v>10</v>
      </c>
      <c r="N37" s="42">
        <v>7.4</v>
      </c>
      <c r="O37" s="42">
        <v>2.5</v>
      </c>
      <c r="P37" s="42">
        <f t="shared" si="50"/>
        <v>4.9000000000000004</v>
      </c>
      <c r="Q37" s="76">
        <v>700</v>
      </c>
      <c r="R37" s="77"/>
      <c r="S37" s="77"/>
      <c r="T37" s="77"/>
      <c r="U37" s="77"/>
      <c r="V37" s="42"/>
      <c r="W37" s="53">
        <f t="shared" si="64"/>
        <v>7.7027027027027026</v>
      </c>
      <c r="X37" s="53">
        <f t="shared" si="65"/>
        <v>5.7</v>
      </c>
      <c r="Y37" s="53">
        <f t="shared" si="66"/>
        <v>4</v>
      </c>
      <c r="Z37" s="83">
        <f t="shared" si="60"/>
        <v>22.8</v>
      </c>
      <c r="AA37" s="73">
        <f t="shared" si="7"/>
        <v>8.5964912280701758E-2</v>
      </c>
      <c r="AB37" s="55">
        <f t="shared" si="12"/>
        <v>105.3455000336522</v>
      </c>
      <c r="AC37" s="74">
        <f t="shared" si="45"/>
        <v>4218</v>
      </c>
      <c r="AD37" s="74">
        <f t="shared" si="46"/>
        <v>991.8</v>
      </c>
      <c r="AE37" s="74">
        <f t="shared" si="47"/>
        <v>1413.6000000000001</v>
      </c>
      <c r="AF37" s="43">
        <v>3015</v>
      </c>
      <c r="AG37" s="43"/>
      <c r="AH37" s="43"/>
      <c r="AI37" s="42">
        <v>2</v>
      </c>
      <c r="AJ37" s="42">
        <f>950*0.7457</f>
        <v>708.41500000000008</v>
      </c>
      <c r="AK37" s="42">
        <f t="shared" si="51"/>
        <v>1416.8300000000002</v>
      </c>
      <c r="AL37" s="76">
        <f t="shared" si="52"/>
        <v>37.640802329387192</v>
      </c>
      <c r="AM37" s="42">
        <v>16.3</v>
      </c>
      <c r="AN37" s="42">
        <v>12</v>
      </c>
      <c r="AO37" s="42" t="s">
        <v>728</v>
      </c>
      <c r="AP37" s="42">
        <v>660</v>
      </c>
      <c r="AQ37" s="42">
        <v>45</v>
      </c>
      <c r="AR37" s="46">
        <f t="shared" si="53"/>
        <v>189810</v>
      </c>
      <c r="AS37" s="96">
        <f t="shared" ref="AS37:AY37" si="68">BR37/100*$AZ37</f>
        <v>246.95121951219517</v>
      </c>
      <c r="AT37" s="96">
        <f t="shared" si="68"/>
        <v>51.219512195121972</v>
      </c>
      <c r="AU37" s="96">
        <f t="shared" si="68"/>
        <v>45.731707317073159</v>
      </c>
      <c r="AV37" s="96">
        <f t="shared" si="68"/>
        <v>89.634146341463477</v>
      </c>
      <c r="AW37" s="96">
        <f t="shared" si="68"/>
        <v>85.975609756097597</v>
      </c>
      <c r="AX37" s="96">
        <f t="shared" si="68"/>
        <v>43.902439024390269</v>
      </c>
      <c r="AY37" s="96">
        <f t="shared" si="68"/>
        <v>6.5853658536585264</v>
      </c>
      <c r="AZ37" s="76">
        <v>570</v>
      </c>
      <c r="BA37" s="42">
        <f>BY37/100*$AZ37</f>
        <v>0</v>
      </c>
      <c r="BB37" s="76">
        <f t="shared" si="55"/>
        <v>570</v>
      </c>
      <c r="BC37" s="42">
        <v>0</v>
      </c>
      <c r="BD37" s="76">
        <f t="shared" si="56"/>
        <v>130</v>
      </c>
      <c r="BE37" s="42">
        <f t="shared" si="57"/>
        <v>700</v>
      </c>
      <c r="BF37" s="43">
        <f t="shared" si="58"/>
        <v>1.1919562039882652</v>
      </c>
      <c r="BG37" s="43">
        <f t="shared" si="59"/>
        <v>0.35467350944219772</v>
      </c>
      <c r="BH37" s="42"/>
      <c r="BI37" s="42"/>
      <c r="BJ37" s="42"/>
      <c r="BK37" s="42"/>
      <c r="BL37" s="42"/>
      <c r="BM37" s="42"/>
      <c r="BN37" s="42"/>
      <c r="BO37" s="42"/>
      <c r="BP37" s="42"/>
      <c r="BQ37" s="42"/>
      <c r="BR37" s="66">
        <v>43.324775353016697</v>
      </c>
      <c r="BS37" s="66">
        <v>8.9858793324775394</v>
      </c>
      <c r="BT37" s="66">
        <v>8.0231065468549403</v>
      </c>
      <c r="BU37" s="66">
        <v>15.7252888318357</v>
      </c>
      <c r="BV37" s="66">
        <v>15.083440308087299</v>
      </c>
      <c r="BW37" s="66">
        <v>7.7021822849807497</v>
      </c>
      <c r="BX37" s="66">
        <v>1.15532734274711</v>
      </c>
      <c r="BY37" s="66">
        <v>0</v>
      </c>
      <c r="BZ37" s="42"/>
      <c r="CA37" s="42"/>
      <c r="CB37" s="42"/>
      <c r="CC37" s="42"/>
      <c r="CD37" s="42"/>
      <c r="CE37" s="42"/>
      <c r="CF37" s="42"/>
      <c r="CG37" s="42"/>
      <c r="CH37" s="42"/>
      <c r="CI37" s="42"/>
      <c r="CJ37" s="42"/>
      <c r="CK37" s="42"/>
      <c r="CL37" s="42"/>
      <c r="CM37" s="42"/>
      <c r="CN37" s="42"/>
      <c r="CO37" s="42"/>
      <c r="CP37" s="42"/>
      <c r="CQ37" s="42"/>
      <c r="CR37" s="42"/>
      <c r="CS37" s="42"/>
      <c r="CT37" s="42"/>
      <c r="CU37" s="42"/>
      <c r="CV37" s="43"/>
      <c r="CW37" s="42"/>
      <c r="CX37" s="42">
        <v>3015</v>
      </c>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row>
    <row r="38" spans="1:153">
      <c r="B38" s="42" t="s">
        <v>805</v>
      </c>
      <c r="C38" s="42" t="s">
        <v>718</v>
      </c>
      <c r="D38" s="42" t="s">
        <v>806</v>
      </c>
      <c r="E38" s="56" t="s">
        <v>720</v>
      </c>
      <c r="G38" s="42">
        <v>68.400000000000006</v>
      </c>
      <c r="H38" s="42"/>
      <c r="I38" s="42">
        <v>65.099999999999994</v>
      </c>
      <c r="J38" s="44">
        <f t="shared" si="48"/>
        <v>65.099999999999994</v>
      </c>
      <c r="K38" s="42">
        <v>11.9</v>
      </c>
      <c r="L38" s="42"/>
      <c r="M38" s="44">
        <f t="shared" si="49"/>
        <v>11.9</v>
      </c>
      <c r="N38" s="42">
        <v>7.5</v>
      </c>
      <c r="O38" s="42">
        <v>3.3</v>
      </c>
      <c r="P38" s="42">
        <f t="shared" si="50"/>
        <v>4.2</v>
      </c>
      <c r="Q38" s="76">
        <v>1330</v>
      </c>
      <c r="R38" s="77"/>
      <c r="S38" s="77"/>
      <c r="T38" s="77"/>
      <c r="U38" s="77"/>
      <c r="V38" s="42"/>
      <c r="W38" s="53">
        <f t="shared" si="64"/>
        <v>8.68</v>
      </c>
      <c r="X38" s="53">
        <f t="shared" si="65"/>
        <v>5.4705882352941169</v>
      </c>
      <c r="Y38" s="53">
        <f t="shared" si="66"/>
        <v>3.6060606060606064</v>
      </c>
      <c r="Z38" s="83">
        <f t="shared" si="60"/>
        <v>19.727272727272727</v>
      </c>
      <c r="AA38" s="73">
        <f t="shared" si="7"/>
        <v>6.4516129032258077E-2</v>
      </c>
      <c r="AB38" s="55">
        <f t="shared" si="12"/>
        <v>134.35418263157143</v>
      </c>
      <c r="AC38" s="74">
        <f t="shared" si="45"/>
        <v>5810.1749999999993</v>
      </c>
      <c r="AD38" s="74">
        <f t="shared" si="46"/>
        <v>1262.9399999999998</v>
      </c>
      <c r="AE38" s="74">
        <f t="shared" si="47"/>
        <v>1751.1899999999998</v>
      </c>
      <c r="AF38" s="43">
        <v>4600</v>
      </c>
      <c r="AI38" s="42">
        <v>2</v>
      </c>
      <c r="AJ38" s="42">
        <f>1200*0.7457</f>
        <v>894.84</v>
      </c>
      <c r="AK38" s="42">
        <f t="shared" si="51"/>
        <v>1789.68</v>
      </c>
      <c r="AL38" s="76">
        <f t="shared" si="52"/>
        <v>42.304609677906264</v>
      </c>
      <c r="AM38" s="42">
        <v>14.3</v>
      </c>
      <c r="AN38" s="42">
        <v>12</v>
      </c>
      <c r="AO38" s="42" t="s">
        <v>728</v>
      </c>
      <c r="AP38" s="42">
        <f>3*375</f>
        <v>1125</v>
      </c>
      <c r="AQ38" s="42">
        <v>81</v>
      </c>
      <c r="AR38" s="46">
        <f t="shared" si="53"/>
        <v>470624.17499999993</v>
      </c>
      <c r="AS38" s="96">
        <f t="shared" ref="AS38:AY38" si="69">BR38/100*$AZ38</f>
        <v>539.69121904149267</v>
      </c>
      <c r="AT38" s="96">
        <f t="shared" si="69"/>
        <v>108.70376326793183</v>
      </c>
      <c r="AU38" s="96">
        <f t="shared" si="69"/>
        <v>53.586362174332606</v>
      </c>
      <c r="AV38" s="96">
        <f t="shared" si="69"/>
        <v>148.51077516886423</v>
      </c>
      <c r="AW38" s="96">
        <f t="shared" si="69"/>
        <v>179.89707301383049</v>
      </c>
      <c r="AX38" s="96">
        <f t="shared" si="69"/>
        <v>140.47282084271416</v>
      </c>
      <c r="AY38" s="96">
        <f t="shared" si="69"/>
        <v>19.137986490833008</v>
      </c>
      <c r="AZ38" s="76">
        <v>1190</v>
      </c>
      <c r="BA38" s="42">
        <f>BY38/100*$AZ38</f>
        <v>0</v>
      </c>
      <c r="BB38" s="76">
        <f t="shared" si="55"/>
        <v>1190</v>
      </c>
      <c r="BC38" s="42">
        <v>0</v>
      </c>
      <c r="BD38" s="76">
        <f t="shared" si="56"/>
        <v>140</v>
      </c>
      <c r="BE38" s="42">
        <f t="shared" si="57"/>
        <v>1330</v>
      </c>
      <c r="BF38" s="43">
        <f t="shared" si="58"/>
        <v>0.97848836301992759</v>
      </c>
      <c r="BG38" s="43">
        <f t="shared" si="59"/>
        <v>0.29115491030578633</v>
      </c>
      <c r="BH38" s="42"/>
      <c r="BI38" s="42"/>
      <c r="BJ38" s="42"/>
      <c r="BK38" s="42"/>
      <c r="BL38" s="42"/>
      <c r="BM38" s="42"/>
      <c r="BN38" s="42"/>
      <c r="BO38" s="42"/>
      <c r="BP38" s="42"/>
      <c r="BQ38" s="42"/>
      <c r="BR38" s="66">
        <v>45.352203280797703</v>
      </c>
      <c r="BS38" s="66">
        <v>9.1347700225152799</v>
      </c>
      <c r="BT38" s="66">
        <v>4.5030556449018997</v>
      </c>
      <c r="BU38" s="66">
        <v>12.479897073013801</v>
      </c>
      <c r="BV38" s="66">
        <v>15.1174010935992</v>
      </c>
      <c r="BW38" s="66">
        <v>11.8044387262785</v>
      </c>
      <c r="BX38" s="66">
        <v>1.6082341588935301</v>
      </c>
      <c r="BY38" s="66">
        <v>0</v>
      </c>
      <c r="BZ38" s="42"/>
      <c r="CA38" s="42"/>
      <c r="CB38" s="42"/>
      <c r="CC38" s="42"/>
      <c r="CD38" s="42"/>
      <c r="CE38" s="42"/>
      <c r="CF38" s="42"/>
      <c r="CG38" s="42"/>
      <c r="CH38" s="42"/>
      <c r="CI38" s="42"/>
      <c r="CJ38" s="42"/>
      <c r="CK38" s="42"/>
      <c r="CL38" s="42"/>
      <c r="CM38" s="42"/>
      <c r="CN38" s="42"/>
      <c r="CO38" s="42"/>
      <c r="CP38" s="42"/>
      <c r="CQ38" s="42"/>
      <c r="CR38" s="42"/>
      <c r="CS38" s="42"/>
      <c r="CT38" s="42"/>
      <c r="CU38" s="42"/>
      <c r="CW38" s="42"/>
      <c r="CX38" s="42">
        <v>4600</v>
      </c>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row>
    <row r="39" spans="1:153" s="40" customFormat="1">
      <c r="A39" s="42"/>
      <c r="B39" s="42"/>
      <c r="C39" s="42"/>
      <c r="D39" s="42"/>
      <c r="E39" s="56"/>
      <c r="F39" s="42"/>
      <c r="G39" s="42"/>
      <c r="H39" s="42"/>
      <c r="I39" s="42"/>
      <c r="J39" s="44"/>
      <c r="K39" s="42"/>
      <c r="L39" s="42"/>
      <c r="M39" s="44"/>
      <c r="N39" s="42"/>
      <c r="O39" s="42"/>
      <c r="P39" s="42"/>
      <c r="Q39" s="76"/>
      <c r="R39" s="77"/>
      <c r="S39" s="77"/>
      <c r="T39" s="77"/>
      <c r="U39" s="77"/>
      <c r="V39" s="42"/>
      <c r="W39" s="53"/>
      <c r="X39" s="53"/>
      <c r="Y39" s="53"/>
      <c r="Z39" s="83"/>
      <c r="AA39" s="73"/>
      <c r="AB39" s="55"/>
      <c r="AC39" s="46"/>
      <c r="AD39" s="46"/>
      <c r="AE39" s="46"/>
      <c r="AI39" s="42"/>
      <c r="AJ39" s="42"/>
      <c r="AK39" s="42"/>
      <c r="AL39" s="46"/>
      <c r="AM39" s="42"/>
      <c r="AN39" s="42"/>
      <c r="AO39" s="42"/>
      <c r="AP39" s="42"/>
      <c r="AQ39" s="42"/>
      <c r="AR39" s="46"/>
      <c r="AS39" s="42"/>
      <c r="AT39" s="42"/>
      <c r="AU39" s="42"/>
      <c r="AV39" s="42"/>
      <c r="AW39" s="42"/>
      <c r="AX39" s="42"/>
      <c r="AY39" s="42"/>
      <c r="AZ39" s="76"/>
      <c r="BA39" s="42"/>
      <c r="BB39" s="76"/>
      <c r="BC39" s="42"/>
      <c r="BD39" s="76"/>
      <c r="BE39" s="42"/>
      <c r="BF39" s="43"/>
      <c r="BG39" s="43"/>
      <c r="BH39" s="42"/>
      <c r="BI39" s="42"/>
      <c r="BJ39" s="42"/>
      <c r="BK39" s="42"/>
      <c r="BL39" s="42"/>
      <c r="BM39" s="42"/>
      <c r="BN39" s="42"/>
      <c r="BO39" s="42"/>
      <c r="BP39" s="42"/>
      <c r="BQ39" s="42"/>
      <c r="BR39" s="66"/>
      <c r="BS39" s="66"/>
      <c r="BT39" s="66"/>
      <c r="BU39" s="66"/>
      <c r="BV39" s="66"/>
      <c r="BW39" s="66"/>
      <c r="BX39" s="66"/>
      <c r="BY39" s="66"/>
      <c r="BZ39" s="42"/>
      <c r="CA39" s="42"/>
      <c r="CB39" s="42"/>
      <c r="CC39" s="42"/>
      <c r="CD39" s="42"/>
      <c r="CE39" s="42"/>
      <c r="CF39" s="42"/>
      <c r="CG39" s="42"/>
      <c r="CH39" s="42"/>
      <c r="CI39" s="42"/>
      <c r="CJ39" s="42"/>
      <c r="CK39" s="42"/>
      <c r="CL39" s="42"/>
      <c r="CM39" s="42"/>
      <c r="CN39" s="42"/>
      <c r="CO39" s="42"/>
      <c r="CP39" s="42"/>
      <c r="CQ39" s="42"/>
      <c r="CR39" s="42"/>
      <c r="CS39" s="42"/>
      <c r="CT39" s="42"/>
      <c r="CU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row>
    <row r="40" spans="1:153" s="39" customFormat="1" ht="12.75">
      <c r="A40" s="37" t="s">
        <v>540</v>
      </c>
      <c r="B40" s="37"/>
      <c r="C40" s="37" t="s">
        <v>725</v>
      </c>
      <c r="D40" s="37" t="s">
        <v>807</v>
      </c>
      <c r="E40" s="37" t="s">
        <v>741</v>
      </c>
      <c r="F40" s="37"/>
      <c r="G40" s="53"/>
      <c r="H40" s="53">
        <v>63.399170933918597</v>
      </c>
      <c r="I40" s="53"/>
      <c r="J40" s="44">
        <f t="shared" ref="J40:J51" si="70">IF(I40="",H40,I40)</f>
        <v>63.399170933918597</v>
      </c>
      <c r="K40" s="53">
        <v>9.4489148988051692</v>
      </c>
      <c r="L40" s="53">
        <v>8.3272372592050701</v>
      </c>
      <c r="M40" s="44">
        <f t="shared" ref="M40:M51" si="71">IF(L40="",K40,L40)</f>
        <v>8.3272372592050701</v>
      </c>
      <c r="N40" s="53">
        <v>6.4862228724701296</v>
      </c>
      <c r="O40" s="53">
        <v>3.0663252865154802</v>
      </c>
      <c r="P40" s="53">
        <f t="shared" ref="P40:P50" si="72">N40-O40</f>
        <v>3.4198975859546494</v>
      </c>
      <c r="Q40" s="55">
        <f t="shared" ref="Q40:Q45" si="73">BE40</f>
        <v>722.8558257378395</v>
      </c>
      <c r="R40" s="37"/>
      <c r="S40" s="37"/>
      <c r="T40" s="37"/>
      <c r="U40" s="37"/>
      <c r="V40" s="37"/>
      <c r="W40" s="53">
        <f t="shared" si="64"/>
        <v>9.7744360902255689</v>
      </c>
      <c r="X40" s="53">
        <f t="shared" si="65"/>
        <v>7.6134699853587184</v>
      </c>
      <c r="Y40" s="53">
        <f t="shared" si="66"/>
        <v>2.7157057654075576</v>
      </c>
      <c r="Z40" s="53">
        <f>H40/O40</f>
        <v>20.675944333996064</v>
      </c>
      <c r="AA40" s="73">
        <f t="shared" si="7"/>
        <v>5.3942307692307727E-2</v>
      </c>
      <c r="AB40" s="55">
        <f t="shared" si="12"/>
        <v>79.057570744466787</v>
      </c>
      <c r="AC40" s="74">
        <f t="shared" ref="AC40:AC51" si="74">J40*M40*N40</f>
        <v>3424.3361037641484</v>
      </c>
      <c r="AD40" s="74">
        <f t="shared" ref="AD40:AD51" si="75">J40*(M40+N40)</f>
        <v>939.16109101086431</v>
      </c>
      <c r="AE40" s="74">
        <f t="shared" ref="AE40:AE51" si="76">J40*(M40+2*N40)</f>
        <v>1350.3822436180906</v>
      </c>
      <c r="AF40" s="42"/>
      <c r="AG40" s="42"/>
      <c r="AH40" s="42">
        <v>1274</v>
      </c>
      <c r="AI40" s="84"/>
      <c r="AJ40" s="84"/>
      <c r="AK40" s="84"/>
      <c r="AL40" s="84"/>
      <c r="AM40" s="84"/>
      <c r="AN40" s="84"/>
      <c r="AO40" s="95"/>
      <c r="AP40" s="84"/>
      <c r="AQ40" s="74"/>
      <c r="AR40" s="74"/>
      <c r="AS40" s="74">
        <v>301.42603798226099</v>
      </c>
      <c r="AT40" s="74">
        <v>163.74863003246799</v>
      </c>
      <c r="AU40" s="74">
        <v>39.6516341826133</v>
      </c>
      <c r="AV40" s="74">
        <v>55.888475205766397</v>
      </c>
      <c r="AW40" s="74">
        <v>66.707000510055806</v>
      </c>
      <c r="AX40" s="74">
        <v>56.553561396103703</v>
      </c>
      <c r="AY40" s="74">
        <v>38.880486428571402</v>
      </c>
      <c r="AZ40" s="74">
        <f>SUM(AS40:AY40)</f>
        <v>722.8558257378395</v>
      </c>
      <c r="BA40" s="95"/>
      <c r="BB40" s="74">
        <f>SUM(AZ40:BA40)</f>
        <v>722.8558257378395</v>
      </c>
      <c r="BC40" s="95"/>
      <c r="BD40" s="84"/>
      <c r="BE40" s="74">
        <f t="shared" ref="BE40:BE45" si="77">SUM(BB40:BD40)</f>
        <v>722.8558257378395</v>
      </c>
      <c r="BF40" s="37"/>
      <c r="BG40" s="37"/>
      <c r="BH40" s="74"/>
      <c r="BI40" s="74"/>
      <c r="BJ40" s="74"/>
      <c r="BK40" s="74"/>
      <c r="BL40" s="74"/>
      <c r="BM40" s="74"/>
      <c r="BN40" s="74"/>
      <c r="BO40" s="74"/>
      <c r="BP40" s="74"/>
      <c r="BQ40" s="74"/>
      <c r="BR40" s="55">
        <v>35</v>
      </c>
      <c r="BS40" s="55">
        <v>20.5</v>
      </c>
      <c r="BT40" s="55">
        <v>6.5</v>
      </c>
      <c r="BU40" s="55">
        <v>4</v>
      </c>
      <c r="BV40" s="55">
        <v>21.25</v>
      </c>
      <c r="BW40" s="55">
        <v>7.5</v>
      </c>
      <c r="BX40" s="55">
        <v>5.25</v>
      </c>
      <c r="BY40" s="37">
        <v>0</v>
      </c>
      <c r="BZ40" s="37"/>
      <c r="CA40" s="37"/>
      <c r="CB40" s="37"/>
      <c r="CC40" s="37"/>
      <c r="CD40" s="37"/>
      <c r="CE40" s="37"/>
      <c r="CF40" s="37"/>
      <c r="CG40" s="37"/>
      <c r="CH40" s="37"/>
      <c r="CI40" s="37"/>
      <c r="CJ40" s="37"/>
      <c r="CK40" s="37"/>
      <c r="CL40" s="37"/>
      <c r="CM40" s="37"/>
      <c r="CN40" s="37"/>
      <c r="CO40" s="37"/>
      <c r="CP40" s="37"/>
      <c r="CQ40" s="37"/>
      <c r="CR40" s="37"/>
      <c r="CS40" s="37"/>
      <c r="CT40" s="37"/>
      <c r="CU40" s="37"/>
      <c r="CW40" s="37"/>
      <c r="CX40" s="74"/>
      <c r="CY40" s="74"/>
      <c r="CZ40" s="74">
        <v>1274.3045827059</v>
      </c>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row>
    <row r="41" spans="1:153" s="39" customFormat="1" ht="12.75">
      <c r="A41" s="37" t="s">
        <v>543</v>
      </c>
      <c r="B41" s="37"/>
      <c r="C41" s="37" t="s">
        <v>725</v>
      </c>
      <c r="D41" s="37" t="s">
        <v>808</v>
      </c>
      <c r="E41" s="37" t="s">
        <v>741</v>
      </c>
      <c r="F41" s="37"/>
      <c r="G41" s="53"/>
      <c r="H41" s="53">
        <v>63.399170933918597</v>
      </c>
      <c r="I41" s="53"/>
      <c r="J41" s="44">
        <f t="shared" si="70"/>
        <v>63.399170933918597</v>
      </c>
      <c r="K41" s="53">
        <v>9.7537186052182392</v>
      </c>
      <c r="L41" s="53">
        <v>8.6869056327724898</v>
      </c>
      <c r="M41" s="44">
        <f t="shared" si="71"/>
        <v>8.6869056327724898</v>
      </c>
      <c r="N41" s="53">
        <v>6.4862228724701296</v>
      </c>
      <c r="O41" s="53">
        <v>2.8651548402828602</v>
      </c>
      <c r="P41" s="53">
        <f t="shared" si="72"/>
        <v>3.6210680321872695</v>
      </c>
      <c r="Q41" s="55">
        <f t="shared" si="73"/>
        <v>669.79950796777609</v>
      </c>
      <c r="R41" s="37"/>
      <c r="S41" s="37"/>
      <c r="T41" s="37"/>
      <c r="U41" s="37"/>
      <c r="V41" s="37"/>
      <c r="W41" s="53">
        <f t="shared" si="64"/>
        <v>9.7744360902255689</v>
      </c>
      <c r="X41" s="53">
        <f t="shared" si="65"/>
        <v>7.2982456140350962</v>
      </c>
      <c r="Y41" s="53">
        <f t="shared" si="66"/>
        <v>3.0319148936170173</v>
      </c>
      <c r="Z41" s="53">
        <f>H41/O41</f>
        <v>22.12765957446808</v>
      </c>
      <c r="AA41" s="73">
        <f t="shared" si="7"/>
        <v>5.7115384615384547E-2</v>
      </c>
      <c r="AB41" s="55">
        <f t="shared" si="12"/>
        <v>73.25488721311909</v>
      </c>
      <c r="AC41" s="74">
        <f t="shared" si="74"/>
        <v>3572.2393468989094</v>
      </c>
      <c r="AD41" s="74">
        <f t="shared" si="75"/>
        <v>961.96376770618963</v>
      </c>
      <c r="AE41" s="74">
        <f t="shared" si="76"/>
        <v>1373.1849203134159</v>
      </c>
      <c r="AF41" s="42"/>
      <c r="AG41" s="42"/>
      <c r="AH41" s="42">
        <v>1376</v>
      </c>
      <c r="AI41" s="84"/>
      <c r="AJ41" s="84"/>
      <c r="AK41" s="84"/>
      <c r="AL41" s="84"/>
      <c r="AM41" s="84"/>
      <c r="AN41" s="84"/>
      <c r="AO41" s="95"/>
      <c r="AP41" s="84"/>
      <c r="AQ41" s="74"/>
      <c r="AR41" s="74"/>
      <c r="AS41" s="74">
        <v>292.149507967776</v>
      </c>
      <c r="AT41" s="74">
        <v>151.74</v>
      </c>
      <c r="AU41" s="74">
        <v>35.08</v>
      </c>
      <c r="AV41" s="74">
        <v>30.71</v>
      </c>
      <c r="AW41" s="74">
        <v>56.85</v>
      </c>
      <c r="AX41" s="74">
        <v>53.94</v>
      </c>
      <c r="AY41" s="74">
        <v>49.33</v>
      </c>
      <c r="AZ41" s="74">
        <f>SUM(AS41:AY41)</f>
        <v>669.79950796777609</v>
      </c>
      <c r="BA41" s="95"/>
      <c r="BB41" s="74">
        <f>SUM(AZ41:BA41)</f>
        <v>669.79950796777609</v>
      </c>
      <c r="BC41" s="95"/>
      <c r="BD41" s="84"/>
      <c r="BE41" s="74">
        <f t="shared" si="77"/>
        <v>669.79950796777609</v>
      </c>
      <c r="BF41" s="37"/>
      <c r="BG41" s="37"/>
      <c r="BH41" s="74"/>
      <c r="BI41" s="74"/>
      <c r="BJ41" s="74"/>
      <c r="BK41" s="74"/>
      <c r="BL41" s="74"/>
      <c r="BM41" s="74"/>
      <c r="BN41" s="74"/>
      <c r="BO41" s="74"/>
      <c r="BP41" s="74"/>
      <c r="BQ41" s="74"/>
      <c r="BR41" s="55">
        <v>35</v>
      </c>
      <c r="BS41" s="55">
        <v>20.5</v>
      </c>
      <c r="BT41" s="55">
        <v>6.5</v>
      </c>
      <c r="BU41" s="55">
        <v>4</v>
      </c>
      <c r="BV41" s="55">
        <v>21.25</v>
      </c>
      <c r="BW41" s="55">
        <v>7.5</v>
      </c>
      <c r="BX41" s="55">
        <v>5.25</v>
      </c>
      <c r="BY41" s="37">
        <v>0</v>
      </c>
      <c r="BZ41" s="37"/>
      <c r="CA41" s="37"/>
      <c r="CB41" s="37"/>
      <c r="CC41" s="37"/>
      <c r="CD41" s="37"/>
      <c r="CE41" s="37"/>
      <c r="CF41" s="37"/>
      <c r="CG41" s="37"/>
      <c r="CH41" s="37"/>
      <c r="CI41" s="37"/>
      <c r="CJ41" s="37"/>
      <c r="CK41" s="37"/>
      <c r="CL41" s="37"/>
      <c r="CM41" s="37"/>
      <c r="CN41" s="37"/>
      <c r="CO41" s="37"/>
      <c r="CP41" s="37"/>
      <c r="CQ41" s="37"/>
      <c r="CR41" s="37"/>
      <c r="CS41" s="37"/>
      <c r="CT41" s="37"/>
      <c r="CU41" s="37"/>
      <c r="CW41" s="37"/>
      <c r="CX41" s="74"/>
      <c r="CY41" s="74"/>
      <c r="CZ41" s="74">
        <v>1376.1639956835299</v>
      </c>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row>
    <row r="42" spans="1:153" s="37" customFormat="1">
      <c r="A42" s="37" t="s">
        <v>809</v>
      </c>
      <c r="C42" s="37" t="s">
        <v>725</v>
      </c>
      <c r="D42" s="37" t="s">
        <v>810</v>
      </c>
      <c r="E42" s="37" t="s">
        <v>811</v>
      </c>
      <c r="F42" s="37">
        <v>1973</v>
      </c>
      <c r="G42" s="53">
        <v>71.324067300658399</v>
      </c>
      <c r="H42" s="53">
        <v>67.056815410875402</v>
      </c>
      <c r="I42" s="53"/>
      <c r="J42" s="44">
        <f t="shared" si="70"/>
        <v>67.056815410875402</v>
      </c>
      <c r="K42" s="53">
        <v>8.3821019263594199</v>
      </c>
      <c r="L42" s="53">
        <v>8.3821019263594199</v>
      </c>
      <c r="M42" s="44">
        <f t="shared" si="71"/>
        <v>8.3821019263594199</v>
      </c>
      <c r="N42" s="53">
        <v>5.9436722750548601</v>
      </c>
      <c r="O42" s="53">
        <v>2.6416321222466101</v>
      </c>
      <c r="P42" s="53">
        <f t="shared" si="72"/>
        <v>3.3020401528082499</v>
      </c>
      <c r="Q42" s="55">
        <f t="shared" si="73"/>
        <v>716</v>
      </c>
      <c r="R42" s="37">
        <v>0.47</v>
      </c>
      <c r="S42" s="37">
        <v>0.62</v>
      </c>
      <c r="T42" s="37">
        <v>0.76</v>
      </c>
      <c r="W42" s="53">
        <f t="shared" si="64"/>
        <v>11.282051282051292</v>
      </c>
      <c r="X42" s="53">
        <f t="shared" si="65"/>
        <v>8.0000000000000053</v>
      </c>
      <c r="Y42" s="53">
        <f t="shared" si="66"/>
        <v>3.1730769230769171</v>
      </c>
      <c r="Z42" s="53">
        <f>H42/O42</f>
        <v>25.384615384615351</v>
      </c>
      <c r="AA42" s="73">
        <f t="shared" si="7"/>
        <v>4.9242424242424115E-2</v>
      </c>
      <c r="AB42" s="55">
        <f t="shared" si="12"/>
        <v>66.18000026832668</v>
      </c>
      <c r="AC42" s="74">
        <f t="shared" si="74"/>
        <v>3340.8018476606353</v>
      </c>
      <c r="AD42" s="74">
        <f t="shared" si="75"/>
        <v>960.64079624211831</v>
      </c>
      <c r="AE42" s="74">
        <f t="shared" si="76"/>
        <v>1359.2045308532101</v>
      </c>
      <c r="AI42" s="84"/>
      <c r="AJ42" s="84"/>
      <c r="AK42" s="84"/>
      <c r="AL42" s="84"/>
      <c r="AM42" s="94">
        <v>27.4</v>
      </c>
      <c r="AN42" s="74">
        <v>18</v>
      </c>
      <c r="AO42" s="95"/>
      <c r="AP42" s="74">
        <f>3*200</f>
        <v>600</v>
      </c>
      <c r="AQ42" s="74">
        <v>69</v>
      </c>
      <c r="AR42" s="74">
        <f>AQ42*AC42</f>
        <v>230515.32748858383</v>
      </c>
      <c r="AS42" s="84"/>
      <c r="AT42" s="84"/>
      <c r="AU42" s="84"/>
      <c r="AV42" s="84"/>
      <c r="AW42" s="84"/>
      <c r="AX42" s="84"/>
      <c r="AY42" s="84"/>
      <c r="AZ42" s="95"/>
      <c r="BA42" s="95"/>
      <c r="BB42" s="74">
        <v>511.8</v>
      </c>
      <c r="BC42" s="95"/>
      <c r="BD42" s="74">
        <v>204.2</v>
      </c>
      <c r="BE42" s="37">
        <f t="shared" si="77"/>
        <v>716</v>
      </c>
      <c r="BF42" s="40"/>
      <c r="BG42" s="40"/>
      <c r="BR42" s="55">
        <f t="shared" ref="BR42:BX42" si="78">AS42/$BB42*100</f>
        <v>0</v>
      </c>
      <c r="BS42" s="55">
        <f t="shared" si="78"/>
        <v>0</v>
      </c>
      <c r="BT42" s="55">
        <f t="shared" si="78"/>
        <v>0</v>
      </c>
      <c r="BU42" s="55">
        <f t="shared" si="78"/>
        <v>0</v>
      </c>
      <c r="BV42" s="55">
        <f t="shared" si="78"/>
        <v>0</v>
      </c>
      <c r="BW42" s="55">
        <f t="shared" si="78"/>
        <v>0</v>
      </c>
      <c r="BX42" s="55">
        <f t="shared" si="78"/>
        <v>0</v>
      </c>
      <c r="BY42" s="55">
        <f>BA42/$BB42*100</f>
        <v>0</v>
      </c>
      <c r="CA42" s="40"/>
      <c r="CB42" s="40"/>
      <c r="CC42" s="40"/>
      <c r="CD42" s="40"/>
      <c r="CE42" s="40"/>
      <c r="CF42" s="40"/>
      <c r="CG42" s="40"/>
      <c r="CH42" s="40"/>
      <c r="CI42" s="40"/>
      <c r="CJ42" s="40"/>
      <c r="CK42" s="40"/>
      <c r="CL42" s="40"/>
      <c r="CM42" s="40"/>
      <c r="CN42" s="40"/>
      <c r="CO42" s="40"/>
      <c r="CP42" s="40"/>
      <c r="CQ42" s="40"/>
      <c r="CR42" s="40"/>
      <c r="CS42" s="40"/>
      <c r="CT42" s="40"/>
      <c r="CU42" s="40"/>
      <c r="CW42" s="40"/>
      <c r="CX42" s="74"/>
      <c r="CY42" s="74"/>
      <c r="CZ42" s="74"/>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row>
    <row r="43" spans="1:153" s="37" customFormat="1">
      <c r="A43" s="37" t="s">
        <v>549</v>
      </c>
      <c r="C43" s="37" t="s">
        <v>718</v>
      </c>
      <c r="D43" s="37" t="s">
        <v>549</v>
      </c>
      <c r="E43" s="37" t="s">
        <v>720</v>
      </c>
      <c r="G43" s="53"/>
      <c r="H43" s="53">
        <v>70.104852475006098</v>
      </c>
      <c r="I43" s="53"/>
      <c r="J43" s="44">
        <f t="shared" si="70"/>
        <v>70.104852475006098</v>
      </c>
      <c r="K43" s="53">
        <v>9.4611070470616898</v>
      </c>
      <c r="L43" s="53">
        <v>9.4611070470616898</v>
      </c>
      <c r="M43" s="44">
        <f t="shared" si="71"/>
        <v>9.4611070470616898</v>
      </c>
      <c r="N43" s="53">
        <v>6.0869300170690099</v>
      </c>
      <c r="O43" s="59"/>
      <c r="P43" s="53">
        <f t="shared" si="72"/>
        <v>6.0869300170690099</v>
      </c>
      <c r="Q43" s="55">
        <f t="shared" si="73"/>
        <v>688.786138074934</v>
      </c>
      <c r="W43" s="53">
        <f t="shared" si="64"/>
        <v>11.517275913870803</v>
      </c>
      <c r="X43" s="53">
        <f t="shared" si="65"/>
        <v>7.4097938144329918</v>
      </c>
      <c r="Y43" s="59"/>
      <c r="Z43" s="59"/>
      <c r="AA43" s="73">
        <f t="shared" si="7"/>
        <v>8.6826086956521775E-2</v>
      </c>
      <c r="AB43" s="55">
        <f t="shared" si="12"/>
        <v>55.716352193873327</v>
      </c>
      <c r="AC43" s="74">
        <f t="shared" si="74"/>
        <v>4037.2751128616424</v>
      </c>
      <c r="AD43" s="74">
        <f t="shared" si="75"/>
        <v>1089.9928446568097</v>
      </c>
      <c r="AE43" s="74">
        <f t="shared" si="76"/>
        <v>1516.716175529119</v>
      </c>
      <c r="AF43" s="37">
        <v>3326</v>
      </c>
      <c r="AG43" s="37">
        <v>2526</v>
      </c>
      <c r="AH43" s="37">
        <v>800</v>
      </c>
      <c r="AI43" s="84"/>
      <c r="AJ43" s="84"/>
      <c r="AK43" s="84"/>
      <c r="AL43" s="84"/>
      <c r="AM43" s="84"/>
      <c r="AN43" s="84"/>
      <c r="AO43" s="95"/>
      <c r="AP43" s="84"/>
      <c r="AQ43" s="84"/>
      <c r="AR43" s="84"/>
      <c r="AS43" s="74">
        <v>301.58613807493401</v>
      </c>
      <c r="AT43" s="74">
        <v>116.94</v>
      </c>
      <c r="AU43" s="74">
        <v>45.32</v>
      </c>
      <c r="AV43" s="74">
        <v>43.55</v>
      </c>
      <c r="AW43" s="74">
        <v>91.3</v>
      </c>
      <c r="AX43" s="74">
        <v>66.48</v>
      </c>
      <c r="AY43" s="74">
        <v>23.61</v>
      </c>
      <c r="AZ43" s="74">
        <f t="shared" ref="AZ43:AZ51" si="79">SUM(AS43:AY43)</f>
        <v>688.786138074934</v>
      </c>
      <c r="BA43" s="95"/>
      <c r="BB43" s="74">
        <f t="shared" ref="BB43:BB51" si="80">SUM(AZ43:BA43)</f>
        <v>688.786138074934</v>
      </c>
      <c r="BC43" s="95"/>
      <c r="BD43" s="84"/>
      <c r="BE43" s="74">
        <f t="shared" si="77"/>
        <v>688.786138074934</v>
      </c>
      <c r="BF43" s="40"/>
      <c r="BG43" s="40"/>
      <c r="BH43" s="74"/>
      <c r="BI43" s="74"/>
      <c r="BJ43" s="74"/>
      <c r="BK43" s="74"/>
      <c r="BL43" s="74"/>
      <c r="BM43" s="74"/>
      <c r="BN43" s="74"/>
      <c r="BO43" s="74"/>
      <c r="BP43" s="74"/>
      <c r="BQ43" s="74"/>
      <c r="BR43" s="55">
        <v>35</v>
      </c>
      <c r="BS43" s="55">
        <v>20.5</v>
      </c>
      <c r="BT43" s="55">
        <v>6.5</v>
      </c>
      <c r="BU43" s="55">
        <v>4</v>
      </c>
      <c r="BV43" s="55">
        <v>21.25</v>
      </c>
      <c r="BW43" s="55">
        <v>7.5</v>
      </c>
      <c r="BX43" s="55">
        <v>5.25</v>
      </c>
      <c r="BY43" s="55">
        <f>BA43/$BB43*100</f>
        <v>0</v>
      </c>
      <c r="CA43" s="40"/>
      <c r="CB43" s="40"/>
      <c r="CC43" s="40"/>
      <c r="CD43" s="40"/>
      <c r="CE43" s="40"/>
      <c r="CF43" s="40"/>
      <c r="CG43" s="40"/>
      <c r="CH43" s="40"/>
      <c r="CI43" s="40"/>
      <c r="CJ43" s="40"/>
      <c r="CK43" s="40"/>
      <c r="CL43" s="40"/>
      <c r="CM43" s="40"/>
      <c r="CN43" s="40"/>
      <c r="CO43" s="40"/>
      <c r="CP43" s="40"/>
      <c r="CQ43" s="40"/>
      <c r="CR43" s="40"/>
      <c r="CS43" s="40"/>
      <c r="CT43" s="40"/>
      <c r="CU43" s="40"/>
      <c r="CW43" s="40"/>
      <c r="CX43" s="74">
        <f>SUM(CY43:CZ43)</f>
        <v>3325.7084178254781</v>
      </c>
      <c r="CY43" s="74">
        <v>2525.5867292842499</v>
      </c>
      <c r="CZ43" s="74">
        <v>800.12168854122797</v>
      </c>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row>
    <row r="44" spans="1:153" s="37" customFormat="1" ht="12.75">
      <c r="A44" s="37" t="s">
        <v>546</v>
      </c>
      <c r="C44" s="37" t="s">
        <v>725</v>
      </c>
      <c r="D44" s="37" t="s">
        <v>812</v>
      </c>
      <c r="E44" s="37" t="s">
        <v>741</v>
      </c>
      <c r="G44" s="53"/>
      <c r="H44" s="53">
        <v>79.248963667398201</v>
      </c>
      <c r="I44" s="53"/>
      <c r="J44" s="44">
        <f t="shared" si="70"/>
        <v>79.248963667398201</v>
      </c>
      <c r="K44" s="53">
        <v>10.210924164837801</v>
      </c>
      <c r="L44" s="53">
        <v>10.820531577663999</v>
      </c>
      <c r="M44" s="44">
        <f t="shared" si="71"/>
        <v>10.820531577663999</v>
      </c>
      <c r="N44" s="53">
        <v>6.0198732016581298</v>
      </c>
      <c r="O44" s="53">
        <v>3.3528407705437702</v>
      </c>
      <c r="P44" s="53">
        <f t="shared" si="72"/>
        <v>2.6670324311143596</v>
      </c>
      <c r="Q44" s="55">
        <f t="shared" si="73"/>
        <v>1119.014790929217</v>
      </c>
      <c r="W44" s="53">
        <f t="shared" si="64"/>
        <v>13.164556962025323</v>
      </c>
      <c r="X44" s="53">
        <f t="shared" si="65"/>
        <v>7.3239436619718212</v>
      </c>
      <c r="Y44" s="53">
        <f t="shared" si="66"/>
        <v>3.2272727272727315</v>
      </c>
      <c r="Z44" s="53">
        <f>H44/O44</f>
        <v>23.636363636363637</v>
      </c>
      <c r="AA44" s="73">
        <f t="shared" si="7"/>
        <v>3.3653846153846118E-2</v>
      </c>
      <c r="AB44" s="55">
        <f t="shared" si="12"/>
        <v>62.661035545695214</v>
      </c>
      <c r="AC44" s="74">
        <f t="shared" si="74"/>
        <v>5162.1370698425744</v>
      </c>
      <c r="AD44" s="74">
        <f t="shared" si="75"/>
        <v>1334.5846265007783</v>
      </c>
      <c r="AE44" s="74">
        <f t="shared" si="76"/>
        <v>1811.6533391413275</v>
      </c>
      <c r="AH44" s="37">
        <v>1274</v>
      </c>
      <c r="AI44" s="84"/>
      <c r="AJ44" s="84"/>
      <c r="AK44" s="84"/>
      <c r="AL44" s="84"/>
      <c r="AM44" s="84"/>
      <c r="AN44" s="84"/>
      <c r="AO44" s="95"/>
      <c r="AP44" s="84"/>
      <c r="AQ44" s="84"/>
      <c r="AR44" s="84"/>
      <c r="AS44" s="74">
        <v>498.41255256511602</v>
      </c>
      <c r="AT44" s="74">
        <v>177.533482142857</v>
      </c>
      <c r="AU44" s="74">
        <v>69.928618204099806</v>
      </c>
      <c r="AV44" s="74">
        <v>56.792746902687803</v>
      </c>
      <c r="AW44" s="74">
        <v>169.75272169123301</v>
      </c>
      <c r="AX44" s="74">
        <v>104.16368299465201</v>
      </c>
      <c r="AY44" s="74">
        <v>42.430986428571401</v>
      </c>
      <c r="AZ44" s="74">
        <f t="shared" si="79"/>
        <v>1119.014790929217</v>
      </c>
      <c r="BA44" s="95"/>
      <c r="BB44" s="74">
        <f t="shared" si="80"/>
        <v>1119.014790929217</v>
      </c>
      <c r="BC44" s="95"/>
      <c r="BD44" s="84"/>
      <c r="BE44" s="74">
        <f t="shared" si="77"/>
        <v>1119.014790929217</v>
      </c>
      <c r="BH44" s="74"/>
      <c r="BI44" s="74"/>
      <c r="BJ44" s="74"/>
      <c r="BK44" s="74"/>
      <c r="BL44" s="74"/>
      <c r="BM44" s="74"/>
      <c r="BN44" s="74"/>
      <c r="BO44" s="74"/>
      <c r="BP44" s="74"/>
      <c r="BQ44" s="74"/>
      <c r="BR44" s="55">
        <v>35</v>
      </c>
      <c r="BS44" s="55">
        <v>20.5</v>
      </c>
      <c r="BT44" s="55">
        <v>6.5</v>
      </c>
      <c r="BU44" s="55">
        <v>4</v>
      </c>
      <c r="BV44" s="55">
        <v>21.25</v>
      </c>
      <c r="BW44" s="55">
        <v>7.5</v>
      </c>
      <c r="BX44" s="55">
        <v>5.25</v>
      </c>
      <c r="BY44" s="55">
        <f>BA44/$BB44*100</f>
        <v>0</v>
      </c>
      <c r="CX44" s="74"/>
      <c r="CY44" s="74"/>
      <c r="CZ44" s="74">
        <v>1274.3045827059</v>
      </c>
    </row>
    <row r="45" spans="1:153" s="37" customFormat="1" ht="12.75">
      <c r="A45" s="37" t="s">
        <v>547</v>
      </c>
      <c r="C45" s="37" t="s">
        <v>725</v>
      </c>
      <c r="D45" s="37" t="s">
        <v>813</v>
      </c>
      <c r="E45" s="37" t="s">
        <v>741</v>
      </c>
      <c r="G45" s="53"/>
      <c r="H45" s="53">
        <v>79.248963667398201</v>
      </c>
      <c r="I45" s="53"/>
      <c r="J45" s="44">
        <f t="shared" si="70"/>
        <v>79.248963667398201</v>
      </c>
      <c r="K45" s="53">
        <v>10.515727871250901</v>
      </c>
      <c r="L45" s="53">
        <v>11.704462326261901</v>
      </c>
      <c r="M45" s="44">
        <f t="shared" si="71"/>
        <v>11.704462326261901</v>
      </c>
      <c r="N45" s="53">
        <v>6.0198732016581298</v>
      </c>
      <c r="O45" s="53">
        <v>3.3528407705437702</v>
      </c>
      <c r="P45" s="53">
        <f t="shared" si="72"/>
        <v>2.6670324311143596</v>
      </c>
      <c r="Q45" s="55">
        <f t="shared" si="73"/>
        <v>1135.9939756087399</v>
      </c>
      <c r="W45" s="53">
        <f t="shared" si="64"/>
        <v>13.164556962025323</v>
      </c>
      <c r="X45" s="53">
        <f t="shared" si="65"/>
        <v>6.7708333333333259</v>
      </c>
      <c r="Y45" s="53">
        <f t="shared" si="66"/>
        <v>3.4909090909090943</v>
      </c>
      <c r="Z45" s="53">
        <f>H45/O45</f>
        <v>23.636363636363637</v>
      </c>
      <c r="AA45" s="73">
        <f t="shared" si="7"/>
        <v>3.3653846153846118E-2</v>
      </c>
      <c r="AB45" s="55">
        <f t="shared" si="12"/>
        <v>63.61181233914315</v>
      </c>
      <c r="AC45" s="74">
        <f t="shared" si="74"/>
        <v>5583.8327741395724</v>
      </c>
      <c r="AD45" s="74">
        <f t="shared" si="75"/>
        <v>1404.6352222809096</v>
      </c>
      <c r="AE45" s="74">
        <f t="shared" si="76"/>
        <v>1881.703934921459</v>
      </c>
      <c r="AH45" s="37">
        <v>1274</v>
      </c>
      <c r="AI45" s="84"/>
      <c r="AJ45" s="84"/>
      <c r="AK45" s="84"/>
      <c r="AL45" s="84"/>
      <c r="AM45" s="84"/>
      <c r="AN45" s="84"/>
      <c r="AO45" s="95"/>
      <c r="AP45" s="84"/>
      <c r="AQ45" s="84"/>
      <c r="AR45" s="84"/>
      <c r="AS45" s="74">
        <v>514.05397560873996</v>
      </c>
      <c r="AT45" s="74">
        <v>174.87</v>
      </c>
      <c r="AU45" s="74">
        <v>69.36</v>
      </c>
      <c r="AV45" s="74">
        <v>62.99</v>
      </c>
      <c r="AW45" s="74">
        <v>167.63</v>
      </c>
      <c r="AX45" s="74">
        <v>102.24</v>
      </c>
      <c r="AY45" s="74">
        <v>44.85</v>
      </c>
      <c r="AZ45" s="74">
        <f t="shared" si="79"/>
        <v>1135.9939756087399</v>
      </c>
      <c r="BA45" s="95"/>
      <c r="BB45" s="74">
        <f t="shared" si="80"/>
        <v>1135.9939756087399</v>
      </c>
      <c r="BC45" s="95"/>
      <c r="BD45" s="84"/>
      <c r="BE45" s="74">
        <f t="shared" si="77"/>
        <v>1135.9939756087399</v>
      </c>
      <c r="BH45" s="74"/>
      <c r="BI45" s="74"/>
      <c r="BJ45" s="74"/>
      <c r="BK45" s="74"/>
      <c r="BL45" s="74"/>
      <c r="BM45" s="74"/>
      <c r="BN45" s="74"/>
      <c r="BO45" s="74"/>
      <c r="BP45" s="74"/>
      <c r="BQ45" s="74"/>
      <c r="BR45" s="55">
        <v>35</v>
      </c>
      <c r="BS45" s="55">
        <v>20.5</v>
      </c>
      <c r="BT45" s="55">
        <v>6.5</v>
      </c>
      <c r="BU45" s="55">
        <v>4</v>
      </c>
      <c r="BV45" s="55">
        <v>21.25</v>
      </c>
      <c r="BW45" s="55">
        <v>7.5</v>
      </c>
      <c r="BX45" s="55">
        <v>5.25</v>
      </c>
      <c r="BY45" s="55">
        <f>BA45/$BB45*100</f>
        <v>0</v>
      </c>
      <c r="CX45" s="74"/>
      <c r="CY45" s="74"/>
      <c r="CZ45" s="74">
        <v>1274.3045827059</v>
      </c>
    </row>
    <row r="46" spans="1:153" s="37" customFormat="1" ht="12.75">
      <c r="A46" s="37" t="s">
        <v>544</v>
      </c>
      <c r="D46" s="37" t="s">
        <v>814</v>
      </c>
      <c r="E46" s="37" t="s">
        <v>741</v>
      </c>
      <c r="G46" s="53"/>
      <c r="H46" s="53">
        <v>84.122774932943202</v>
      </c>
      <c r="I46" s="53"/>
      <c r="J46" s="44">
        <f t="shared" si="70"/>
        <v>84.122774932943202</v>
      </c>
      <c r="K46" s="53">
        <v>11.1497195805901</v>
      </c>
      <c r="L46" s="53">
        <v>12.3506461838576</v>
      </c>
      <c r="M46" s="44">
        <f t="shared" si="71"/>
        <v>12.3506461838576</v>
      </c>
      <c r="N46" s="53">
        <v>6.25152401853207</v>
      </c>
      <c r="O46" s="53">
        <v>3.3528407705437702</v>
      </c>
      <c r="P46" s="53">
        <f t="shared" si="72"/>
        <v>2.8986832479882998</v>
      </c>
      <c r="Q46" s="80"/>
      <c r="W46" s="53">
        <f t="shared" si="64"/>
        <v>13.456362749878101</v>
      </c>
      <c r="X46" s="53">
        <f t="shared" si="65"/>
        <v>6.8112043435340563</v>
      </c>
      <c r="Y46" s="53">
        <f t="shared" si="66"/>
        <v>3.6836363636363645</v>
      </c>
      <c r="Z46" s="53">
        <f>H46/O46</f>
        <v>25.090000000000003</v>
      </c>
      <c r="AA46" s="73">
        <f t="shared" si="7"/>
        <v>3.445777020906559E-2</v>
      </c>
      <c r="AB46" s="84"/>
      <c r="AC46" s="74">
        <f t="shared" si="74"/>
        <v>6495.1498429998455</v>
      </c>
      <c r="AD46" s="74">
        <f t="shared" si="75"/>
        <v>1564.8661771999289</v>
      </c>
      <c r="AE46" s="74">
        <f t="shared" si="76"/>
        <v>2090.7617251987904</v>
      </c>
      <c r="AI46" s="84"/>
      <c r="AJ46" s="84"/>
      <c r="AK46" s="84"/>
      <c r="AL46" s="84"/>
      <c r="AM46" s="84"/>
      <c r="AN46" s="84"/>
      <c r="AO46" s="95"/>
      <c r="AP46" s="84"/>
      <c r="AQ46" s="84"/>
      <c r="AR46" s="84"/>
      <c r="AS46" s="74">
        <v>590.67477093350305</v>
      </c>
      <c r="AT46" s="74">
        <v>228.09</v>
      </c>
      <c r="AU46" s="74">
        <v>65.61</v>
      </c>
      <c r="AV46" s="74">
        <v>61.3</v>
      </c>
      <c r="AW46" s="74">
        <v>209.79</v>
      </c>
      <c r="AX46" s="74">
        <v>135.18</v>
      </c>
      <c r="AY46" s="74">
        <v>38.43</v>
      </c>
      <c r="AZ46" s="74">
        <f t="shared" si="79"/>
        <v>1329.0747709335033</v>
      </c>
      <c r="BA46" s="95"/>
      <c r="BB46" s="74">
        <f t="shared" si="80"/>
        <v>1329.0747709335033</v>
      </c>
      <c r="BC46" s="74"/>
      <c r="BD46" s="84"/>
      <c r="BE46" s="84"/>
      <c r="BF46" s="41"/>
      <c r="BG46" s="41"/>
      <c r="BH46" s="84"/>
      <c r="BI46" s="84"/>
      <c r="BJ46" s="84"/>
      <c r="BK46" s="84"/>
      <c r="BL46" s="84"/>
      <c r="BM46" s="84"/>
      <c r="BN46" s="84"/>
      <c r="BO46" s="84"/>
      <c r="BP46" s="84"/>
      <c r="BQ46" s="84"/>
      <c r="BR46" s="80"/>
      <c r="BS46" s="80"/>
      <c r="BT46" s="80"/>
      <c r="BU46" s="80"/>
      <c r="BV46" s="80"/>
      <c r="BW46" s="80"/>
      <c r="BX46" s="80"/>
      <c r="BY46" s="80"/>
      <c r="BZ46" s="53"/>
      <c r="CA46" s="41"/>
      <c r="CB46" s="41"/>
      <c r="CC46" s="41"/>
      <c r="CD46" s="41"/>
      <c r="CE46" s="41"/>
      <c r="CF46" s="41"/>
      <c r="CG46" s="41"/>
      <c r="CH46" s="41"/>
      <c r="CI46" s="100"/>
      <c r="CJ46" s="41"/>
      <c r="CK46" s="41"/>
      <c r="CL46" s="41"/>
      <c r="CM46" s="41"/>
      <c r="CN46" s="41"/>
      <c r="CO46" s="41"/>
      <c r="CP46" s="41"/>
      <c r="CQ46" s="41"/>
      <c r="CR46" s="41"/>
      <c r="CS46" s="41"/>
      <c r="CT46" s="41"/>
      <c r="CU46" s="41"/>
      <c r="CW46" s="41"/>
      <c r="CX46" s="74"/>
      <c r="CY46" s="74"/>
      <c r="CZ46" s="74"/>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row>
    <row r="47" spans="1:153" s="37" customFormat="1" ht="12.75">
      <c r="A47" s="37" t="s">
        <v>541</v>
      </c>
      <c r="D47" s="37" t="s">
        <v>815</v>
      </c>
      <c r="E47" s="37" t="s">
        <v>732</v>
      </c>
      <c r="G47" s="53"/>
      <c r="H47" s="53">
        <v>85.619361131431305</v>
      </c>
      <c r="I47" s="53"/>
      <c r="J47" s="44">
        <f t="shared" si="70"/>
        <v>85.619361131431305</v>
      </c>
      <c r="K47" s="53">
        <v>10.3938063886857</v>
      </c>
      <c r="L47" s="53">
        <v>11.887344550109701</v>
      </c>
      <c r="M47" s="44">
        <f t="shared" si="71"/>
        <v>11.887344550109701</v>
      </c>
      <c r="N47" s="53">
        <v>6.8916118019995096</v>
      </c>
      <c r="O47" s="53">
        <v>3.1699585466959301</v>
      </c>
      <c r="P47" s="53">
        <f t="shared" si="72"/>
        <v>3.7216532553035795</v>
      </c>
      <c r="Q47" s="80"/>
      <c r="W47" s="53">
        <f t="shared" si="64"/>
        <v>12.423706324635114</v>
      </c>
      <c r="X47" s="53">
        <f t="shared" si="65"/>
        <v>7.2025641025641152</v>
      </c>
      <c r="Y47" s="53">
        <f t="shared" si="66"/>
        <v>3.749999999999988</v>
      </c>
      <c r="Z47" s="53">
        <f>H47/O47</f>
        <v>27.009615384615348</v>
      </c>
      <c r="AA47" s="73">
        <f t="shared" si="7"/>
        <v>4.3467426130295445E-2</v>
      </c>
      <c r="AB47" s="84"/>
      <c r="AC47" s="74">
        <f t="shared" si="74"/>
        <v>7014.1918393282485</v>
      </c>
      <c r="AD47" s="74">
        <f t="shared" si="75"/>
        <v>1607.8422455826244</v>
      </c>
      <c r="AE47" s="74">
        <f t="shared" si="76"/>
        <v>2197.8976452356546</v>
      </c>
      <c r="AI47" s="84"/>
      <c r="AJ47" s="84"/>
      <c r="AK47" s="84"/>
      <c r="AL47" s="84"/>
      <c r="AM47" s="84"/>
      <c r="AN47" s="84"/>
      <c r="AO47" s="95"/>
      <c r="AP47" s="84"/>
      <c r="AQ47" s="84"/>
      <c r="AR47" s="84"/>
      <c r="AS47" s="74">
        <v>405.40687653088997</v>
      </c>
      <c r="AT47" s="74">
        <v>180</v>
      </c>
      <c r="AU47" s="74">
        <v>73</v>
      </c>
      <c r="AV47" s="74">
        <v>107.86</v>
      </c>
      <c r="AW47" s="74">
        <v>132</v>
      </c>
      <c r="AX47" s="74">
        <v>60</v>
      </c>
      <c r="AY47" s="74">
        <v>25</v>
      </c>
      <c r="AZ47" s="74">
        <f t="shared" si="79"/>
        <v>983.26687653089004</v>
      </c>
      <c r="BA47" s="95"/>
      <c r="BB47" s="74">
        <f t="shared" si="80"/>
        <v>983.26687653089004</v>
      </c>
      <c r="BC47" s="74"/>
      <c r="BD47" s="84"/>
      <c r="BE47" s="84"/>
      <c r="BF47" s="41"/>
      <c r="BG47" s="41"/>
      <c r="BH47" s="84"/>
      <c r="BI47" s="84"/>
      <c r="BJ47" s="84"/>
      <c r="BK47" s="84"/>
      <c r="BL47" s="84"/>
      <c r="BM47" s="84"/>
      <c r="BN47" s="84"/>
      <c r="BO47" s="84"/>
      <c r="BP47" s="84"/>
      <c r="BQ47" s="84"/>
      <c r="BR47" s="80"/>
      <c r="BS47" s="80"/>
      <c r="BT47" s="80"/>
      <c r="BU47" s="80"/>
      <c r="BV47" s="80"/>
      <c r="BW47" s="80"/>
      <c r="BX47" s="80"/>
      <c r="BY47" s="80"/>
      <c r="BZ47" s="53"/>
      <c r="CA47" s="41"/>
      <c r="CB47" s="41"/>
      <c r="CC47" s="41"/>
      <c r="CD47" s="41"/>
      <c r="CE47" s="41"/>
      <c r="CF47" s="41"/>
      <c r="CG47" s="41"/>
      <c r="CH47" s="41"/>
      <c r="CI47" s="100"/>
      <c r="CJ47" s="41"/>
      <c r="CK47" s="41"/>
      <c r="CL47" s="41"/>
      <c r="CM47" s="41"/>
      <c r="CN47" s="41"/>
      <c r="CO47" s="41"/>
      <c r="CP47" s="41"/>
      <c r="CQ47" s="41"/>
      <c r="CR47" s="41"/>
      <c r="CS47" s="41"/>
      <c r="CT47" s="41"/>
      <c r="CU47" s="41"/>
      <c r="CW47" s="41"/>
      <c r="CX47" s="74"/>
      <c r="CY47" s="74"/>
      <c r="CZ47" s="74"/>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row>
    <row r="48" spans="1:153" s="37" customFormat="1">
      <c r="A48" s="37" t="s">
        <v>542</v>
      </c>
      <c r="D48" s="37" t="s">
        <v>816</v>
      </c>
      <c r="E48" s="37" t="s">
        <v>741</v>
      </c>
      <c r="G48" s="53"/>
      <c r="H48" s="53">
        <v>85.619361131431305</v>
      </c>
      <c r="I48" s="53"/>
      <c r="J48" s="44">
        <f t="shared" si="70"/>
        <v>85.619361131431305</v>
      </c>
      <c r="K48" s="53">
        <v>10.3938063886857</v>
      </c>
      <c r="L48" s="53">
        <v>11.887344550109701</v>
      </c>
      <c r="M48" s="44">
        <f t="shared" si="71"/>
        <v>11.887344550109701</v>
      </c>
      <c r="N48" s="53">
        <v>6.8916118019995096</v>
      </c>
      <c r="O48" s="53">
        <v>3.1699585466959301</v>
      </c>
      <c r="P48" s="53">
        <f t="shared" si="72"/>
        <v>3.7216532553035795</v>
      </c>
      <c r="Q48" s="80"/>
      <c r="W48" s="53">
        <f t="shared" si="64"/>
        <v>12.423706324635114</v>
      </c>
      <c r="X48" s="53">
        <f t="shared" si="65"/>
        <v>7.2025641025641152</v>
      </c>
      <c r="Y48" s="53">
        <f t="shared" si="66"/>
        <v>3.749999999999988</v>
      </c>
      <c r="Z48" s="53">
        <f>H48/O48</f>
        <v>27.009615384615348</v>
      </c>
      <c r="AA48" s="73">
        <f t="shared" si="7"/>
        <v>4.3467426130295445E-2</v>
      </c>
      <c r="AB48" s="84"/>
      <c r="AC48" s="74">
        <f t="shared" si="74"/>
        <v>7014.1918393282485</v>
      </c>
      <c r="AD48" s="74">
        <f t="shared" si="75"/>
        <v>1607.8422455826244</v>
      </c>
      <c r="AE48" s="74">
        <f t="shared" si="76"/>
        <v>2197.8976452356546</v>
      </c>
      <c r="AI48" s="84"/>
      <c r="AJ48" s="84"/>
      <c r="AK48" s="84"/>
      <c r="AL48" s="84"/>
      <c r="AM48" s="84"/>
      <c r="AN48" s="84"/>
      <c r="AO48" s="95"/>
      <c r="AP48" s="84"/>
      <c r="AQ48" s="84"/>
      <c r="AR48" s="84"/>
      <c r="AS48" s="74">
        <v>414.68347999637098</v>
      </c>
      <c r="AT48" s="74">
        <v>180</v>
      </c>
      <c r="AU48" s="74">
        <v>73</v>
      </c>
      <c r="AV48" s="74">
        <v>107.86</v>
      </c>
      <c r="AW48" s="74">
        <v>132</v>
      </c>
      <c r="AX48" s="74">
        <v>60.39</v>
      </c>
      <c r="AY48" s="74">
        <v>25</v>
      </c>
      <c r="AZ48" s="74">
        <f t="shared" si="79"/>
        <v>992.93347999637103</v>
      </c>
      <c r="BA48" s="95"/>
      <c r="BB48" s="74">
        <f t="shared" si="80"/>
        <v>992.93347999637103</v>
      </c>
      <c r="BC48" s="74"/>
      <c r="BD48" s="84"/>
      <c r="BE48" s="84"/>
      <c r="BF48" s="40"/>
      <c r="BG48" s="40"/>
      <c r="BH48" s="84"/>
      <c r="BI48" s="84"/>
      <c r="BJ48" s="84"/>
      <c r="BK48" s="84"/>
      <c r="BL48" s="84"/>
      <c r="BM48" s="84"/>
      <c r="BN48" s="84"/>
      <c r="BO48" s="84"/>
      <c r="BP48" s="84"/>
      <c r="BQ48" s="84"/>
      <c r="BR48" s="80"/>
      <c r="BS48" s="80"/>
      <c r="BT48" s="80"/>
      <c r="BU48" s="80"/>
      <c r="BV48" s="80"/>
      <c r="BW48" s="80"/>
      <c r="BX48" s="80"/>
      <c r="BY48" s="80"/>
      <c r="BZ48" s="53"/>
      <c r="CA48" s="40"/>
      <c r="CB48" s="40"/>
      <c r="CC48" s="40"/>
      <c r="CD48" s="40"/>
      <c r="CE48" s="40"/>
      <c r="CF48" s="40"/>
      <c r="CG48" s="40"/>
      <c r="CH48" s="40"/>
      <c r="CI48" s="55"/>
      <c r="CJ48" s="40"/>
      <c r="CK48" s="40"/>
      <c r="CL48" s="40"/>
      <c r="CM48" s="40"/>
      <c r="CN48" s="40"/>
      <c r="CO48" s="40"/>
      <c r="CP48" s="40"/>
      <c r="CQ48" s="40"/>
      <c r="CR48" s="40"/>
      <c r="CS48" s="40"/>
      <c r="CT48" s="40"/>
      <c r="CU48" s="40"/>
      <c r="CW48" s="40"/>
      <c r="CX48" s="74"/>
      <c r="CY48" s="74"/>
      <c r="CZ48" s="74"/>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row>
    <row r="49" spans="1:153" s="37" customFormat="1" ht="12.75">
      <c r="A49" s="42"/>
      <c r="B49" s="43" t="s">
        <v>817</v>
      </c>
      <c r="C49" s="43" t="s">
        <v>755</v>
      </c>
      <c r="D49" s="43" t="s">
        <v>818</v>
      </c>
      <c r="E49" s="43" t="s">
        <v>720</v>
      </c>
      <c r="F49" s="42">
        <v>1953</v>
      </c>
      <c r="G49" s="43"/>
      <c r="H49" s="43">
        <v>88</v>
      </c>
      <c r="I49" s="43"/>
      <c r="J49" s="44">
        <f t="shared" si="70"/>
        <v>88</v>
      </c>
      <c r="K49" s="43">
        <v>9.73</v>
      </c>
      <c r="L49" s="43"/>
      <c r="M49" s="44">
        <f t="shared" si="71"/>
        <v>9.73</v>
      </c>
      <c r="N49" s="43">
        <v>5.6</v>
      </c>
      <c r="O49" s="43">
        <v>3.3</v>
      </c>
      <c r="P49" s="53">
        <f t="shared" si="72"/>
        <v>2.2999999999999998</v>
      </c>
      <c r="Q49" s="46">
        <v>1180</v>
      </c>
      <c r="R49" s="71">
        <f>S49*T49</f>
        <v>0.4582</v>
      </c>
      <c r="S49" s="71">
        <v>0.57999999999999996</v>
      </c>
      <c r="T49" s="71">
        <v>0.79</v>
      </c>
      <c r="U49" s="71"/>
      <c r="V49" s="43"/>
      <c r="W49" s="53">
        <f t="shared" si="64"/>
        <v>15.714285714285715</v>
      </c>
      <c r="X49" s="53">
        <f t="shared" si="65"/>
        <v>9.0441932168550867</v>
      </c>
      <c r="Y49" s="53">
        <f t="shared" si="66"/>
        <v>2.9484848484848487</v>
      </c>
      <c r="Z49" s="43">
        <v>28</v>
      </c>
      <c r="AA49" s="73">
        <f t="shared" si="7"/>
        <v>2.6136363636363635E-2</v>
      </c>
      <c r="AB49" s="55">
        <f t="shared" si="12"/>
        <v>48.25879868772293</v>
      </c>
      <c r="AC49" s="74">
        <f t="shared" si="74"/>
        <v>4794.9439999999995</v>
      </c>
      <c r="AD49" s="74">
        <f t="shared" si="75"/>
        <v>1349.04</v>
      </c>
      <c r="AE49" s="74">
        <f t="shared" si="76"/>
        <v>1841.84</v>
      </c>
      <c r="AI49" s="43">
        <v>1</v>
      </c>
      <c r="AJ49" s="43">
        <v>11190</v>
      </c>
      <c r="AK49" s="46">
        <f>AI49*AJ49</f>
        <v>11190</v>
      </c>
      <c r="AL49" s="46">
        <f>AK49^0.5</f>
        <v>105.78279633286313</v>
      </c>
      <c r="AM49" s="43">
        <v>26</v>
      </c>
      <c r="AN49" s="43">
        <v>12</v>
      </c>
      <c r="AO49" s="43" t="s">
        <v>819</v>
      </c>
      <c r="AP49" s="43"/>
      <c r="AQ49" s="43">
        <v>140</v>
      </c>
      <c r="AR49" s="97">
        <f>AQ49*AC49</f>
        <v>671292.15999999992</v>
      </c>
      <c r="AS49" s="46">
        <v>481.44</v>
      </c>
      <c r="AT49" s="46">
        <v>257.24</v>
      </c>
      <c r="AU49" s="46">
        <v>73.16</v>
      </c>
      <c r="AV49" s="46">
        <v>50.74</v>
      </c>
      <c r="AW49" s="46">
        <v>94.4</v>
      </c>
      <c r="AX49" s="46">
        <v>35.4</v>
      </c>
      <c r="AY49" s="46">
        <v>57.82</v>
      </c>
      <c r="AZ49" s="46">
        <f t="shared" si="79"/>
        <v>1050.2</v>
      </c>
      <c r="BA49" s="95"/>
      <c r="BB49" s="46">
        <f t="shared" si="80"/>
        <v>1050.2</v>
      </c>
      <c r="BC49" s="43"/>
      <c r="BD49" s="46">
        <v>129.80000000000001</v>
      </c>
      <c r="BE49" s="43">
        <v>1180</v>
      </c>
      <c r="BF49" s="52">
        <f>AM49/SQRT(J49*3.2808)</f>
        <v>1.5301786346075716</v>
      </c>
      <c r="BG49" s="52">
        <f>BF49*1.6878/SQRT(32.174)</f>
        <v>0.45531356319454236</v>
      </c>
      <c r="BH49" s="43"/>
      <c r="BI49" s="43"/>
      <c r="BJ49" s="43"/>
      <c r="BK49" s="43"/>
      <c r="BL49" s="43"/>
      <c r="BM49" s="43"/>
      <c r="BN49" s="43"/>
      <c r="BO49" s="43"/>
      <c r="BP49" s="43"/>
      <c r="BQ49" s="43"/>
      <c r="BR49" s="44">
        <f t="shared" ref="BR49:BX49" si="81">AS49/$BB49*100</f>
        <v>45.842696629213478</v>
      </c>
      <c r="BS49" s="44">
        <f t="shared" si="81"/>
        <v>24.49438202247191</v>
      </c>
      <c r="BT49" s="44">
        <f t="shared" si="81"/>
        <v>6.9662921348314599</v>
      </c>
      <c r="BU49" s="44">
        <f t="shared" si="81"/>
        <v>4.8314606741573032</v>
      </c>
      <c r="BV49" s="44">
        <f t="shared" si="81"/>
        <v>8.9887640449438209</v>
      </c>
      <c r="BW49" s="44">
        <f t="shared" si="81"/>
        <v>3.3707865168539324</v>
      </c>
      <c r="BX49" s="44">
        <f t="shared" si="81"/>
        <v>5.5056179775280896</v>
      </c>
      <c r="BY49" s="44">
        <f>BA49/$BB49*100</f>
        <v>0</v>
      </c>
      <c r="BZ49" s="43"/>
      <c r="CA49" s="52"/>
      <c r="CB49" s="52"/>
      <c r="CC49" s="52"/>
      <c r="CD49" s="52"/>
      <c r="CE49" s="52"/>
      <c r="CF49" s="52"/>
      <c r="CG49" s="52"/>
      <c r="CH49" s="52"/>
      <c r="CI49" s="43"/>
      <c r="CJ49" s="52"/>
      <c r="CK49" s="52"/>
      <c r="CL49" s="52"/>
      <c r="CM49" s="52"/>
      <c r="CN49" s="52"/>
      <c r="CO49" s="52"/>
      <c r="CP49" s="52"/>
      <c r="CQ49" s="52"/>
      <c r="CR49" s="52"/>
      <c r="CS49" s="52"/>
      <c r="CT49" s="52"/>
      <c r="CU49" s="52"/>
      <c r="CW49" s="52"/>
      <c r="CX49" s="43"/>
      <c r="CY49" s="43"/>
      <c r="CZ49" s="43"/>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row>
    <row r="50" spans="1:153" s="37" customFormat="1" ht="12.75">
      <c r="A50" s="42" t="s">
        <v>820</v>
      </c>
      <c r="B50" s="43" t="s">
        <v>821</v>
      </c>
      <c r="C50" s="43" t="s">
        <v>718</v>
      </c>
      <c r="D50" s="43" t="s">
        <v>822</v>
      </c>
      <c r="E50" s="43" t="s">
        <v>720</v>
      </c>
      <c r="F50" s="42">
        <v>1959</v>
      </c>
      <c r="G50" s="43"/>
      <c r="H50" s="43"/>
      <c r="I50" s="44">
        <v>91.745915630334096</v>
      </c>
      <c r="J50" s="44">
        <f t="shared" si="70"/>
        <v>91.745915630334096</v>
      </c>
      <c r="K50" s="43"/>
      <c r="L50" s="45">
        <v>11.7654230675445</v>
      </c>
      <c r="M50" s="44">
        <f t="shared" si="71"/>
        <v>11.7654230675445</v>
      </c>
      <c r="N50" s="45">
        <v>6.4923189465983899</v>
      </c>
      <c r="O50" s="45">
        <v>3.6576444769568401</v>
      </c>
      <c r="P50" s="53">
        <f t="shared" si="72"/>
        <v>2.8346744696415498</v>
      </c>
      <c r="Q50" s="46">
        <v>1704.9442075659999</v>
      </c>
      <c r="R50" s="71">
        <f>Q50/(1.025*I50*L50*O50)</f>
        <v>0.42129909759039297</v>
      </c>
      <c r="S50" s="71">
        <v>0.56000000000000005</v>
      </c>
      <c r="T50" s="71">
        <v>0.79</v>
      </c>
      <c r="U50" s="71">
        <v>0.68</v>
      </c>
      <c r="V50" s="43"/>
      <c r="W50" s="53">
        <f t="shared" si="64"/>
        <v>14.131455399061039</v>
      </c>
      <c r="X50" s="53">
        <f t="shared" si="65"/>
        <v>7.7979274611399001</v>
      </c>
      <c r="Y50" s="53">
        <f t="shared" si="66"/>
        <v>3.2166666666666659</v>
      </c>
      <c r="Z50" s="45">
        <f>I50/O50</f>
        <v>25.083333333333339</v>
      </c>
      <c r="AA50" s="73">
        <f t="shared" si="7"/>
        <v>3.0897009966777387E-2</v>
      </c>
      <c r="AB50" s="55">
        <f t="shared" si="12"/>
        <v>61.530786973264995</v>
      </c>
      <c r="AC50" s="74">
        <f t="shared" si="74"/>
        <v>7008.000672990016</v>
      </c>
      <c r="AD50" s="74">
        <f t="shared" si="75"/>
        <v>1675.0732584299599</v>
      </c>
      <c r="AE50" s="74">
        <f t="shared" si="76"/>
        <v>2270.7170047497953</v>
      </c>
      <c r="AF50" s="37">
        <v>6864</v>
      </c>
      <c r="AG50" s="37">
        <v>6040</v>
      </c>
      <c r="AH50" s="37">
        <v>824</v>
      </c>
      <c r="AI50" s="43"/>
      <c r="AJ50" s="43"/>
      <c r="AK50" s="46">
        <v>7159</v>
      </c>
      <c r="AL50" s="46">
        <f>AK50^0.5</f>
        <v>84.610874005650132</v>
      </c>
      <c r="AM50" s="43"/>
      <c r="AN50" s="43">
        <v>12</v>
      </c>
      <c r="AO50" s="43" t="s">
        <v>263</v>
      </c>
      <c r="AP50" s="43">
        <v>600</v>
      </c>
      <c r="AQ50" s="43"/>
      <c r="AR50" s="43"/>
      <c r="AS50" s="46">
        <v>589</v>
      </c>
      <c r="AT50" s="46">
        <v>228</v>
      </c>
      <c r="AU50" s="46">
        <v>82</v>
      </c>
      <c r="AV50" s="46">
        <v>44</v>
      </c>
      <c r="AW50" s="46">
        <v>146</v>
      </c>
      <c r="AX50" s="46">
        <v>138</v>
      </c>
      <c r="AY50" s="46">
        <v>41</v>
      </c>
      <c r="AZ50" s="46">
        <f t="shared" si="79"/>
        <v>1268</v>
      </c>
      <c r="BA50" s="95"/>
      <c r="BB50" s="46">
        <f t="shared" si="80"/>
        <v>1268</v>
      </c>
      <c r="BC50" s="43"/>
      <c r="BD50" s="80"/>
      <c r="BE50" s="80"/>
      <c r="BF50" s="43"/>
      <c r="BG50" s="43"/>
      <c r="BH50" s="80"/>
      <c r="BI50" s="80"/>
      <c r="BJ50" s="80"/>
      <c r="BK50" s="80"/>
      <c r="BL50" s="80"/>
      <c r="BM50" s="80"/>
      <c r="BN50" s="80"/>
      <c r="BO50" s="80"/>
      <c r="BP50" s="80"/>
      <c r="BQ50" s="80"/>
      <c r="BR50" s="44">
        <v>46.5</v>
      </c>
      <c r="BS50" s="44">
        <v>18</v>
      </c>
      <c r="BT50" s="44">
        <v>6.5</v>
      </c>
      <c r="BU50" s="44">
        <v>3.5</v>
      </c>
      <c r="BV50" s="44">
        <v>11.5</v>
      </c>
      <c r="BW50" s="44">
        <v>10.9</v>
      </c>
      <c r="BX50" s="44">
        <v>3.2</v>
      </c>
      <c r="BY50" s="80"/>
      <c r="BZ50" s="43"/>
      <c r="CA50" s="43"/>
      <c r="CB50" s="43"/>
      <c r="CC50" s="43"/>
      <c r="CD50" s="43"/>
      <c r="CE50" s="43"/>
      <c r="CF50" s="43"/>
      <c r="CG50" s="43"/>
      <c r="CH50" s="43"/>
      <c r="CI50" s="43"/>
      <c r="CJ50" s="43"/>
      <c r="CK50" s="43"/>
      <c r="CL50" s="43"/>
      <c r="CM50" s="43"/>
      <c r="CN50" s="43"/>
      <c r="CO50" s="43"/>
      <c r="CP50" s="43"/>
      <c r="CQ50" s="43"/>
      <c r="CR50" s="43"/>
      <c r="CS50" s="43"/>
      <c r="CT50" s="43"/>
      <c r="CU50" s="43"/>
      <c r="CW50" s="43">
        <v>49.375</v>
      </c>
      <c r="CX50" s="46">
        <v>6864.25401884246</v>
      </c>
      <c r="CY50" s="46">
        <v>6040.4869008221303</v>
      </c>
      <c r="CZ50" s="46">
        <v>823.76711802032605</v>
      </c>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row>
    <row r="51" spans="1:153">
      <c r="A51" s="51"/>
      <c r="B51" s="43" t="s">
        <v>823</v>
      </c>
      <c r="C51" s="43" t="s">
        <v>824</v>
      </c>
      <c r="D51" s="43" t="s">
        <v>825</v>
      </c>
      <c r="E51" s="42" t="s">
        <v>811</v>
      </c>
      <c r="F51" s="51"/>
      <c r="G51" s="44">
        <v>106.29</v>
      </c>
      <c r="H51" s="40"/>
      <c r="I51" s="44">
        <v>99.5</v>
      </c>
      <c r="J51" s="44">
        <f t="shared" si="70"/>
        <v>99.5</v>
      </c>
      <c r="K51" s="45">
        <v>13.75</v>
      </c>
      <c r="L51" s="45">
        <v>15.17</v>
      </c>
      <c r="M51" s="44">
        <f t="shared" si="71"/>
        <v>15.17</v>
      </c>
      <c r="N51" s="64">
        <v>8.5</v>
      </c>
      <c r="O51" s="45">
        <v>4.2</v>
      </c>
      <c r="P51" s="45">
        <v>6.8448275862069003</v>
      </c>
      <c r="Q51" s="46">
        <v>2986</v>
      </c>
      <c r="R51" s="71"/>
      <c r="S51" s="71"/>
      <c r="T51" s="71"/>
      <c r="U51" s="71"/>
      <c r="V51" s="40"/>
      <c r="W51" s="53">
        <f t="shared" si="64"/>
        <v>11.705882352941176</v>
      </c>
      <c r="X51" s="53">
        <f t="shared" si="65"/>
        <v>6.5589980224126565</v>
      </c>
      <c r="Y51" s="53">
        <f t="shared" si="66"/>
        <v>3.611904761904762</v>
      </c>
      <c r="Z51" s="45">
        <f>I51/O51</f>
        <v>23.69047619047619</v>
      </c>
      <c r="AA51" s="73">
        <f t="shared" si="7"/>
        <v>6.8792237047305527E-2</v>
      </c>
      <c r="AB51" s="55">
        <f t="shared" si="12"/>
        <v>84.481784152365975</v>
      </c>
      <c r="AC51" s="74">
        <f t="shared" si="74"/>
        <v>12830.0275</v>
      </c>
      <c r="AD51" s="74">
        <f t="shared" si="75"/>
        <v>2355.165</v>
      </c>
      <c r="AE51" s="74">
        <f t="shared" si="76"/>
        <v>3200.915</v>
      </c>
      <c r="AI51" s="40"/>
      <c r="AJ51" s="40"/>
      <c r="AK51" s="46">
        <v>54227</v>
      </c>
      <c r="AL51" s="46">
        <f>AK51^0.5</f>
        <v>232.86691478181265</v>
      </c>
      <c r="AM51" s="40"/>
      <c r="AN51" s="40"/>
      <c r="AO51" s="43" t="s">
        <v>721</v>
      </c>
      <c r="AP51" s="40"/>
      <c r="AQ51" s="46">
        <v>85</v>
      </c>
      <c r="AR51" s="46">
        <f>AQ51*AC51</f>
        <v>1090552.3374999999</v>
      </c>
      <c r="AS51" s="46">
        <v>1057.0999999999999</v>
      </c>
      <c r="AT51" s="46">
        <v>305</v>
      </c>
      <c r="AU51" s="46">
        <v>122.4</v>
      </c>
      <c r="AV51" s="46">
        <v>79.8</v>
      </c>
      <c r="AW51" s="46">
        <v>395.8</v>
      </c>
      <c r="AX51" s="46">
        <v>154.69999999999999</v>
      </c>
      <c r="AY51" s="46">
        <v>120.5</v>
      </c>
      <c r="AZ51" s="46">
        <f t="shared" si="79"/>
        <v>2235.2999999999997</v>
      </c>
      <c r="BA51" s="46">
        <v>156.5</v>
      </c>
      <c r="BB51" s="46">
        <f t="shared" si="80"/>
        <v>2391.7999999999997</v>
      </c>
      <c r="BC51" s="40"/>
      <c r="BD51" s="46">
        <v>594.5</v>
      </c>
      <c r="BE51" s="46">
        <f>SUM(BB51:BD51)</f>
        <v>2986.2999999999997</v>
      </c>
      <c r="BG51" s="40"/>
      <c r="BR51" s="44">
        <f t="shared" ref="BR51:BX51" si="82">AS51/$BB51*100</f>
        <v>44.196839200602057</v>
      </c>
      <c r="BS51" s="44">
        <f t="shared" si="82"/>
        <v>12.751902332970985</v>
      </c>
      <c r="BT51" s="44">
        <f t="shared" si="82"/>
        <v>5.1174847395267165</v>
      </c>
      <c r="BU51" s="44">
        <f t="shared" si="82"/>
        <v>3.3363993644953593</v>
      </c>
      <c r="BV51" s="44">
        <f t="shared" si="82"/>
        <v>16.548206371770217</v>
      </c>
      <c r="BW51" s="44">
        <f t="shared" si="82"/>
        <v>6.4679321013462676</v>
      </c>
      <c r="BX51" s="44">
        <f t="shared" si="82"/>
        <v>5.0380466594196847</v>
      </c>
      <c r="BY51" s="44">
        <f>BA51/$BB51*100</f>
        <v>6.5431892298687195</v>
      </c>
      <c r="BZ51" s="45">
        <v>5.88</v>
      </c>
      <c r="CA51" s="45">
        <v>3.16</v>
      </c>
      <c r="CB51" s="45">
        <v>6.21</v>
      </c>
      <c r="CC51" s="45">
        <v>9.7799999999999994</v>
      </c>
      <c r="CD51" s="45">
        <v>5.77</v>
      </c>
      <c r="CE51" s="45">
        <v>7.42</v>
      </c>
      <c r="CF51" s="45">
        <v>9.49</v>
      </c>
      <c r="CG51" s="45">
        <v>6.37</v>
      </c>
      <c r="CH51" s="45">
        <v>6.37</v>
      </c>
      <c r="CI51" s="40"/>
      <c r="CJ51" s="40"/>
      <c r="CK51" s="45">
        <f t="shared" ref="CK51:CS51" si="83">BZ51/$N51</f>
        <v>0.69176470588235295</v>
      </c>
      <c r="CL51" s="45">
        <f t="shared" si="83"/>
        <v>0.37176470588235294</v>
      </c>
      <c r="CM51" s="45">
        <f t="shared" si="83"/>
        <v>0.73058823529411765</v>
      </c>
      <c r="CN51" s="45">
        <f t="shared" si="83"/>
        <v>1.1505882352941175</v>
      </c>
      <c r="CO51" s="45">
        <f t="shared" si="83"/>
        <v>0.6788235294117646</v>
      </c>
      <c r="CP51" s="45">
        <f t="shared" si="83"/>
        <v>0.87294117647058822</v>
      </c>
      <c r="CQ51" s="45">
        <f t="shared" si="83"/>
        <v>1.1164705882352941</v>
      </c>
      <c r="CR51" s="45">
        <f t="shared" si="83"/>
        <v>0.74941176470588233</v>
      </c>
      <c r="CS51" s="45">
        <f t="shared" si="83"/>
        <v>0.74941176470588233</v>
      </c>
      <c r="CT51" s="40"/>
      <c r="CU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row>
    <row r="52" spans="1:153">
      <c r="AA52" s="73"/>
    </row>
    <row r="53" spans="1:153">
      <c r="AA53" s="73"/>
    </row>
    <row r="54" spans="1:153">
      <c r="AA54" s="73"/>
    </row>
    <row r="55" spans="1:153" s="38" customFormat="1" ht="12.75">
      <c r="A55" s="38" t="s">
        <v>638</v>
      </c>
      <c r="B55" s="38" t="s">
        <v>639</v>
      </c>
      <c r="C55" s="38" t="s">
        <v>640</v>
      </c>
      <c r="D55" s="38" t="s">
        <v>641</v>
      </c>
      <c r="E55" s="38" t="s">
        <v>642</v>
      </c>
      <c r="F55" s="38" t="s">
        <v>643</v>
      </c>
      <c r="G55" s="241" t="s">
        <v>256</v>
      </c>
      <c r="H55" s="241" t="s">
        <v>644</v>
      </c>
      <c r="I55" s="241" t="s">
        <v>259</v>
      </c>
      <c r="K55" s="242" t="s">
        <v>646</v>
      </c>
      <c r="L55" s="242" t="s">
        <v>647</v>
      </c>
      <c r="N55" s="242" t="s">
        <v>649</v>
      </c>
      <c r="O55" s="242" t="s">
        <v>650</v>
      </c>
      <c r="P55" s="242" t="s">
        <v>651</v>
      </c>
      <c r="Q55" s="241" t="s">
        <v>652</v>
      </c>
      <c r="R55" s="38" t="s">
        <v>653</v>
      </c>
      <c r="S55" s="38" t="s">
        <v>654</v>
      </c>
      <c r="T55" s="38" t="s">
        <v>655</v>
      </c>
      <c r="U55" s="38" t="s">
        <v>656</v>
      </c>
      <c r="V55" s="38" t="s">
        <v>657</v>
      </c>
      <c r="W55" s="242" t="s">
        <v>284</v>
      </c>
      <c r="X55" s="242" t="s">
        <v>282</v>
      </c>
      <c r="Y55" s="242" t="s">
        <v>658</v>
      </c>
      <c r="Z55" s="37" t="s">
        <v>659</v>
      </c>
      <c r="AA55" s="73"/>
      <c r="AB55" s="241" t="s">
        <v>661</v>
      </c>
      <c r="AC55" s="101" t="s">
        <v>275</v>
      </c>
      <c r="AD55" s="101" t="s">
        <v>662</v>
      </c>
      <c r="AE55" s="101" t="s">
        <v>663</v>
      </c>
      <c r="AI55" s="37" t="s">
        <v>667</v>
      </c>
      <c r="AJ55" s="37" t="s">
        <v>668</v>
      </c>
      <c r="AK55" s="101" t="s">
        <v>669</v>
      </c>
      <c r="AL55" s="101" t="s">
        <v>670</v>
      </c>
      <c r="AM55" s="37" t="s">
        <v>671</v>
      </c>
      <c r="AN55" s="37" t="s">
        <v>672</v>
      </c>
      <c r="AO55" s="38" t="s">
        <v>673</v>
      </c>
      <c r="AP55" s="101" t="s">
        <v>674</v>
      </c>
      <c r="AQ55" s="101" t="s">
        <v>270</v>
      </c>
      <c r="AR55" s="101" t="s">
        <v>675</v>
      </c>
      <c r="AS55" s="101" t="s">
        <v>287</v>
      </c>
      <c r="AT55" s="101" t="s">
        <v>289</v>
      </c>
      <c r="AU55" s="101" t="s">
        <v>291</v>
      </c>
      <c r="AV55" s="101" t="s">
        <v>84</v>
      </c>
      <c r="AW55" s="101" t="s">
        <v>294</v>
      </c>
      <c r="AX55" s="101" t="s">
        <v>296</v>
      </c>
      <c r="AY55" s="101" t="s">
        <v>298</v>
      </c>
      <c r="AZ55" s="101" t="s">
        <v>676</v>
      </c>
      <c r="BA55" s="101" t="s">
        <v>677</v>
      </c>
      <c r="BB55" s="38" t="s">
        <v>678</v>
      </c>
      <c r="BC55" s="101" t="s">
        <v>679</v>
      </c>
      <c r="BD55" s="101" t="s">
        <v>680</v>
      </c>
      <c r="BE55" s="101" t="s">
        <v>681</v>
      </c>
      <c r="BH55" s="101"/>
      <c r="BI55" s="101"/>
      <c r="BJ55" s="101"/>
      <c r="BK55" s="101"/>
      <c r="BL55" s="101"/>
      <c r="BM55" s="101"/>
      <c r="BN55" s="101"/>
      <c r="BO55" s="101"/>
      <c r="BP55" s="101"/>
      <c r="BQ55" s="101"/>
      <c r="BR55" s="241" t="s">
        <v>684</v>
      </c>
      <c r="BS55" s="241" t="s">
        <v>685</v>
      </c>
      <c r="BT55" s="241" t="s">
        <v>686</v>
      </c>
      <c r="BU55" s="241" t="s">
        <v>687</v>
      </c>
      <c r="BV55" s="241" t="s">
        <v>688</v>
      </c>
      <c r="BW55" s="241" t="s">
        <v>689</v>
      </c>
      <c r="BX55" s="241" t="s">
        <v>690</v>
      </c>
      <c r="BY55" s="241" t="s">
        <v>691</v>
      </c>
      <c r="CX55" s="101" t="s">
        <v>715</v>
      </c>
      <c r="CY55" s="37" t="s">
        <v>716</v>
      </c>
      <c r="CZ55" s="37" t="s">
        <v>272</v>
      </c>
    </row>
    <row r="56" spans="1:153" s="37" customFormat="1" ht="12.75">
      <c r="B56" s="37" t="s">
        <v>826</v>
      </c>
      <c r="C56" s="37" t="s">
        <v>718</v>
      </c>
      <c r="D56" s="37" t="s">
        <v>827</v>
      </c>
      <c r="E56" s="37" t="s">
        <v>811</v>
      </c>
      <c r="F56" s="37">
        <v>1976</v>
      </c>
      <c r="G56" s="53">
        <v>19.8</v>
      </c>
      <c r="H56" s="59"/>
      <c r="I56" s="59"/>
      <c r="K56" s="65">
        <v>6.1</v>
      </c>
      <c r="L56" s="59"/>
      <c r="N56" s="68">
        <v>2.96</v>
      </c>
      <c r="O56" s="59"/>
      <c r="P56" s="59"/>
      <c r="Q56" s="55">
        <v>72.599999999999994</v>
      </c>
      <c r="R56" s="73"/>
      <c r="S56" s="73"/>
      <c r="T56" s="73"/>
      <c r="U56" s="73"/>
      <c r="V56" s="73"/>
      <c r="W56" s="59"/>
      <c r="X56" s="59"/>
      <c r="Y56" s="59"/>
      <c r="Z56" s="59"/>
      <c r="AA56" s="73"/>
      <c r="AB56" s="80"/>
      <c r="AC56" s="74">
        <f>G56*K56*N56</f>
        <v>357.50880000000001</v>
      </c>
      <c r="AD56" s="84"/>
      <c r="AE56" s="84"/>
      <c r="AI56" s="84"/>
      <c r="AJ56" s="80"/>
      <c r="AK56" s="84"/>
      <c r="AL56" s="84"/>
      <c r="AM56" s="84"/>
      <c r="AN56" s="84"/>
      <c r="AO56" s="95"/>
      <c r="AP56" s="84"/>
      <c r="AQ56" s="74"/>
      <c r="AR56" s="74"/>
      <c r="AS56" s="74">
        <f>14.9+6.8</f>
        <v>21.7</v>
      </c>
      <c r="AT56" s="74">
        <v>11.1</v>
      </c>
      <c r="AU56" s="74">
        <v>3.9</v>
      </c>
      <c r="AV56" s="74">
        <v>1.1000000000000001</v>
      </c>
      <c r="AW56" s="74">
        <v>3.5</v>
      </c>
      <c r="AX56" s="74">
        <v>3.4</v>
      </c>
      <c r="AY56" s="74">
        <v>11.3</v>
      </c>
      <c r="AZ56" s="74">
        <f>SUM(AS56:AY56)</f>
        <v>56</v>
      </c>
      <c r="BA56" s="95"/>
      <c r="BB56" s="74">
        <f>SUM(AZ56:BA56)</f>
        <v>56</v>
      </c>
      <c r="BC56" s="95"/>
      <c r="BD56" s="74">
        <f>72.6-BB56</f>
        <v>16.599999999999994</v>
      </c>
      <c r="BE56" s="37">
        <f>SUM(BB56:BD56)</f>
        <v>72.599999999999994</v>
      </c>
      <c r="BR56" s="55">
        <f t="shared" ref="BR56:BX56" si="84">AS56/$BB56*100</f>
        <v>38.75</v>
      </c>
      <c r="BS56" s="55">
        <f t="shared" si="84"/>
        <v>19.821428571428569</v>
      </c>
      <c r="BT56" s="55">
        <f t="shared" si="84"/>
        <v>6.9642857142857144</v>
      </c>
      <c r="BU56" s="55">
        <f t="shared" si="84"/>
        <v>1.9642857142857146</v>
      </c>
      <c r="BV56" s="55">
        <f t="shared" si="84"/>
        <v>6.25</v>
      </c>
      <c r="BW56" s="55">
        <f t="shared" si="84"/>
        <v>6.0714285714285712</v>
      </c>
      <c r="BX56" s="55">
        <f t="shared" si="84"/>
        <v>20.178571428571431</v>
      </c>
      <c r="BY56" s="55">
        <f>BA56/$BB56*100</f>
        <v>0</v>
      </c>
      <c r="CX56" s="74"/>
      <c r="CY56" s="74"/>
      <c r="CZ56" s="74"/>
    </row>
    <row r="57" spans="1:153" s="37" customFormat="1" ht="12.75">
      <c r="G57" s="55"/>
      <c r="H57" s="55"/>
      <c r="I57" s="55"/>
      <c r="K57" s="53"/>
      <c r="L57" s="53"/>
      <c r="N57" s="53"/>
      <c r="O57" s="53"/>
      <c r="P57" s="53"/>
      <c r="Q57" s="74"/>
      <c r="W57" s="53"/>
      <c r="X57" s="53"/>
      <c r="Y57" s="53"/>
      <c r="Z57" s="53"/>
      <c r="AA57" s="73"/>
      <c r="AB57" s="55"/>
      <c r="AC57" s="74"/>
      <c r="AD57" s="74"/>
      <c r="AE57" s="74"/>
      <c r="AI57" s="74"/>
      <c r="AJ57" s="74"/>
      <c r="AK57" s="74"/>
      <c r="AL57" s="74"/>
      <c r="AM57" s="74"/>
      <c r="AN57" s="74"/>
      <c r="AP57" s="74"/>
      <c r="AQ57" s="74"/>
      <c r="AR57" s="74"/>
      <c r="AS57" s="74"/>
      <c r="AT57" s="74"/>
      <c r="AU57" s="74"/>
      <c r="AV57" s="74"/>
      <c r="AW57" s="74"/>
      <c r="AX57" s="74"/>
      <c r="AY57" s="74"/>
      <c r="AZ57" s="74"/>
      <c r="BA57" s="74"/>
      <c r="BB57" s="74"/>
      <c r="BC57" s="74"/>
      <c r="BD57" s="74"/>
      <c r="BE57" s="74"/>
      <c r="BH57" s="74"/>
      <c r="BI57" s="74"/>
      <c r="BJ57" s="74"/>
      <c r="BK57" s="74"/>
      <c r="BL57" s="74"/>
      <c r="BM57" s="74"/>
      <c r="BN57" s="74"/>
      <c r="BO57" s="74"/>
      <c r="BP57" s="74"/>
      <c r="BQ57" s="74"/>
      <c r="BR57" s="55"/>
      <c r="BS57" s="55"/>
      <c r="BT57" s="55"/>
      <c r="BU57" s="55"/>
      <c r="BV57" s="55"/>
      <c r="BW57" s="55"/>
      <c r="BX57" s="55"/>
      <c r="BY57" s="55"/>
      <c r="CX57" s="74"/>
      <c r="CY57" s="74"/>
      <c r="CZ57" s="74"/>
    </row>
    <row r="58" spans="1:153" s="37" customFormat="1" ht="12.75">
      <c r="A58" s="37" t="s">
        <v>828</v>
      </c>
      <c r="C58" s="37" t="s">
        <v>811</v>
      </c>
      <c r="D58" s="37" t="s">
        <v>829</v>
      </c>
      <c r="E58" s="37" t="s">
        <v>811</v>
      </c>
      <c r="F58" s="37">
        <v>1982</v>
      </c>
      <c r="G58" s="53">
        <f>108.7/3.2808</f>
        <v>33.132162887100705</v>
      </c>
      <c r="H58" s="53"/>
      <c r="I58" s="53">
        <f>100/3.2808</f>
        <v>30.480370641306997</v>
      </c>
      <c r="J58" s="44">
        <f>IF(I58="",H58,I58)</f>
        <v>30.480370641306997</v>
      </c>
      <c r="K58" s="53">
        <f>18/3.2808</f>
        <v>5.4864667154352595</v>
      </c>
      <c r="L58" s="53">
        <f>22.24/3.2808</f>
        <v>6.7788344306266755</v>
      </c>
      <c r="M58" s="44">
        <f>IF(L58="",K58,L58)</f>
        <v>6.7788344306266755</v>
      </c>
      <c r="N58" s="53">
        <f>10/3.2808</f>
        <v>3.0480370641306997</v>
      </c>
      <c r="O58" s="53">
        <f>4.88/3.2808</f>
        <v>1.4874420872957814</v>
      </c>
      <c r="P58" s="53">
        <f>N58-O58</f>
        <v>1.5605949768349183</v>
      </c>
      <c r="Q58" s="55">
        <f>279876/2204.6</f>
        <v>126.95092080195954</v>
      </c>
      <c r="R58" s="73"/>
      <c r="S58" s="73"/>
      <c r="T58" s="73"/>
      <c r="U58" s="73"/>
      <c r="W58" s="53">
        <v>16.3</v>
      </c>
      <c r="X58" s="53">
        <v>9.09</v>
      </c>
      <c r="Y58" s="53">
        <f>K58/O58</f>
        <v>3.6885245901639347</v>
      </c>
      <c r="Z58" s="53">
        <v>29</v>
      </c>
      <c r="AA58" s="73">
        <f t="shared" si="7"/>
        <v>5.1200000000000002E-2</v>
      </c>
      <c r="AB58" s="55">
        <f>(Q58*2204.6/2240)/(0.01*I58*3.2808)^3</f>
        <v>124.94464285714285</v>
      </c>
      <c r="AC58" s="74">
        <f>I58*K58*N58</f>
        <v>509.72183308236072</v>
      </c>
      <c r="AD58" s="74">
        <f>I58*(K58+N58)</f>
        <v>260.13483844080588</v>
      </c>
      <c r="AE58" s="74">
        <f>I58*(K58+2*N58)</f>
        <v>353.04013788395082</v>
      </c>
      <c r="AF58" s="37">
        <v>519</v>
      </c>
      <c r="AG58" s="37">
        <v>377</v>
      </c>
      <c r="AH58" s="37">
        <v>142</v>
      </c>
      <c r="AI58" s="37">
        <v>3</v>
      </c>
      <c r="AJ58" s="55">
        <f>AK58/AI58</f>
        <v>2237.1</v>
      </c>
      <c r="AK58" s="74">
        <f>3*3000*0.7457</f>
        <v>6711.3</v>
      </c>
      <c r="AL58" s="74">
        <f>AK58^0.5</f>
        <v>81.922524375168024</v>
      </c>
      <c r="AM58" s="37">
        <v>37.200000000000003</v>
      </c>
      <c r="AN58" s="37">
        <v>25</v>
      </c>
      <c r="AO58" s="37" t="s">
        <v>830</v>
      </c>
      <c r="AP58" s="84"/>
      <c r="AQ58" s="37">
        <v>10</v>
      </c>
      <c r="AR58" s="74">
        <f>AQ58*AC58</f>
        <v>5097.2183308236072</v>
      </c>
      <c r="AS58" s="74">
        <v>21.683</v>
      </c>
      <c r="AT58" s="74">
        <v>26.471</v>
      </c>
      <c r="AU58" s="74">
        <v>5.8659999999999997</v>
      </c>
      <c r="AV58" s="74">
        <v>0.76700000000000002</v>
      </c>
      <c r="AW58" s="74">
        <v>6.43</v>
      </c>
      <c r="AX58" s="74">
        <v>7.0350000000000001</v>
      </c>
      <c r="AY58" s="74"/>
      <c r="AZ58" s="74">
        <f>SUM(AS58:AY58)</f>
        <v>68.251999999999995</v>
      </c>
      <c r="BA58" s="74"/>
      <c r="BB58" s="74">
        <f>SUM(AZ58:BA58)</f>
        <v>68.251999999999995</v>
      </c>
      <c r="BC58" s="74"/>
      <c r="BD58" s="74">
        <v>58.697000000000003</v>
      </c>
      <c r="BE58" s="74">
        <f>SUM(BB58:BD58)</f>
        <v>126.949</v>
      </c>
      <c r="BH58" s="74"/>
      <c r="BI58" s="74"/>
      <c r="BJ58" s="74"/>
      <c r="BK58" s="74"/>
      <c r="BL58" s="74"/>
      <c r="BM58" s="74"/>
      <c r="BN58" s="74"/>
      <c r="BO58" s="74"/>
      <c r="BP58" s="74"/>
      <c r="BQ58" s="74"/>
      <c r="BR58" s="55">
        <f t="shared" ref="BR58:BX58" si="85">AS58/$BB58*100</f>
        <v>31.769032409306693</v>
      </c>
      <c r="BS58" s="55">
        <f t="shared" si="85"/>
        <v>38.78421145167907</v>
      </c>
      <c r="BT58" s="55">
        <f t="shared" si="85"/>
        <v>8.5946199378772778</v>
      </c>
      <c r="BU58" s="55">
        <f t="shared" si="85"/>
        <v>1.1237765926273224</v>
      </c>
      <c r="BV58" s="55">
        <f t="shared" si="85"/>
        <v>9.4209693488835491</v>
      </c>
      <c r="BW58" s="55">
        <f t="shared" si="85"/>
        <v>10.307390259626093</v>
      </c>
      <c r="BX58" s="55">
        <f t="shared" si="85"/>
        <v>0</v>
      </c>
      <c r="BY58" s="55">
        <f>BA58/$BB58*100</f>
        <v>0</v>
      </c>
      <c r="CX58" s="74">
        <f>18326/3.2808^3</f>
        <v>518.95346183707454</v>
      </c>
      <c r="CY58" s="74">
        <f>13312/3.2808^3</f>
        <v>376.96761344402142</v>
      </c>
      <c r="CZ58" s="74">
        <f>5014/3.2808^3</f>
        <v>141.98584839305315</v>
      </c>
    </row>
    <row r="59" spans="1:153" s="37" customFormat="1" ht="12.75">
      <c r="B59" s="61" t="s">
        <v>831</v>
      </c>
      <c r="D59" s="37" t="s">
        <v>832</v>
      </c>
      <c r="E59" s="37" t="s">
        <v>811</v>
      </c>
      <c r="F59" s="37">
        <v>1996</v>
      </c>
      <c r="G59" s="53">
        <v>42.6</v>
      </c>
      <c r="H59" s="53"/>
      <c r="I59" s="53">
        <v>38.799999999999997</v>
      </c>
      <c r="J59" s="44">
        <f>IF(I59="",H59,I59)</f>
        <v>38.799999999999997</v>
      </c>
      <c r="K59" s="69">
        <v>6.9</v>
      </c>
      <c r="L59" s="53">
        <v>8.1999999999999993</v>
      </c>
      <c r="M59" s="44">
        <f>IF(L59="",K59,L59)</f>
        <v>8.1999999999999993</v>
      </c>
      <c r="N59" s="69">
        <v>10</v>
      </c>
      <c r="O59" s="53">
        <v>1.9</v>
      </c>
      <c r="P59" s="53">
        <f>N59-O59</f>
        <v>8.1</v>
      </c>
      <c r="Q59" s="55">
        <f>BE59</f>
        <v>250</v>
      </c>
      <c r="R59" s="73"/>
      <c r="S59" s="73"/>
      <c r="T59" s="73"/>
      <c r="U59" s="73"/>
      <c r="W59" s="69">
        <f>I59/N59</f>
        <v>3.88</v>
      </c>
      <c r="X59" s="69">
        <f>I59/K59</f>
        <v>5.6231884057971007</v>
      </c>
      <c r="Y59" s="53">
        <f>K59/O59</f>
        <v>3.6315789473684212</v>
      </c>
      <c r="Z59" s="53">
        <f>I59/O59</f>
        <v>20.421052631578945</v>
      </c>
      <c r="AA59" s="73">
        <f t="shared" si="7"/>
        <v>0.20876288659793815</v>
      </c>
      <c r="AB59" s="55">
        <f>(Q59*2204.6/2240)/(0.01*I59*3.2808)^3</f>
        <v>119.28541553934558</v>
      </c>
      <c r="AC59" s="74">
        <f>I59*K59*N59</f>
        <v>2677.2</v>
      </c>
      <c r="AD59" s="74">
        <f>I59*(K59+N59)</f>
        <v>655.71999999999991</v>
      </c>
      <c r="AE59" s="74">
        <f>I59*(K59+2*N59)</f>
        <v>1043.7199999999998</v>
      </c>
      <c r="AI59" s="95"/>
      <c r="AJ59" s="80"/>
      <c r="AK59" s="84"/>
      <c r="AL59" s="84"/>
      <c r="AM59" s="95"/>
      <c r="AN59" s="95"/>
      <c r="AO59" s="95"/>
      <c r="AP59" s="95"/>
      <c r="AR59" s="74"/>
      <c r="AS59" s="74">
        <v>67.5</v>
      </c>
      <c r="AT59" s="74">
        <v>32.5</v>
      </c>
      <c r="AU59" s="74">
        <v>13.7</v>
      </c>
      <c r="AV59" s="74">
        <v>10</v>
      </c>
      <c r="AW59" s="74">
        <v>23.8</v>
      </c>
      <c r="AX59" s="74">
        <v>15</v>
      </c>
      <c r="AY59" s="74">
        <v>12.5</v>
      </c>
      <c r="AZ59" s="74">
        <f>SUM(AS59:AY59)</f>
        <v>175</v>
      </c>
      <c r="BA59" s="37">
        <v>15</v>
      </c>
      <c r="BB59" s="74">
        <f>SUM(AZ59:BA59)</f>
        <v>190</v>
      </c>
      <c r="BC59" s="95"/>
      <c r="BD59" s="37">
        <v>60</v>
      </c>
      <c r="BE59" s="37">
        <f>SUM(BB59:BD59)</f>
        <v>250</v>
      </c>
      <c r="BR59" s="55">
        <f t="shared" ref="BR59:BX59" si="86">AS59/$BB59*100</f>
        <v>35.526315789473685</v>
      </c>
      <c r="BS59" s="55">
        <f t="shared" si="86"/>
        <v>17.105263157894736</v>
      </c>
      <c r="BT59" s="55">
        <f t="shared" si="86"/>
        <v>7.2105263157894726</v>
      </c>
      <c r="BU59" s="55">
        <f t="shared" si="86"/>
        <v>5.2631578947368416</v>
      </c>
      <c r="BV59" s="55">
        <f t="shared" si="86"/>
        <v>12.526315789473685</v>
      </c>
      <c r="BW59" s="55">
        <f t="shared" si="86"/>
        <v>7.8947368421052628</v>
      </c>
      <c r="BX59" s="55">
        <f t="shared" si="86"/>
        <v>6.5789473684210522</v>
      </c>
      <c r="BY59" s="55">
        <f>BA59/$BB59*100</f>
        <v>7.8947368421052628</v>
      </c>
    </row>
    <row r="60" spans="1:153">
      <c r="K60" s="44"/>
      <c r="Q60" s="45"/>
      <c r="R60" s="45"/>
      <c r="S60" s="46"/>
      <c r="W60" s="43"/>
      <c r="X60" s="43"/>
      <c r="AB60" s="45"/>
      <c r="AC60" s="45"/>
      <c r="AD60" s="44"/>
      <c r="AO60" s="46"/>
      <c r="AR60" s="43"/>
      <c r="BR60" s="46"/>
      <c r="BS60" s="46"/>
      <c r="BT60" s="46"/>
      <c r="BZ60" s="44"/>
      <c r="CA60" s="44"/>
      <c r="CB60" s="44"/>
      <c r="CT60" s="45"/>
      <c r="CU60" s="45"/>
    </row>
    <row r="61" spans="1:153">
      <c r="K61" s="44"/>
      <c r="Q61" s="45"/>
      <c r="R61" s="45"/>
      <c r="S61" s="46"/>
      <c r="W61" s="43"/>
      <c r="X61" s="43"/>
      <c r="AB61" s="45"/>
      <c r="AC61" s="45"/>
      <c r="AD61" s="44"/>
      <c r="AO61" s="46"/>
      <c r="AQ61" s="43"/>
      <c r="BR61" s="46"/>
      <c r="BS61" s="46"/>
      <c r="BZ61" s="44"/>
      <c r="CA61" s="44"/>
      <c r="CT61" s="45"/>
      <c r="CU61" s="45"/>
    </row>
  </sheetData>
  <sortState ref="A41:FH52">
    <sortCondition ref="J41:J52"/>
  </sortState>
  <pageMargins left="0.25" right="0.25" top="0.5" bottom="0.5" header="0.5" footer="0.5"/>
  <pageSetup scale="45" fitToWidth="3" fitToHeight="0" orientation="landscape"/>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303"/>
  <sheetViews>
    <sheetView zoomScale="110" zoomScaleNormal="110" workbookViewId="0">
      <pane xSplit="2" ySplit="1" topLeftCell="J33" activePane="bottomRight" state="frozen"/>
      <selection pane="topRight"/>
      <selection pane="bottomLeft"/>
      <selection pane="bottomRight" activeCell="O27" sqref="O27"/>
    </sheetView>
  </sheetViews>
  <sheetFormatPr defaultColWidth="8" defaultRowHeight="11.25"/>
  <cols>
    <col min="1" max="1" width="8" style="187"/>
    <col min="2" max="2" width="9.125" style="187" customWidth="1"/>
    <col min="3" max="12" width="8" style="187"/>
    <col min="13" max="13" width="8.625" style="187"/>
    <col min="14" max="15" width="8" style="187"/>
    <col min="16" max="16" width="10.25" style="187" customWidth="1"/>
    <col min="17" max="19" width="9.25" style="187" customWidth="1"/>
    <col min="20" max="22" width="8.375" style="187" customWidth="1"/>
    <col min="23" max="23" width="8.375" style="188" customWidth="1"/>
    <col min="24" max="29" width="8.375" style="189" customWidth="1"/>
    <col min="30" max="30" width="8" style="189"/>
    <col min="31" max="16384" width="8" style="187"/>
  </cols>
  <sheetData>
    <row r="1" spans="1:29">
      <c r="A1" s="637" t="s">
        <v>833</v>
      </c>
      <c r="B1" s="637"/>
      <c r="C1" s="191" t="s">
        <v>834</v>
      </c>
      <c r="D1" s="191" t="s">
        <v>835</v>
      </c>
      <c r="E1" s="191" t="s">
        <v>836</v>
      </c>
      <c r="F1" s="191" t="s">
        <v>837</v>
      </c>
      <c r="G1" s="191" t="s">
        <v>838</v>
      </c>
      <c r="H1" s="191" t="s">
        <v>839</v>
      </c>
      <c r="I1" s="191" t="s">
        <v>840</v>
      </c>
      <c r="J1" s="191" t="s">
        <v>841</v>
      </c>
      <c r="K1" s="191" t="s">
        <v>842</v>
      </c>
      <c r="L1" s="191" t="s">
        <v>843</v>
      </c>
      <c r="M1" s="210" t="s">
        <v>844</v>
      </c>
      <c r="N1" s="191" t="s">
        <v>845</v>
      </c>
      <c r="O1" s="191" t="s">
        <v>846</v>
      </c>
    </row>
    <row r="2" spans="1:29">
      <c r="A2" s="637" t="s">
        <v>847</v>
      </c>
      <c r="B2" s="637"/>
      <c r="C2" s="192">
        <v>560</v>
      </c>
      <c r="D2" s="192">
        <v>570</v>
      </c>
      <c r="E2" s="192">
        <v>540</v>
      </c>
      <c r="F2" s="193">
        <v>523.70000000000005</v>
      </c>
      <c r="G2" s="192">
        <v>510</v>
      </c>
      <c r="H2" s="192">
        <v>476</v>
      </c>
      <c r="I2" s="192">
        <v>415</v>
      </c>
      <c r="J2" s="192">
        <v>390</v>
      </c>
      <c r="K2" s="192">
        <v>350</v>
      </c>
      <c r="L2" s="192">
        <v>529</v>
      </c>
      <c r="M2" s="192">
        <v>466</v>
      </c>
      <c r="N2" s="192">
        <v>529</v>
      </c>
      <c r="O2" s="192">
        <v>408</v>
      </c>
      <c r="Q2" s="215">
        <f>C2/3.2808</f>
        <v>170.69007559131919</v>
      </c>
      <c r="R2" s="215">
        <f t="shared" ref="R2:AC2" si="0">D2/3.2808</f>
        <v>173.73811265544987</v>
      </c>
      <c r="S2" s="215">
        <f t="shared" si="0"/>
        <v>164.59400146305779</v>
      </c>
      <c r="T2" s="215">
        <f t="shared" si="0"/>
        <v>159.62570104852475</v>
      </c>
      <c r="U2" s="215">
        <f t="shared" si="0"/>
        <v>155.44989027066569</v>
      </c>
      <c r="V2" s="215">
        <f t="shared" si="0"/>
        <v>145.08656425262132</v>
      </c>
      <c r="W2" s="216">
        <f t="shared" si="0"/>
        <v>126.49353816142404</v>
      </c>
      <c r="X2" s="217">
        <f t="shared" si="0"/>
        <v>118.87344550109729</v>
      </c>
      <c r="Y2" s="217">
        <f t="shared" si="0"/>
        <v>106.68129724457449</v>
      </c>
      <c r="Z2" s="217">
        <f t="shared" si="0"/>
        <v>161.241160692514</v>
      </c>
      <c r="AA2" s="217">
        <f t="shared" si="0"/>
        <v>142.0385271884906</v>
      </c>
      <c r="AB2" s="217">
        <f t="shared" si="0"/>
        <v>161.241160692514</v>
      </c>
      <c r="AC2" s="217">
        <f t="shared" si="0"/>
        <v>124.35991221653255</v>
      </c>
    </row>
    <row r="3" spans="1:29">
      <c r="A3" s="630" t="s">
        <v>848</v>
      </c>
      <c r="B3" s="630"/>
      <c r="C3" s="195">
        <v>61.4</v>
      </c>
      <c r="D3" s="195">
        <v>61.1</v>
      </c>
      <c r="E3" s="195">
        <v>57.8</v>
      </c>
      <c r="F3" s="195">
        <v>54.9</v>
      </c>
      <c r="G3" s="195">
        <v>53.3</v>
      </c>
      <c r="H3" s="195">
        <v>49.8</v>
      </c>
      <c r="I3" s="195">
        <v>45.8</v>
      </c>
      <c r="J3" s="195">
        <v>43.7</v>
      </c>
      <c r="K3" s="195">
        <v>40.4</v>
      </c>
      <c r="L3" s="196">
        <v>55</v>
      </c>
      <c r="M3" s="195">
        <v>59.6</v>
      </c>
      <c r="N3" s="196">
        <v>55</v>
      </c>
      <c r="O3" s="196">
        <v>45</v>
      </c>
      <c r="Q3" s="215">
        <f t="shared" ref="Q3:Q8" si="1">C3/3.2808</f>
        <v>18.714947573762494</v>
      </c>
      <c r="R3" s="215">
        <f t="shared" ref="R3:R8" si="2">D3/3.2808</f>
        <v>18.623506461838577</v>
      </c>
      <c r="S3" s="215">
        <f t="shared" ref="S3:S8" si="3">E3/3.2808</f>
        <v>17.617654230675445</v>
      </c>
      <c r="T3" s="215">
        <f t="shared" ref="T3:T8" si="4">F3/3.2808</f>
        <v>16.73372348207754</v>
      </c>
      <c r="U3" s="215">
        <f t="shared" ref="U3:U8" si="5">G3/3.2808</f>
        <v>16.246037551816627</v>
      </c>
      <c r="V3" s="215">
        <f t="shared" ref="V3:V8" si="6">H3/3.2808</f>
        <v>15.179224579370883</v>
      </c>
      <c r="W3" s="216">
        <f t="shared" ref="W3:W8" si="7">I3/3.2808</f>
        <v>13.960009753718603</v>
      </c>
      <c r="X3" s="217">
        <f t="shared" ref="X3:X8" si="8">J3/3.2808</f>
        <v>13.319921970251158</v>
      </c>
      <c r="Y3" s="217">
        <f t="shared" ref="Y3:Y8" si="9">K3/3.2808</f>
        <v>12.314069739088026</v>
      </c>
      <c r="Z3" s="217">
        <f t="shared" ref="Z3:Z8" si="10">L3/3.2808</f>
        <v>16.764203852718847</v>
      </c>
      <c r="AA3" s="217">
        <f t="shared" ref="AA3:AA8" si="11">M3/3.2808</f>
        <v>18.166300902218971</v>
      </c>
      <c r="AB3" s="217">
        <f t="shared" ref="AB3:AB8" si="12">N3/3.2808</f>
        <v>16.764203852718847</v>
      </c>
      <c r="AC3" s="217">
        <f t="shared" ref="AC3:AC8" si="13">O3/3.2808</f>
        <v>13.716166788588149</v>
      </c>
    </row>
    <row r="4" spans="1:29">
      <c r="A4" s="630" t="s">
        <v>849</v>
      </c>
      <c r="B4" s="630"/>
      <c r="C4" s="196">
        <v>42</v>
      </c>
      <c r="D4" s="195">
        <v>40.9</v>
      </c>
      <c r="E4" s="195">
        <v>40.799999999999997</v>
      </c>
      <c r="F4" s="195">
        <v>38.4</v>
      </c>
      <c r="G4" s="196">
        <v>39</v>
      </c>
      <c r="H4" s="195">
        <v>28.2</v>
      </c>
      <c r="I4" s="195">
        <v>28.8</v>
      </c>
      <c r="J4" s="195">
        <v>31.6</v>
      </c>
      <c r="K4" s="195">
        <v>28.8</v>
      </c>
      <c r="L4" s="196">
        <v>42</v>
      </c>
      <c r="M4" s="195">
        <v>41.8</v>
      </c>
      <c r="N4" s="196">
        <v>42</v>
      </c>
      <c r="O4" s="196">
        <v>30</v>
      </c>
      <c r="Q4" s="215">
        <f t="shared" si="1"/>
        <v>12.801755669348939</v>
      </c>
      <c r="R4" s="215">
        <f t="shared" si="2"/>
        <v>12.466471592294562</v>
      </c>
      <c r="S4" s="215">
        <f t="shared" si="3"/>
        <v>12.435991221653254</v>
      </c>
      <c r="T4" s="215">
        <f t="shared" si="4"/>
        <v>11.704462326261886</v>
      </c>
      <c r="U4" s="215">
        <f t="shared" si="5"/>
        <v>11.887344550109729</v>
      </c>
      <c r="V4" s="215">
        <f t="shared" si="6"/>
        <v>8.5954645208485729</v>
      </c>
      <c r="W4" s="216">
        <f t="shared" si="7"/>
        <v>8.7783467446964156</v>
      </c>
      <c r="X4" s="217">
        <f t="shared" si="8"/>
        <v>9.6317971226530119</v>
      </c>
      <c r="Y4" s="217">
        <f t="shared" si="9"/>
        <v>8.7783467446964156</v>
      </c>
      <c r="Z4" s="217">
        <f t="shared" si="10"/>
        <v>12.801755669348939</v>
      </c>
      <c r="AA4" s="217">
        <f t="shared" si="11"/>
        <v>12.740794928066324</v>
      </c>
      <c r="AB4" s="217">
        <f t="shared" si="12"/>
        <v>12.801755669348939</v>
      </c>
      <c r="AC4" s="217">
        <f t="shared" si="13"/>
        <v>9.1441111923920992</v>
      </c>
    </row>
    <row r="5" spans="1:29">
      <c r="A5" s="630" t="s">
        <v>850</v>
      </c>
      <c r="B5" s="630"/>
      <c r="C5" s="195">
        <v>20.5</v>
      </c>
      <c r="D5" s="195">
        <v>20.5</v>
      </c>
      <c r="E5" s="195">
        <v>20.3</v>
      </c>
      <c r="F5" s="195">
        <v>18.8</v>
      </c>
      <c r="G5" s="195">
        <v>16.5</v>
      </c>
      <c r="H5" s="195">
        <v>14.1</v>
      </c>
      <c r="I5" s="195">
        <v>14.8</v>
      </c>
      <c r="J5" s="195">
        <v>14.5</v>
      </c>
      <c r="K5" s="195">
        <v>13.5</v>
      </c>
      <c r="L5" s="196">
        <v>18</v>
      </c>
      <c r="M5" s="195">
        <v>20.7</v>
      </c>
      <c r="N5" s="195">
        <v>21.5</v>
      </c>
      <c r="O5" s="195">
        <v>14.5</v>
      </c>
      <c r="Q5" s="215">
        <f t="shared" si="1"/>
        <v>6.2484759814679345</v>
      </c>
      <c r="R5" s="215">
        <f t="shared" si="2"/>
        <v>6.2484759814679345</v>
      </c>
      <c r="S5" s="215">
        <f t="shared" si="3"/>
        <v>6.1875152401853208</v>
      </c>
      <c r="T5" s="215">
        <f t="shared" si="4"/>
        <v>5.7303096805657159</v>
      </c>
      <c r="U5" s="215">
        <f t="shared" si="5"/>
        <v>5.0292611558156546</v>
      </c>
      <c r="V5" s="215">
        <f t="shared" si="6"/>
        <v>4.2977322604242865</v>
      </c>
      <c r="W5" s="216">
        <f t="shared" si="7"/>
        <v>4.511094854913436</v>
      </c>
      <c r="X5" s="217">
        <f t="shared" si="8"/>
        <v>4.4196537429895146</v>
      </c>
      <c r="Y5" s="217">
        <f t="shared" si="9"/>
        <v>4.1148500365764447</v>
      </c>
      <c r="Z5" s="217">
        <f t="shared" si="10"/>
        <v>5.4864667154352595</v>
      </c>
      <c r="AA5" s="217">
        <f t="shared" si="11"/>
        <v>6.3094367227505481</v>
      </c>
      <c r="AB5" s="217">
        <f t="shared" si="12"/>
        <v>6.5532796878810045</v>
      </c>
      <c r="AC5" s="217">
        <f t="shared" si="13"/>
        <v>4.4196537429895146</v>
      </c>
    </row>
    <row r="6" spans="1:29">
      <c r="A6" s="630" t="s">
        <v>851</v>
      </c>
      <c r="B6" s="630"/>
      <c r="C6" s="197">
        <v>0.63</v>
      </c>
      <c r="D6" s="197">
        <v>0.61799999999999999</v>
      </c>
      <c r="E6" s="197">
        <v>0.627</v>
      </c>
      <c r="F6" s="197">
        <v>0.63</v>
      </c>
      <c r="G6" s="197">
        <v>0.58099999999999996</v>
      </c>
      <c r="H6" s="197">
        <v>0.61099999999999999</v>
      </c>
      <c r="I6" s="197">
        <v>0.59299999999999997</v>
      </c>
      <c r="J6" s="197">
        <v>0.57999999999999996</v>
      </c>
      <c r="K6" s="197">
        <v>0.622</v>
      </c>
      <c r="L6" s="197">
        <v>0.56000000000000005</v>
      </c>
      <c r="M6" s="197">
        <v>0.61499999999999999</v>
      </c>
      <c r="N6" s="197">
        <v>0.59299999999999997</v>
      </c>
      <c r="O6" s="197">
        <v>0.59599999999999997</v>
      </c>
      <c r="Q6" s="215">
        <f t="shared" si="1"/>
        <v>0.19202633504023409</v>
      </c>
      <c r="R6" s="215">
        <f t="shared" si="2"/>
        <v>0.18836869056327724</v>
      </c>
      <c r="S6" s="215">
        <f t="shared" si="3"/>
        <v>0.19111192392099488</v>
      </c>
      <c r="T6" s="215">
        <f t="shared" si="4"/>
        <v>0.19202633504023409</v>
      </c>
      <c r="U6" s="215">
        <f t="shared" si="5"/>
        <v>0.17709095342599365</v>
      </c>
      <c r="V6" s="215">
        <f t="shared" si="6"/>
        <v>0.18623506461838574</v>
      </c>
      <c r="W6" s="216">
        <f t="shared" si="7"/>
        <v>0.18074859790295048</v>
      </c>
      <c r="X6" s="217">
        <f t="shared" si="8"/>
        <v>0.17678614971958057</v>
      </c>
      <c r="Y6" s="217">
        <f t="shared" si="9"/>
        <v>0.18958790538892953</v>
      </c>
      <c r="Z6" s="217">
        <f t="shared" si="10"/>
        <v>0.17069007559131918</v>
      </c>
      <c r="AA6" s="217">
        <f t="shared" si="11"/>
        <v>0.18745427944403803</v>
      </c>
      <c r="AB6" s="217">
        <f t="shared" si="12"/>
        <v>0.18074859790295048</v>
      </c>
      <c r="AC6" s="217">
        <f t="shared" si="13"/>
        <v>0.18166300902218968</v>
      </c>
    </row>
    <row r="7" spans="1:29">
      <c r="A7" s="630" t="s">
        <v>852</v>
      </c>
      <c r="B7" s="630"/>
      <c r="C7" s="197">
        <v>0.82299999999999995</v>
      </c>
      <c r="D7" s="197">
        <v>0.81299999999999994</v>
      </c>
      <c r="E7" s="197">
        <v>0.81799999999999995</v>
      </c>
      <c r="F7" s="197">
        <v>0.82599999999999996</v>
      </c>
      <c r="G7" s="197">
        <v>0.80600000000000005</v>
      </c>
      <c r="H7" s="197">
        <v>0.80100000000000005</v>
      </c>
      <c r="I7" s="197">
        <v>0.80800000000000005</v>
      </c>
      <c r="J7" s="197">
        <v>0.79600000000000004</v>
      </c>
      <c r="K7" s="197">
        <v>0.79600000000000004</v>
      </c>
      <c r="L7" s="197">
        <v>0.82299999999999995</v>
      </c>
      <c r="M7" s="197">
        <v>0.82199999999999995</v>
      </c>
      <c r="N7" s="197">
        <v>0.85</v>
      </c>
      <c r="O7" s="197">
        <v>0.75</v>
      </c>
      <c r="Q7" s="215">
        <f t="shared" si="1"/>
        <v>0.25085345037795659</v>
      </c>
      <c r="R7" s="215">
        <f t="shared" si="2"/>
        <v>0.24780541331382586</v>
      </c>
      <c r="S7" s="215">
        <f t="shared" si="3"/>
        <v>0.24932943184589121</v>
      </c>
      <c r="T7" s="215">
        <f t="shared" si="4"/>
        <v>0.25176786149719577</v>
      </c>
      <c r="U7" s="215">
        <f t="shared" si="5"/>
        <v>0.24567178736893441</v>
      </c>
      <c r="V7" s="215">
        <f t="shared" si="6"/>
        <v>0.24414776883686906</v>
      </c>
      <c r="W7" s="216">
        <f t="shared" si="7"/>
        <v>0.24628139478176056</v>
      </c>
      <c r="X7" s="217">
        <f t="shared" si="8"/>
        <v>0.24262375030480371</v>
      </c>
      <c r="Y7" s="217">
        <f t="shared" si="9"/>
        <v>0.24262375030480371</v>
      </c>
      <c r="Z7" s="217">
        <f t="shared" si="10"/>
        <v>0.25085345037795659</v>
      </c>
      <c r="AA7" s="217">
        <f t="shared" si="11"/>
        <v>0.25054864667154347</v>
      </c>
      <c r="AB7" s="217">
        <f t="shared" si="12"/>
        <v>0.25908315045110947</v>
      </c>
      <c r="AC7" s="217">
        <f t="shared" si="13"/>
        <v>0.22860277980980248</v>
      </c>
    </row>
    <row r="8" spans="1:29">
      <c r="A8" s="630" t="s">
        <v>853</v>
      </c>
      <c r="B8" s="630"/>
      <c r="C8" s="197">
        <v>0.72199999999999998</v>
      </c>
      <c r="D8" s="197">
        <v>0.75900000000000001</v>
      </c>
      <c r="E8" s="197">
        <v>0.76</v>
      </c>
      <c r="F8" s="197">
        <v>0.74299999999999999</v>
      </c>
      <c r="G8" s="197">
        <v>0.71699999999999997</v>
      </c>
      <c r="H8" s="197">
        <v>0.748</v>
      </c>
      <c r="I8" s="197">
        <v>0.73499999999999999</v>
      </c>
      <c r="J8" s="197">
        <v>0.72799999999999998</v>
      </c>
      <c r="K8" s="197">
        <v>0.72099999999999997</v>
      </c>
      <c r="L8" s="197">
        <v>0.72399999999999998</v>
      </c>
      <c r="M8" s="200"/>
      <c r="N8" s="197">
        <v>0.75</v>
      </c>
      <c r="O8" s="197">
        <v>0.72799999999999998</v>
      </c>
      <c r="Q8" s="215">
        <f t="shared" si="1"/>
        <v>0.22006827603023651</v>
      </c>
      <c r="R8" s="215">
        <f t="shared" si="2"/>
        <v>0.2313460131675201</v>
      </c>
      <c r="S8" s="215">
        <f t="shared" si="3"/>
        <v>0.23165081687393319</v>
      </c>
      <c r="T8" s="215">
        <f t="shared" si="4"/>
        <v>0.22646915386491098</v>
      </c>
      <c r="U8" s="215">
        <f t="shared" si="5"/>
        <v>0.21854425749817116</v>
      </c>
      <c r="V8" s="215">
        <f t="shared" si="6"/>
        <v>0.22799317239697633</v>
      </c>
      <c r="W8" s="216">
        <f t="shared" si="7"/>
        <v>0.22403072421360642</v>
      </c>
      <c r="X8" s="217">
        <f t="shared" si="8"/>
        <v>0.22189709826871493</v>
      </c>
      <c r="Y8" s="217">
        <f t="shared" si="9"/>
        <v>0.21976347232382343</v>
      </c>
      <c r="Z8" s="217">
        <f t="shared" si="10"/>
        <v>0.22067788344306266</v>
      </c>
      <c r="AA8" s="217">
        <f t="shared" si="11"/>
        <v>0</v>
      </c>
      <c r="AB8" s="217">
        <f t="shared" si="12"/>
        <v>0.22860277980980248</v>
      </c>
      <c r="AC8" s="217">
        <f t="shared" si="13"/>
        <v>0.22189709826871493</v>
      </c>
    </row>
    <row r="9" spans="1:29">
      <c r="A9" s="630" t="s">
        <v>854</v>
      </c>
      <c r="B9" s="630"/>
      <c r="C9" s="198">
        <v>500</v>
      </c>
      <c r="D9" s="198">
        <v>545</v>
      </c>
      <c r="E9" s="198">
        <v>501</v>
      </c>
      <c r="F9" s="198">
        <v>420</v>
      </c>
      <c r="G9" s="198">
        <v>395</v>
      </c>
      <c r="H9" s="198">
        <v>385</v>
      </c>
      <c r="I9" s="198">
        <v>257</v>
      </c>
      <c r="J9" s="198">
        <v>243</v>
      </c>
      <c r="K9" s="198">
        <v>196</v>
      </c>
      <c r="L9" s="198">
        <v>372</v>
      </c>
      <c r="M9" s="198">
        <v>341</v>
      </c>
      <c r="N9" s="198">
        <v>344</v>
      </c>
      <c r="O9" s="198">
        <v>185</v>
      </c>
      <c r="Q9" s="215"/>
      <c r="R9" s="215"/>
      <c r="S9" s="215"/>
      <c r="T9" s="215"/>
      <c r="U9" s="215"/>
      <c r="V9" s="215"/>
      <c r="W9" s="216"/>
      <c r="X9" s="217"/>
      <c r="Y9" s="217"/>
      <c r="Z9" s="217"/>
      <c r="AA9" s="217"/>
      <c r="AB9" s="217"/>
      <c r="AC9" s="217"/>
    </row>
    <row r="10" spans="1:29">
      <c r="A10" s="199"/>
      <c r="B10" s="194" t="s">
        <v>855</v>
      </c>
      <c r="C10" s="198">
        <v>37</v>
      </c>
      <c r="D10" s="198">
        <v>35</v>
      </c>
      <c r="E10" s="200"/>
      <c r="F10" s="200"/>
      <c r="G10" s="200"/>
      <c r="H10" s="200"/>
      <c r="I10" s="200"/>
      <c r="J10" s="200"/>
      <c r="K10" s="200"/>
      <c r="L10" s="198">
        <v>33</v>
      </c>
      <c r="M10" s="200"/>
      <c r="N10" s="200"/>
      <c r="O10" s="198">
        <v>17</v>
      </c>
      <c r="Q10" s="215"/>
      <c r="R10" s="215"/>
      <c r="S10" s="215"/>
      <c r="T10" s="215"/>
      <c r="U10" s="215"/>
      <c r="V10" s="215"/>
      <c r="W10" s="216"/>
      <c r="X10" s="217"/>
      <c r="Y10" s="217"/>
      <c r="Z10" s="217"/>
      <c r="AA10" s="217"/>
      <c r="AB10" s="217"/>
      <c r="AC10" s="217"/>
    </row>
    <row r="11" spans="1:29">
      <c r="A11" s="199"/>
      <c r="B11" s="194" t="s">
        <v>856</v>
      </c>
      <c r="C11" s="198">
        <v>44</v>
      </c>
      <c r="D11" s="198">
        <v>33</v>
      </c>
      <c r="E11" s="200"/>
      <c r="F11" s="200"/>
      <c r="G11" s="200"/>
      <c r="H11" s="200"/>
      <c r="I11" s="200"/>
      <c r="J11" s="200"/>
      <c r="K11" s="200"/>
      <c r="L11" s="198">
        <v>21</v>
      </c>
      <c r="M11" s="200"/>
      <c r="N11" s="200"/>
      <c r="O11" s="198">
        <v>15</v>
      </c>
      <c r="Q11" s="215"/>
      <c r="R11" s="215"/>
      <c r="S11" s="215"/>
      <c r="T11" s="215"/>
      <c r="U11" s="215"/>
      <c r="V11" s="215"/>
      <c r="W11" s="216"/>
      <c r="X11" s="217"/>
      <c r="Y11" s="217"/>
      <c r="Z11" s="217"/>
      <c r="AA11" s="217"/>
      <c r="AB11" s="217"/>
      <c r="AC11" s="217"/>
    </row>
    <row r="12" spans="1:29">
      <c r="A12" s="199"/>
      <c r="B12" s="194" t="s">
        <v>857</v>
      </c>
      <c r="C12" s="198">
        <v>419</v>
      </c>
      <c r="D12" s="198">
        <v>477</v>
      </c>
      <c r="E12" s="200"/>
      <c r="F12" s="200"/>
      <c r="G12" s="200"/>
      <c r="H12" s="200"/>
      <c r="I12" s="200"/>
      <c r="J12" s="200"/>
      <c r="K12" s="200"/>
      <c r="L12" s="198">
        <v>318</v>
      </c>
      <c r="M12" s="200"/>
      <c r="N12" s="200"/>
      <c r="O12" s="198">
        <v>153</v>
      </c>
      <c r="Q12" s="215"/>
      <c r="R12" s="215"/>
      <c r="S12" s="215"/>
      <c r="T12" s="215"/>
      <c r="U12" s="215"/>
      <c r="V12" s="215"/>
      <c r="W12" s="216"/>
      <c r="X12" s="217"/>
      <c r="Y12" s="217"/>
      <c r="Z12" s="217"/>
      <c r="AA12" s="217"/>
      <c r="AB12" s="217"/>
      <c r="AC12" s="217"/>
    </row>
    <row r="13" spans="1:29">
      <c r="A13" s="630" t="s">
        <v>858</v>
      </c>
      <c r="B13" s="630"/>
      <c r="C13" s="201">
        <v>6292</v>
      </c>
      <c r="D13" s="201">
        <v>6559</v>
      </c>
      <c r="E13" s="201">
        <v>9416</v>
      </c>
      <c r="F13" s="201">
        <v>7712</v>
      </c>
      <c r="G13" s="201">
        <v>7603</v>
      </c>
      <c r="H13" s="201">
        <v>5056</v>
      </c>
      <c r="I13" s="201">
        <v>4016</v>
      </c>
      <c r="J13" s="201">
        <v>2358</v>
      </c>
      <c r="K13" s="201">
        <v>4384</v>
      </c>
      <c r="L13" s="201">
        <v>8115</v>
      </c>
      <c r="M13" s="200"/>
      <c r="N13" s="201">
        <v>5580</v>
      </c>
      <c r="O13" s="201">
        <v>4438</v>
      </c>
      <c r="Q13" s="215">
        <f>C13/3.2808^2</f>
        <v>584.560144096268</v>
      </c>
      <c r="R13" s="215">
        <f t="shared" ref="R13:AC13" si="14">D13/3.2808^2</f>
        <v>609.36585904758772</v>
      </c>
      <c r="S13" s="215">
        <f t="shared" si="14"/>
        <v>874.7962995566528</v>
      </c>
      <c r="T13" s="215">
        <f t="shared" si="14"/>
        <v>716.48566930553386</v>
      </c>
      <c r="U13" s="215">
        <f t="shared" si="14"/>
        <v>706.35899166623108</v>
      </c>
      <c r="V13" s="215">
        <f t="shared" si="14"/>
        <v>469.72919398454087</v>
      </c>
      <c r="W13" s="216">
        <f t="shared" si="14"/>
        <v>373.1076825636701</v>
      </c>
      <c r="X13" s="217">
        <f t="shared" si="14"/>
        <v>219.07069608693578</v>
      </c>
      <c r="Y13" s="217">
        <f t="shared" si="14"/>
        <v>407.29683275874743</v>
      </c>
      <c r="Z13" s="217">
        <f t="shared" si="14"/>
        <v>753.9265049811213</v>
      </c>
      <c r="AA13" s="217"/>
      <c r="AB13" s="217">
        <f t="shared" si="14"/>
        <v>518.41157089274884</v>
      </c>
      <c r="AC13" s="217">
        <f t="shared" si="14"/>
        <v>412.3137189286773</v>
      </c>
    </row>
    <row r="14" spans="1:29">
      <c r="A14" s="630" t="s">
        <v>859</v>
      </c>
      <c r="B14" s="630"/>
      <c r="C14" s="198">
        <v>5</v>
      </c>
      <c r="D14" s="198">
        <v>5</v>
      </c>
      <c r="E14" s="198">
        <v>4</v>
      </c>
      <c r="F14" s="198">
        <v>4</v>
      </c>
      <c r="G14" s="198">
        <v>4</v>
      </c>
      <c r="H14" s="198">
        <v>3</v>
      </c>
      <c r="I14" s="198">
        <v>4</v>
      </c>
      <c r="J14" s="198">
        <v>3</v>
      </c>
      <c r="K14" s="198">
        <v>3</v>
      </c>
      <c r="L14" s="198">
        <v>5</v>
      </c>
      <c r="M14" s="200"/>
      <c r="N14" s="198">
        <v>4</v>
      </c>
      <c r="O14" s="198">
        <v>4</v>
      </c>
      <c r="Q14" s="215"/>
      <c r="R14" s="215"/>
      <c r="S14" s="215"/>
      <c r="T14" s="215"/>
      <c r="U14" s="215"/>
      <c r="V14" s="215"/>
      <c r="W14" s="216"/>
      <c r="X14" s="217"/>
      <c r="Y14" s="217"/>
      <c r="Z14" s="217"/>
      <c r="AA14" s="217"/>
      <c r="AB14" s="217"/>
      <c r="AC14" s="217"/>
    </row>
    <row r="15" spans="1:29">
      <c r="A15" s="630" t="s">
        <v>860</v>
      </c>
      <c r="B15" s="630"/>
      <c r="C15" s="198">
        <v>5</v>
      </c>
      <c r="D15" s="198">
        <v>4</v>
      </c>
      <c r="E15" s="198">
        <v>5</v>
      </c>
      <c r="F15" s="198">
        <v>5</v>
      </c>
      <c r="G15" s="198">
        <v>5</v>
      </c>
      <c r="H15" s="198">
        <v>5</v>
      </c>
      <c r="I15" s="198">
        <v>2</v>
      </c>
      <c r="J15" s="198">
        <v>2</v>
      </c>
      <c r="K15" s="198">
        <v>4</v>
      </c>
      <c r="L15" s="198">
        <v>5</v>
      </c>
      <c r="M15" s="200"/>
      <c r="N15" s="198">
        <v>3</v>
      </c>
      <c r="O15" s="198">
        <v>2</v>
      </c>
      <c r="Q15" s="215"/>
      <c r="R15" s="215"/>
      <c r="S15" s="215"/>
      <c r="T15" s="215"/>
      <c r="U15" s="215"/>
      <c r="V15" s="215"/>
      <c r="W15" s="216"/>
      <c r="X15" s="217"/>
      <c r="Y15" s="217"/>
      <c r="Z15" s="217"/>
      <c r="AA15" s="217"/>
      <c r="AB15" s="217"/>
      <c r="AC15" s="217"/>
    </row>
    <row r="16" spans="1:29">
      <c r="A16" s="630" t="s">
        <v>861</v>
      </c>
      <c r="B16" s="630"/>
      <c r="C16" s="201">
        <v>14441</v>
      </c>
      <c r="D16" s="201">
        <v>14244</v>
      </c>
      <c r="E16" s="201">
        <v>12729</v>
      </c>
      <c r="F16" s="201">
        <v>11043</v>
      </c>
      <c r="G16" s="201">
        <v>10607</v>
      </c>
      <c r="H16" s="201">
        <v>6681</v>
      </c>
      <c r="I16" s="201">
        <v>5459</v>
      </c>
      <c r="J16" s="201">
        <v>5389</v>
      </c>
      <c r="K16" s="201">
        <v>4073</v>
      </c>
      <c r="L16" s="201">
        <v>12220</v>
      </c>
      <c r="M16" s="201">
        <v>11609</v>
      </c>
      <c r="N16" s="201">
        <v>12220</v>
      </c>
      <c r="O16" s="201">
        <v>5508</v>
      </c>
      <c r="Q16" s="215">
        <f>C16/3.2808^3*100</f>
        <v>40893.849953013174</v>
      </c>
      <c r="R16" s="215">
        <f t="shared" ref="R16:AC16" si="15">D16/3.2808^3*100</f>
        <v>40335.987724584149</v>
      </c>
      <c r="S16" s="215">
        <f t="shared" si="15"/>
        <v>36045.828962807609</v>
      </c>
      <c r="T16" s="215">
        <f t="shared" si="15"/>
        <v>31271.434459602831</v>
      </c>
      <c r="U16" s="215">
        <f t="shared" si="15"/>
        <v>30036.774908358886</v>
      </c>
      <c r="V16" s="215">
        <f t="shared" si="15"/>
        <v>18919.17537124029</v>
      </c>
      <c r="W16" s="216">
        <f t="shared" si="15"/>
        <v>15458.730482203373</v>
      </c>
      <c r="X16" s="217">
        <f t="shared" si="15"/>
        <v>15260.505324893566</v>
      </c>
      <c r="Y16" s="217">
        <f t="shared" si="15"/>
        <v>11533.872367469196</v>
      </c>
      <c r="Z16" s="217">
        <f t="shared" si="15"/>
        <v>34604.448890369153</v>
      </c>
      <c r="AA16" s="217">
        <f t="shared" si="15"/>
        <v>32874.226445850698</v>
      </c>
      <c r="AB16" s="217">
        <f t="shared" si="15"/>
        <v>34604.448890369153</v>
      </c>
      <c r="AC16" s="217">
        <f t="shared" si="15"/>
        <v>15597.488092320236</v>
      </c>
    </row>
    <row r="17" spans="1:29">
      <c r="A17" s="194"/>
      <c r="B17" s="194"/>
      <c r="C17" s="201"/>
      <c r="D17" s="201"/>
      <c r="E17" s="201"/>
      <c r="F17" s="201"/>
      <c r="G17" s="201"/>
      <c r="H17" s="201"/>
      <c r="I17" s="201"/>
      <c r="J17" s="201"/>
      <c r="K17" s="201"/>
      <c r="L17" s="201"/>
      <c r="M17" s="201"/>
      <c r="N17" s="201"/>
      <c r="O17" s="201"/>
      <c r="P17" s="187" t="s">
        <v>862</v>
      </c>
      <c r="Q17" s="215">
        <f>Q16*C9</f>
        <v>20446924.976506587</v>
      </c>
      <c r="R17" s="215">
        <f t="shared" ref="R17:AC17" si="16">R16*D9</f>
        <v>21983113.309898362</v>
      </c>
      <c r="S17" s="215">
        <f t="shared" si="16"/>
        <v>18058960.310366612</v>
      </c>
      <c r="T17" s="215">
        <f t="shared" si="16"/>
        <v>13134002.47303319</v>
      </c>
      <c r="U17" s="215">
        <f t="shared" si="16"/>
        <v>11864526.08880176</v>
      </c>
      <c r="V17" s="215">
        <f t="shared" si="16"/>
        <v>7283882.5179275116</v>
      </c>
      <c r="W17" s="216">
        <f t="shared" si="16"/>
        <v>3972893.7339262669</v>
      </c>
      <c r="X17" s="215">
        <f t="shared" si="16"/>
        <v>3708302.7939491365</v>
      </c>
      <c r="Y17" s="215">
        <f t="shared" si="16"/>
        <v>2260638.9840239622</v>
      </c>
      <c r="Z17" s="215">
        <f t="shared" si="16"/>
        <v>12872854.987217326</v>
      </c>
      <c r="AA17" s="215">
        <f t="shared" si="16"/>
        <v>11210111.218035089</v>
      </c>
      <c r="AB17" s="215">
        <f t="shared" si="16"/>
        <v>11903930.418286989</v>
      </c>
      <c r="AC17" s="215">
        <f t="shared" si="16"/>
        <v>2885535.2970792437</v>
      </c>
    </row>
    <row r="18" spans="1:29">
      <c r="A18" s="194"/>
      <c r="B18" s="194"/>
      <c r="C18" s="201"/>
      <c r="D18" s="201"/>
      <c r="E18" s="201"/>
      <c r="F18" s="201"/>
      <c r="G18" s="201"/>
      <c r="H18" s="201"/>
      <c r="I18" s="201"/>
      <c r="J18" s="201"/>
      <c r="K18" s="201"/>
      <c r="L18" s="201"/>
      <c r="M18" s="201"/>
      <c r="N18" s="201"/>
      <c r="O18" s="201"/>
      <c r="Q18" s="215">
        <f>Q16/100</f>
        <v>408.93849953013176</v>
      </c>
      <c r="R18" s="215">
        <f t="shared" ref="R18:AC18" si="17">R16/100</f>
        <v>403.35987724584152</v>
      </c>
      <c r="S18" s="215">
        <f t="shared" si="17"/>
        <v>360.4582896280761</v>
      </c>
      <c r="T18" s="215">
        <f t="shared" si="17"/>
        <v>312.7143445960283</v>
      </c>
      <c r="U18" s="215">
        <f t="shared" si="17"/>
        <v>300.36774908358888</v>
      </c>
      <c r="V18" s="215">
        <f t="shared" si="17"/>
        <v>189.19175371240289</v>
      </c>
      <c r="W18" s="216">
        <f t="shared" si="17"/>
        <v>154.58730482203373</v>
      </c>
      <c r="X18" s="215">
        <f t="shared" si="17"/>
        <v>152.60505324893566</v>
      </c>
      <c r="Y18" s="215">
        <f t="shared" si="17"/>
        <v>115.33872367469195</v>
      </c>
      <c r="Z18" s="215">
        <f t="shared" si="17"/>
        <v>346.0444889036915</v>
      </c>
      <c r="AA18" s="215">
        <f t="shared" si="17"/>
        <v>328.74226445850695</v>
      </c>
      <c r="AB18" s="215">
        <f t="shared" si="17"/>
        <v>346.0444889036915</v>
      </c>
      <c r="AC18" s="215">
        <f t="shared" si="17"/>
        <v>155.97488092320236</v>
      </c>
    </row>
    <row r="19" spans="1:29">
      <c r="A19" s="194"/>
      <c r="B19" s="194"/>
      <c r="C19" s="201"/>
      <c r="D19" s="201"/>
      <c r="E19" s="201"/>
      <c r="F19" s="201"/>
      <c r="G19" s="201"/>
      <c r="H19" s="201"/>
      <c r="I19" s="201"/>
      <c r="J19" s="201"/>
      <c r="K19" s="201"/>
      <c r="L19" s="201"/>
      <c r="M19" s="201"/>
      <c r="N19" s="201"/>
      <c r="O19" s="201"/>
      <c r="P19" s="187" t="s">
        <v>662</v>
      </c>
      <c r="Q19" s="215">
        <f>Q2*(Q3+Q4)</f>
        <v>5379.5884589558655</v>
      </c>
      <c r="R19" s="215">
        <f t="shared" ref="R19:AC19" si="18">R2*(R3+R4)</f>
        <v>5401.5141096244479</v>
      </c>
      <c r="S19" s="215">
        <f t="shared" si="18"/>
        <v>4946.6497635508103</v>
      </c>
      <c r="T19" s="215">
        <f t="shared" si="18"/>
        <v>4539.465346204388</v>
      </c>
      <c r="U19" s="215">
        <f t="shared" si="18"/>
        <v>4373.3311606871621</v>
      </c>
      <c r="V19" s="215">
        <f t="shared" si="18"/>
        <v>3449.3879577250855</v>
      </c>
      <c r="W19" s="216">
        <f t="shared" si="18"/>
        <v>2876.2551654603244</v>
      </c>
      <c r="X19" s="217">
        <f t="shared" si="18"/>
        <v>2728.349928746838</v>
      </c>
      <c r="Y19" s="217">
        <f t="shared" si="18"/>
        <v>2250.1663525129707</v>
      </c>
      <c r="Z19" s="217">
        <f t="shared" si="18"/>
        <v>4767.2496303260959</v>
      </c>
      <c r="AA19" s="217">
        <f t="shared" si="18"/>
        <v>4389.9983714072623</v>
      </c>
      <c r="AB19" s="217">
        <f t="shared" si="18"/>
        <v>4767.2496303260959</v>
      </c>
      <c r="AC19" s="217">
        <f t="shared" si="18"/>
        <v>2842.9021629602357</v>
      </c>
    </row>
    <row r="20" spans="1:29">
      <c r="A20" s="194"/>
      <c r="B20" s="194"/>
      <c r="C20" s="201"/>
      <c r="D20" s="201"/>
      <c r="E20" s="201"/>
      <c r="F20" s="201"/>
      <c r="G20" s="201"/>
      <c r="H20" s="201"/>
      <c r="I20" s="201"/>
      <c r="J20" s="201"/>
      <c r="K20" s="201"/>
      <c r="L20" s="201"/>
      <c r="M20" s="201"/>
      <c r="N20" s="201"/>
      <c r="O20" s="201"/>
      <c r="P20" s="187" t="s">
        <v>663</v>
      </c>
      <c r="Q20" s="215">
        <f>Q2*(Q3+2*Q4)</f>
        <v>7564.721101858634</v>
      </c>
      <c r="R20" s="215">
        <f t="shared" ref="R20:AC20" si="19">R2*(R3+2*R4)</f>
        <v>7567.4153555424855</v>
      </c>
      <c r="S20" s="215">
        <f t="shared" si="19"/>
        <v>6993.5393208821788</v>
      </c>
      <c r="T20" s="215">
        <f t="shared" si="19"/>
        <v>6407.7983504299891</v>
      </c>
      <c r="U20" s="215">
        <f t="shared" si="19"/>
        <v>6221.2175666113162</v>
      </c>
      <c r="V20" s="215">
        <f t="shared" si="19"/>
        <v>4696.4743732103088</v>
      </c>
      <c r="W20" s="216">
        <f t="shared" si="19"/>
        <v>3986.6593044047931</v>
      </c>
      <c r="X20" s="217">
        <f t="shared" si="19"/>
        <v>3873.3148390841566</v>
      </c>
      <c r="Y20" s="217">
        <f t="shared" si="19"/>
        <v>3186.6517708998722</v>
      </c>
      <c r="Z20" s="217">
        <f t="shared" si="19"/>
        <v>6831.41957335389</v>
      </c>
      <c r="AA20" s="217">
        <f t="shared" si="19"/>
        <v>6199.6821182003951</v>
      </c>
      <c r="AB20" s="217">
        <f t="shared" si="19"/>
        <v>6831.41957335389</v>
      </c>
      <c r="AC20" s="217">
        <f t="shared" si="19"/>
        <v>3980.0630281443296</v>
      </c>
    </row>
    <row r="21" spans="1:29">
      <c r="A21" s="630" t="s">
        <v>863</v>
      </c>
      <c r="B21" s="630"/>
      <c r="C21" s="201">
        <v>50000</v>
      </c>
      <c r="D21" s="201">
        <v>35000</v>
      </c>
      <c r="E21" s="201">
        <v>35000</v>
      </c>
      <c r="F21" s="201">
        <v>42500</v>
      </c>
      <c r="G21" s="201">
        <v>42500</v>
      </c>
      <c r="H21" s="201">
        <v>40000</v>
      </c>
      <c r="I21" s="201">
        <v>35000</v>
      </c>
      <c r="J21" s="201">
        <v>35000</v>
      </c>
      <c r="K21" s="201">
        <v>20000</v>
      </c>
      <c r="L21" s="201">
        <v>40000</v>
      </c>
      <c r="M21" s="201">
        <v>50270</v>
      </c>
      <c r="N21" s="201">
        <v>40000</v>
      </c>
      <c r="O21" s="201">
        <v>40000</v>
      </c>
      <c r="Q21" s="215"/>
      <c r="R21" s="215"/>
      <c r="S21" s="215"/>
      <c r="T21" s="215"/>
      <c r="U21" s="215"/>
      <c r="V21" s="215"/>
      <c r="W21" s="216"/>
      <c r="X21" s="217"/>
      <c r="Y21" s="217"/>
      <c r="Z21" s="217"/>
      <c r="AA21" s="217"/>
      <c r="AB21" s="217"/>
      <c r="AC21" s="217"/>
    </row>
    <row r="22" spans="1:29">
      <c r="A22" s="630" t="s">
        <v>864</v>
      </c>
      <c r="B22" s="630"/>
      <c r="C22" s="198">
        <v>2</v>
      </c>
      <c r="D22" s="198">
        <v>2</v>
      </c>
      <c r="E22" s="198">
        <v>2</v>
      </c>
      <c r="F22" s="198">
        <v>2</v>
      </c>
      <c r="G22" s="198">
        <v>2</v>
      </c>
      <c r="H22" s="198">
        <v>2</v>
      </c>
      <c r="I22" s="198">
        <v>1</v>
      </c>
      <c r="J22" s="198">
        <v>1</v>
      </c>
      <c r="K22" s="198">
        <v>1</v>
      </c>
      <c r="L22" s="198">
        <v>2</v>
      </c>
      <c r="M22" s="198">
        <v>2</v>
      </c>
      <c r="N22" s="198">
        <v>2</v>
      </c>
      <c r="O22" s="198">
        <v>1</v>
      </c>
      <c r="Q22" s="215"/>
      <c r="R22" s="215"/>
      <c r="S22" s="215"/>
      <c r="T22" s="215"/>
      <c r="U22" s="215"/>
      <c r="V22" s="215"/>
      <c r="W22" s="216"/>
      <c r="X22" s="217"/>
      <c r="Y22" s="217"/>
      <c r="Z22" s="217"/>
      <c r="AA22" s="217"/>
      <c r="AB22" s="217"/>
      <c r="AC22" s="217"/>
    </row>
    <row r="23" spans="1:29">
      <c r="A23" s="630" t="s">
        <v>865</v>
      </c>
      <c r="B23" s="630"/>
      <c r="C23" s="198">
        <f t="shared" ref="C23:O23" si="20">C22*C21</f>
        <v>100000</v>
      </c>
      <c r="D23" s="198">
        <f t="shared" si="20"/>
        <v>70000</v>
      </c>
      <c r="E23" s="198">
        <f t="shared" si="20"/>
        <v>70000</v>
      </c>
      <c r="F23" s="198">
        <f t="shared" si="20"/>
        <v>85000</v>
      </c>
      <c r="G23" s="198">
        <f t="shared" si="20"/>
        <v>85000</v>
      </c>
      <c r="H23" s="198">
        <f t="shared" si="20"/>
        <v>80000</v>
      </c>
      <c r="I23" s="198">
        <f t="shared" si="20"/>
        <v>35000</v>
      </c>
      <c r="J23" s="198">
        <f t="shared" si="20"/>
        <v>35000</v>
      </c>
      <c r="K23" s="198">
        <f t="shared" si="20"/>
        <v>20000</v>
      </c>
      <c r="L23" s="198">
        <f t="shared" si="20"/>
        <v>80000</v>
      </c>
      <c r="M23" s="198">
        <f t="shared" si="20"/>
        <v>100540</v>
      </c>
      <c r="N23" s="198">
        <f t="shared" si="20"/>
        <v>80000</v>
      </c>
      <c r="O23" s="198">
        <f t="shared" si="20"/>
        <v>40000</v>
      </c>
      <c r="Q23" s="215">
        <f>C23*0.7457</f>
        <v>74570</v>
      </c>
      <c r="R23" s="215">
        <f t="shared" ref="R23:AC23" si="21">D23*0.7457</f>
        <v>52199</v>
      </c>
      <c r="S23" s="215">
        <f t="shared" si="21"/>
        <v>52199</v>
      </c>
      <c r="T23" s="215">
        <f t="shared" si="21"/>
        <v>63384.5</v>
      </c>
      <c r="U23" s="215">
        <f t="shared" si="21"/>
        <v>63384.5</v>
      </c>
      <c r="V23" s="215">
        <f t="shared" si="21"/>
        <v>59656</v>
      </c>
      <c r="W23" s="216">
        <f t="shared" si="21"/>
        <v>26099.5</v>
      </c>
      <c r="X23" s="217">
        <f t="shared" si="21"/>
        <v>26099.5</v>
      </c>
      <c r="Y23" s="217">
        <f t="shared" si="21"/>
        <v>14914</v>
      </c>
      <c r="Z23" s="217">
        <f t="shared" si="21"/>
        <v>59656</v>
      </c>
      <c r="AA23" s="217">
        <f t="shared" si="21"/>
        <v>74972.678</v>
      </c>
      <c r="AB23" s="217">
        <f t="shared" si="21"/>
        <v>59656</v>
      </c>
      <c r="AC23" s="217">
        <f t="shared" si="21"/>
        <v>29828</v>
      </c>
    </row>
    <row r="24" spans="1:29">
      <c r="A24" s="630" t="s">
        <v>866</v>
      </c>
      <c r="B24" s="630"/>
      <c r="C24" s="202" t="s">
        <v>867</v>
      </c>
      <c r="D24" s="202" t="s">
        <v>867</v>
      </c>
      <c r="E24" s="202" t="s">
        <v>867</v>
      </c>
      <c r="F24" s="202" t="s">
        <v>867</v>
      </c>
      <c r="G24" s="202" t="s">
        <v>867</v>
      </c>
      <c r="H24" s="202" t="s">
        <v>867</v>
      </c>
      <c r="I24" s="202" t="s">
        <v>867</v>
      </c>
      <c r="J24" s="202" t="s">
        <v>867</v>
      </c>
      <c r="K24" s="202" t="s">
        <v>867</v>
      </c>
      <c r="L24" s="202" t="s">
        <v>868</v>
      </c>
      <c r="M24" s="200" t="s">
        <v>868</v>
      </c>
      <c r="N24" s="202" t="s">
        <v>868</v>
      </c>
      <c r="O24" s="202" t="s">
        <v>868</v>
      </c>
      <c r="Q24" s="215"/>
      <c r="R24" s="215"/>
      <c r="S24" s="215"/>
      <c r="T24" s="215"/>
      <c r="U24" s="215"/>
      <c r="V24" s="215"/>
      <c r="W24" s="216"/>
      <c r="X24" s="217"/>
      <c r="Y24" s="217"/>
      <c r="Z24" s="217"/>
      <c r="AA24" s="217"/>
      <c r="AB24" s="217"/>
      <c r="AC24" s="217"/>
    </row>
    <row r="25" spans="1:29">
      <c r="A25" s="630" t="s">
        <v>869</v>
      </c>
      <c r="B25" s="630"/>
      <c r="C25" s="201">
        <v>356331</v>
      </c>
      <c r="D25" s="201">
        <v>356331</v>
      </c>
      <c r="E25" s="201">
        <v>356331</v>
      </c>
      <c r="F25" s="201">
        <v>196200</v>
      </c>
      <c r="G25" s="201">
        <v>196200</v>
      </c>
      <c r="H25" s="201">
        <v>161700</v>
      </c>
      <c r="I25" s="201">
        <v>108770</v>
      </c>
      <c r="J25" s="211">
        <v>70420</v>
      </c>
      <c r="K25" s="211">
        <v>62600</v>
      </c>
      <c r="L25" s="201">
        <v>201000</v>
      </c>
      <c r="M25" s="200"/>
      <c r="N25" s="201">
        <v>201000</v>
      </c>
      <c r="O25" s="201">
        <v>84700</v>
      </c>
      <c r="Q25" s="215">
        <f>C25/3.2808^3</f>
        <v>10090.53836133726</v>
      </c>
      <c r="R25" s="215">
        <f t="shared" ref="R25:AC25" si="22">D25/3.2808^3</f>
        <v>10090.53836133726</v>
      </c>
      <c r="S25" s="215">
        <f t="shared" si="22"/>
        <v>10090.53836133726</v>
      </c>
      <c r="T25" s="215">
        <f t="shared" si="22"/>
        <v>5555.9679805977321</v>
      </c>
      <c r="U25" s="215">
        <f t="shared" si="22"/>
        <v>5555.9679805977321</v>
      </c>
      <c r="V25" s="215">
        <f t="shared" si="22"/>
        <v>4579.00113385654</v>
      </c>
      <c r="W25" s="216">
        <f t="shared" si="22"/>
        <v>3080.135765798243</v>
      </c>
      <c r="X25" s="217">
        <f t="shared" si="22"/>
        <v>1994.1450825366578</v>
      </c>
      <c r="Y25" s="217">
        <f t="shared" si="22"/>
        <v>1772.6992639419877</v>
      </c>
      <c r="Z25" s="217">
        <f t="shared" si="22"/>
        <v>5691.8938027530276</v>
      </c>
      <c r="AA25" s="217"/>
      <c r="AB25" s="217">
        <f t="shared" si="22"/>
        <v>5691.8938027530276</v>
      </c>
      <c r="AC25" s="217">
        <f t="shared" si="22"/>
        <v>2398.5244034486641</v>
      </c>
    </row>
    <row r="26" spans="1:29" ht="22.5" customHeight="1">
      <c r="A26" s="631" t="s">
        <v>870</v>
      </c>
      <c r="B26" s="632"/>
      <c r="C26" s="201"/>
      <c r="D26" s="201"/>
      <c r="E26" s="201"/>
      <c r="F26" s="205">
        <v>857400</v>
      </c>
      <c r="G26" s="201"/>
      <c r="H26" s="201"/>
      <c r="I26" s="201">
        <v>503403</v>
      </c>
      <c r="J26" s="212">
        <v>407617</v>
      </c>
      <c r="K26" s="211">
        <v>290396</v>
      </c>
      <c r="L26" s="205">
        <v>1102613</v>
      </c>
      <c r="M26" s="205">
        <v>968077</v>
      </c>
      <c r="N26" s="205">
        <v>1086367</v>
      </c>
      <c r="O26" s="201">
        <v>531980</v>
      </c>
      <c r="Q26" s="215"/>
      <c r="R26" s="215"/>
      <c r="S26" s="215"/>
      <c r="T26" s="215">
        <f t="shared" ref="T26:AC26" si="23">F26/3.2808^3</f>
        <v>24279.749982489782</v>
      </c>
      <c r="U26" s="215"/>
      <c r="V26" s="215"/>
      <c r="W26" s="215">
        <f t="shared" si="23"/>
        <v>14255.305552175534</v>
      </c>
      <c r="X26" s="215">
        <f t="shared" si="23"/>
        <v>11542.849135307368</v>
      </c>
      <c r="Y26" s="215">
        <f t="shared" si="23"/>
        <v>8223.3989688769561</v>
      </c>
      <c r="Z26" s="215">
        <f t="shared" si="23"/>
        <v>31223.662196691166</v>
      </c>
      <c r="AA26" s="215">
        <f t="shared" si="23"/>
        <v>27413.887944715138</v>
      </c>
      <c r="AB26" s="215">
        <f t="shared" si="23"/>
        <v>30763.609924454719</v>
      </c>
      <c r="AC26" s="215">
        <f t="shared" si="23"/>
        <v>15064.545597953014</v>
      </c>
    </row>
    <row r="27" spans="1:29" ht="22.5" customHeight="1">
      <c r="A27" s="203"/>
      <c r="B27" s="204" t="s">
        <v>871</v>
      </c>
      <c r="C27" s="201"/>
      <c r="D27" s="201"/>
      <c r="E27" s="201"/>
      <c r="F27" s="201"/>
      <c r="G27" s="201"/>
      <c r="H27" s="201"/>
      <c r="I27" s="201">
        <v>365100</v>
      </c>
      <c r="J27" s="212">
        <v>331040</v>
      </c>
      <c r="K27" s="211">
        <v>248490</v>
      </c>
      <c r="L27" s="201"/>
      <c r="M27" s="200"/>
      <c r="N27" s="201"/>
      <c r="O27" s="201">
        <v>378590</v>
      </c>
      <c r="Q27" s="215"/>
      <c r="R27" s="215"/>
      <c r="S27" s="215"/>
      <c r="T27" s="215"/>
      <c r="U27" s="215"/>
      <c r="V27" s="215"/>
      <c r="W27" s="215">
        <f t="shared" ref="W27:Y28" si="24">I27/3.2808^3</f>
        <v>10338.857847687217</v>
      </c>
      <c r="X27" s="215">
        <f t="shared" si="24"/>
        <v>9374.3508679769275</v>
      </c>
      <c r="Y27" s="215">
        <f t="shared" si="24"/>
        <v>7036.7099057019896</v>
      </c>
      <c r="Z27" s="215"/>
      <c r="AA27" s="215"/>
      <c r="AB27" s="215"/>
      <c r="AC27" s="215">
        <f>O27/3.2808^3</f>
        <v>10720.86604370283</v>
      </c>
    </row>
    <row r="28" spans="1:29" ht="22.5" customHeight="1">
      <c r="A28" s="203"/>
      <c r="B28" s="204" t="s">
        <v>872</v>
      </c>
      <c r="C28" s="201"/>
      <c r="D28" s="201"/>
      <c r="E28" s="201"/>
      <c r="F28" s="201"/>
      <c r="G28" s="201"/>
      <c r="H28" s="201"/>
      <c r="I28" s="201">
        <v>141160</v>
      </c>
      <c r="J28" s="212">
        <v>76580</v>
      </c>
      <c r="K28" s="211">
        <v>41930</v>
      </c>
      <c r="L28" s="201"/>
      <c r="M28" s="200"/>
      <c r="N28" s="201"/>
      <c r="O28" s="201">
        <v>153390</v>
      </c>
      <c r="Q28" s="215"/>
      <c r="R28" s="215"/>
      <c r="S28" s="215"/>
      <c r="T28" s="215"/>
      <c r="U28" s="215"/>
      <c r="V28" s="215"/>
      <c r="W28" s="215">
        <f t="shared" si="24"/>
        <v>3997.3518865503356</v>
      </c>
      <c r="X28" s="215">
        <f t="shared" si="24"/>
        <v>2168.583220969288</v>
      </c>
      <c r="Y28" s="215">
        <f t="shared" si="24"/>
        <v>1187.3686922857437</v>
      </c>
      <c r="Z28" s="215"/>
      <c r="AA28" s="215"/>
      <c r="AB28" s="215"/>
      <c r="AC28" s="215">
        <f>O28/3.2808^3</f>
        <v>4343.6795542501841</v>
      </c>
    </row>
    <row r="29" spans="1:29" ht="22.5">
      <c r="A29" s="630" t="s">
        <v>873</v>
      </c>
      <c r="B29" s="202" t="s">
        <v>874</v>
      </c>
      <c r="C29" s="201">
        <v>2500</v>
      </c>
      <c r="D29" s="201">
        <v>2500</v>
      </c>
      <c r="E29" s="201">
        <v>2500</v>
      </c>
      <c r="F29" s="201">
        <v>1500</v>
      </c>
      <c r="G29" s="201">
        <v>1000</v>
      </c>
      <c r="H29" s="198">
        <v>500</v>
      </c>
      <c r="I29" s="198">
        <v>750</v>
      </c>
      <c r="J29" s="198">
        <v>500</v>
      </c>
      <c r="K29" s="198">
        <v>500</v>
      </c>
      <c r="L29" s="201">
        <v>3000</v>
      </c>
      <c r="M29" s="201">
        <v>2500</v>
      </c>
      <c r="N29" s="201">
        <v>3000</v>
      </c>
      <c r="O29" s="201">
        <v>1000</v>
      </c>
      <c r="Q29" s="215">
        <f>C29*C30</f>
        <v>15000</v>
      </c>
      <c r="R29" s="215">
        <f t="shared" ref="R29:AC29" si="25">D29*D30</f>
        <v>15000</v>
      </c>
      <c r="S29" s="215">
        <f t="shared" si="25"/>
        <v>12500</v>
      </c>
      <c r="T29" s="215">
        <f t="shared" si="25"/>
        <v>6000</v>
      </c>
      <c r="U29" s="215">
        <f t="shared" si="25"/>
        <v>4000</v>
      </c>
      <c r="V29" s="215">
        <f t="shared" si="25"/>
        <v>2000</v>
      </c>
      <c r="W29" s="216">
        <f t="shared" si="25"/>
        <v>2250</v>
      </c>
      <c r="X29" s="217">
        <f t="shared" si="25"/>
        <v>1000</v>
      </c>
      <c r="Y29" s="217">
        <f t="shared" si="25"/>
        <v>1000</v>
      </c>
      <c r="Z29" s="217">
        <f t="shared" si="25"/>
        <v>9000</v>
      </c>
      <c r="AA29" s="217">
        <f t="shared" si="25"/>
        <v>7500</v>
      </c>
      <c r="AB29" s="217">
        <f t="shared" si="25"/>
        <v>9000</v>
      </c>
      <c r="AC29" s="217">
        <f t="shared" si="25"/>
        <v>4000</v>
      </c>
    </row>
    <row r="30" spans="1:29" ht="33.75">
      <c r="A30" s="630"/>
      <c r="B30" s="202" t="s">
        <v>875</v>
      </c>
      <c r="C30" s="198">
        <v>6</v>
      </c>
      <c r="D30" s="198">
        <v>6</v>
      </c>
      <c r="E30" s="198">
        <v>5</v>
      </c>
      <c r="F30" s="198">
        <v>4</v>
      </c>
      <c r="G30" s="198">
        <v>4</v>
      </c>
      <c r="H30" s="198">
        <v>4</v>
      </c>
      <c r="I30" s="198">
        <v>3</v>
      </c>
      <c r="J30" s="198">
        <v>2</v>
      </c>
      <c r="K30" s="198">
        <v>2</v>
      </c>
      <c r="L30" s="198">
        <v>3</v>
      </c>
      <c r="M30" s="198">
        <v>3</v>
      </c>
      <c r="N30" s="198">
        <v>3</v>
      </c>
      <c r="O30" s="198">
        <v>4</v>
      </c>
      <c r="Q30" s="215"/>
      <c r="R30" s="215"/>
      <c r="S30" s="215"/>
      <c r="T30" s="215"/>
      <c r="U30" s="215"/>
      <c r="V30" s="215"/>
      <c r="W30" s="216"/>
      <c r="X30" s="217"/>
      <c r="Y30" s="217"/>
      <c r="Z30" s="217"/>
      <c r="AA30" s="217"/>
      <c r="AB30" s="217"/>
      <c r="AC30" s="217"/>
    </row>
    <row r="31" spans="1:29">
      <c r="A31" s="630" t="s">
        <v>876</v>
      </c>
      <c r="B31" s="630"/>
      <c r="C31" s="202" t="s">
        <v>867</v>
      </c>
      <c r="D31" s="202" t="s">
        <v>867</v>
      </c>
      <c r="E31" s="202" t="s">
        <v>867</v>
      </c>
      <c r="F31" s="202" t="s">
        <v>867</v>
      </c>
      <c r="G31" s="202" t="s">
        <v>867</v>
      </c>
      <c r="H31" s="202" t="s">
        <v>867</v>
      </c>
      <c r="I31" s="202" t="s">
        <v>867</v>
      </c>
      <c r="J31" s="202" t="s">
        <v>867</v>
      </c>
      <c r="K31" s="202" t="s">
        <v>867</v>
      </c>
      <c r="L31" s="202" t="s">
        <v>868</v>
      </c>
      <c r="M31" s="200" t="s">
        <v>868</v>
      </c>
      <c r="N31" s="202" t="s">
        <v>868</v>
      </c>
      <c r="O31" s="202" t="s">
        <v>728</v>
      </c>
      <c r="Q31" s="215"/>
      <c r="R31" s="215"/>
      <c r="S31" s="215"/>
      <c r="T31" s="215"/>
      <c r="U31" s="215"/>
      <c r="V31" s="215"/>
      <c r="W31" s="216"/>
      <c r="X31" s="217"/>
      <c r="Y31" s="217"/>
      <c r="Z31" s="217"/>
      <c r="AA31" s="217"/>
      <c r="AB31" s="217"/>
      <c r="AC31" s="217"/>
    </row>
    <row r="32" spans="1:29">
      <c r="A32" s="630" t="s">
        <v>877</v>
      </c>
      <c r="B32" s="630"/>
      <c r="C32" s="198">
        <v>800</v>
      </c>
      <c r="D32" s="198">
        <v>600</v>
      </c>
      <c r="E32" s="198">
        <v>320</v>
      </c>
      <c r="F32" s="198">
        <v>265</v>
      </c>
      <c r="G32" s="198">
        <v>240</v>
      </c>
      <c r="H32" s="198">
        <v>122</v>
      </c>
      <c r="I32" s="198">
        <v>225</v>
      </c>
      <c r="J32" s="198">
        <v>80</v>
      </c>
      <c r="K32" s="198">
        <v>60</v>
      </c>
      <c r="L32" s="198">
        <v>800</v>
      </c>
      <c r="M32" s="200"/>
      <c r="N32" s="198">
        <v>800</v>
      </c>
      <c r="O32" s="198">
        <v>320</v>
      </c>
      <c r="Q32" s="215"/>
      <c r="R32" s="215"/>
      <c r="S32" s="215"/>
      <c r="T32" s="215"/>
      <c r="U32" s="215"/>
      <c r="V32" s="215"/>
      <c r="W32" s="216"/>
      <c r="X32" s="217"/>
      <c r="Y32" s="217"/>
      <c r="Z32" s="217"/>
      <c r="AA32" s="217"/>
      <c r="AB32" s="217"/>
      <c r="AC32" s="217"/>
    </row>
    <row r="33" spans="1:29">
      <c r="A33" s="630" t="s">
        <v>878</v>
      </c>
      <c r="B33" s="630"/>
      <c r="C33" s="201">
        <v>86800</v>
      </c>
      <c r="D33" s="201">
        <v>62720</v>
      </c>
      <c r="E33" s="201">
        <v>45600</v>
      </c>
      <c r="F33" s="201">
        <v>35500</v>
      </c>
      <c r="G33" s="201">
        <v>32495</v>
      </c>
      <c r="H33" s="201">
        <v>18975</v>
      </c>
      <c r="I33" s="200"/>
      <c r="J33" s="201">
        <v>14920</v>
      </c>
      <c r="K33" s="211">
        <v>12200</v>
      </c>
      <c r="L33" s="201">
        <v>83149</v>
      </c>
      <c r="M33" s="200"/>
      <c r="N33" s="201">
        <v>86912</v>
      </c>
      <c r="O33" s="200"/>
      <c r="Q33" s="215">
        <f>C33/2204.6</f>
        <v>39.372221718225532</v>
      </c>
      <c r="R33" s="215">
        <f t="shared" ref="R33:AB33" si="26">D33/2204.6</f>
        <v>28.44960537058877</v>
      </c>
      <c r="S33" s="215">
        <f t="shared" si="26"/>
        <v>20.68402431280051</v>
      </c>
      <c r="T33" s="215">
        <f t="shared" si="26"/>
        <v>16.102694366324958</v>
      </c>
      <c r="U33" s="215">
        <f t="shared" si="26"/>
        <v>14.73963530799238</v>
      </c>
      <c r="V33" s="215">
        <f t="shared" si="26"/>
        <v>8.6070035380567909</v>
      </c>
      <c r="W33" s="216"/>
      <c r="X33" s="217">
        <f t="shared" si="26"/>
        <v>6.7676676041005175</v>
      </c>
      <c r="Y33" s="217">
        <f t="shared" si="26"/>
        <v>5.5338836977229429</v>
      </c>
      <c r="Z33" s="217">
        <f t="shared" si="26"/>
        <v>37.716138982128278</v>
      </c>
      <c r="AA33" s="217">
        <f t="shared" si="26"/>
        <v>0</v>
      </c>
      <c r="AB33" s="217">
        <f t="shared" si="26"/>
        <v>39.423024584958725</v>
      </c>
      <c r="AC33" s="217"/>
    </row>
    <row r="34" spans="1:29">
      <c r="A34" s="630" t="s">
        <v>879</v>
      </c>
      <c r="B34" s="630"/>
      <c r="C34" s="202" t="s">
        <v>880</v>
      </c>
      <c r="D34" s="202" t="s">
        <v>880</v>
      </c>
      <c r="E34" s="202" t="s">
        <v>880</v>
      </c>
      <c r="F34" s="201">
        <v>166000</v>
      </c>
      <c r="G34" s="201">
        <v>166000</v>
      </c>
      <c r="H34" s="201">
        <v>146300</v>
      </c>
      <c r="I34" s="201">
        <v>126410</v>
      </c>
      <c r="J34" s="211">
        <v>126410</v>
      </c>
      <c r="K34" s="211">
        <v>94112</v>
      </c>
      <c r="L34" s="200"/>
      <c r="M34" s="200"/>
      <c r="N34" s="200"/>
      <c r="O34" s="200"/>
      <c r="Q34" s="215"/>
      <c r="R34" s="215"/>
      <c r="S34" s="215"/>
      <c r="T34" s="215"/>
      <c r="U34" s="215"/>
      <c r="V34" s="215"/>
      <c r="W34" s="216"/>
      <c r="X34" s="217"/>
      <c r="Y34" s="217"/>
      <c r="Z34" s="217"/>
      <c r="AA34" s="217"/>
      <c r="AB34" s="217"/>
      <c r="AC34" s="217"/>
    </row>
    <row r="35" spans="1:29">
      <c r="A35" s="630" t="s">
        <v>881</v>
      </c>
      <c r="B35" s="630"/>
      <c r="C35" s="198">
        <v>4</v>
      </c>
      <c r="D35" s="198">
        <v>4</v>
      </c>
      <c r="E35" s="198">
        <v>4</v>
      </c>
      <c r="F35" s="198">
        <v>4</v>
      </c>
      <c r="G35" s="198">
        <v>4</v>
      </c>
      <c r="H35" s="198">
        <v>4</v>
      </c>
      <c r="I35" s="198">
        <v>2</v>
      </c>
      <c r="J35" s="187">
        <v>2</v>
      </c>
      <c r="K35" s="198">
        <v>2</v>
      </c>
      <c r="L35" s="200"/>
      <c r="M35" s="200"/>
      <c r="N35" s="200"/>
      <c r="O35" s="200"/>
      <c r="Q35" s="215"/>
      <c r="R35" s="215"/>
      <c r="S35" s="215"/>
      <c r="T35" s="215"/>
      <c r="U35" s="215"/>
      <c r="V35" s="215"/>
      <c r="W35" s="216"/>
      <c r="X35" s="217"/>
      <c r="Y35" s="217"/>
      <c r="Z35" s="217"/>
      <c r="AA35" s="217"/>
      <c r="AB35" s="217"/>
      <c r="AC35" s="217"/>
    </row>
    <row r="36" spans="1:29">
      <c r="A36" s="630" t="s">
        <v>882</v>
      </c>
      <c r="B36" s="630"/>
      <c r="C36" s="200"/>
      <c r="D36" s="200"/>
      <c r="E36" s="200"/>
      <c r="F36" s="200"/>
      <c r="G36" s="200"/>
      <c r="H36" s="200"/>
      <c r="I36" s="200"/>
      <c r="J36" s="200"/>
      <c r="K36" s="200"/>
      <c r="L36" s="201">
        <v>20000</v>
      </c>
      <c r="M36" s="200"/>
      <c r="N36" s="201">
        <v>20000</v>
      </c>
      <c r="O36" s="201">
        <v>20000</v>
      </c>
      <c r="Q36" s="215"/>
      <c r="R36" s="215"/>
      <c r="S36" s="215"/>
      <c r="T36" s="215"/>
      <c r="U36" s="215"/>
      <c r="V36" s="215"/>
      <c r="W36" s="216"/>
      <c r="X36" s="217"/>
      <c r="Y36" s="217"/>
      <c r="Z36" s="217"/>
      <c r="AA36" s="217"/>
      <c r="AB36" s="217"/>
      <c r="AC36" s="217"/>
    </row>
    <row r="37" spans="1:29">
      <c r="A37" s="630" t="s">
        <v>883</v>
      </c>
      <c r="B37" s="630"/>
      <c r="C37" s="200"/>
      <c r="D37" s="200"/>
      <c r="E37" s="200"/>
      <c r="F37" s="200"/>
      <c r="G37" s="200"/>
      <c r="H37" s="200"/>
      <c r="I37" s="200"/>
      <c r="J37" s="200"/>
      <c r="K37" s="200"/>
      <c r="L37" s="198">
        <v>4</v>
      </c>
      <c r="M37" s="200"/>
      <c r="N37" s="198">
        <v>4</v>
      </c>
      <c r="O37" s="198">
        <v>2</v>
      </c>
      <c r="Q37" s="215"/>
      <c r="R37" s="215"/>
      <c r="S37" s="215"/>
      <c r="T37" s="215"/>
      <c r="U37" s="215"/>
      <c r="V37" s="215"/>
      <c r="W37" s="216"/>
      <c r="X37" s="217"/>
      <c r="Y37" s="217"/>
      <c r="Z37" s="217"/>
      <c r="AA37" s="217"/>
      <c r="AB37" s="217"/>
      <c r="AC37" s="217"/>
    </row>
    <row r="38" spans="1:29">
      <c r="A38" s="630" t="s">
        <v>884</v>
      </c>
      <c r="B38" s="630"/>
      <c r="C38" s="198">
        <v>2</v>
      </c>
      <c r="D38" s="198">
        <v>2</v>
      </c>
      <c r="E38" s="198">
        <v>2</v>
      </c>
      <c r="F38" s="198">
        <v>2</v>
      </c>
      <c r="G38" s="198">
        <v>2</v>
      </c>
      <c r="H38" s="198">
        <v>2</v>
      </c>
      <c r="I38" s="198">
        <v>2</v>
      </c>
      <c r="J38" s="198">
        <v>2</v>
      </c>
      <c r="K38" s="198">
        <v>2</v>
      </c>
      <c r="L38" s="198">
        <v>2</v>
      </c>
      <c r="M38" s="198">
        <v>2</v>
      </c>
      <c r="N38" s="198">
        <v>2</v>
      </c>
      <c r="O38" s="198">
        <v>2</v>
      </c>
      <c r="Q38" s="215"/>
      <c r="R38" s="215"/>
      <c r="S38" s="215"/>
      <c r="T38" s="215"/>
      <c r="U38" s="215"/>
      <c r="V38" s="215"/>
      <c r="W38" s="216"/>
      <c r="X38" s="217"/>
      <c r="Y38" s="217"/>
      <c r="Z38" s="217"/>
      <c r="AA38" s="217"/>
      <c r="AB38" s="217"/>
      <c r="AC38" s="217"/>
    </row>
    <row r="39" spans="1:29">
      <c r="A39" s="630" t="s">
        <v>885</v>
      </c>
      <c r="B39" s="630"/>
      <c r="C39" s="200"/>
      <c r="D39" s="201">
        <v>17920</v>
      </c>
      <c r="E39" s="201">
        <v>20000</v>
      </c>
      <c r="F39" s="201">
        <v>14000</v>
      </c>
      <c r="G39" s="201">
        <v>14000</v>
      </c>
      <c r="H39" s="201">
        <v>6442</v>
      </c>
      <c r="I39" s="201">
        <v>12540</v>
      </c>
      <c r="J39" s="201">
        <v>9960</v>
      </c>
      <c r="K39" s="201">
        <v>7500</v>
      </c>
      <c r="L39" s="201">
        <v>18010</v>
      </c>
      <c r="M39" s="200"/>
      <c r="N39" s="201">
        <v>17920</v>
      </c>
      <c r="O39" s="201">
        <v>6000</v>
      </c>
      <c r="Q39" s="215"/>
      <c r="R39" s="215"/>
      <c r="S39" s="215"/>
      <c r="T39" s="215"/>
      <c r="U39" s="215"/>
      <c r="V39" s="215"/>
      <c r="W39" s="216"/>
      <c r="X39" s="217"/>
      <c r="Y39" s="217"/>
      <c r="Z39" s="217"/>
      <c r="AA39" s="217"/>
      <c r="AB39" s="217"/>
      <c r="AC39" s="217"/>
    </row>
    <row r="40" spans="1:29">
      <c r="A40" s="634"/>
      <c r="B40" s="634"/>
      <c r="C40" s="200"/>
      <c r="D40" s="200"/>
      <c r="E40" s="200"/>
      <c r="F40" s="200"/>
      <c r="G40" s="200"/>
      <c r="H40" s="200"/>
      <c r="I40" s="200"/>
      <c r="J40" s="200"/>
      <c r="K40" s="213"/>
      <c r="L40" s="200"/>
      <c r="M40" s="200"/>
      <c r="N40" s="200"/>
      <c r="O40" s="200"/>
    </row>
    <row r="41" spans="1:29">
      <c r="A41" s="634"/>
      <c r="B41" s="634"/>
      <c r="C41" s="200"/>
      <c r="D41" s="200"/>
      <c r="E41" s="200"/>
      <c r="F41" s="200"/>
      <c r="G41" s="200"/>
      <c r="H41" s="200"/>
      <c r="I41" s="200"/>
      <c r="J41" s="200"/>
      <c r="K41" s="200"/>
      <c r="L41" s="200"/>
      <c r="M41" s="200"/>
      <c r="N41" s="200"/>
      <c r="O41" s="200"/>
      <c r="Q41" s="218">
        <f t="shared" ref="Q41:AC41" si="27">C23*0.7457</f>
        <v>74570</v>
      </c>
      <c r="R41" s="218">
        <f t="shared" si="27"/>
        <v>52199</v>
      </c>
      <c r="S41" s="218">
        <f t="shared" si="27"/>
        <v>52199</v>
      </c>
      <c r="T41" s="218">
        <f t="shared" si="27"/>
        <v>63384.5</v>
      </c>
      <c r="U41" s="218">
        <f t="shared" si="27"/>
        <v>63384.5</v>
      </c>
      <c r="V41" s="218">
        <f t="shared" si="27"/>
        <v>59656</v>
      </c>
      <c r="W41" s="188">
        <f t="shared" si="27"/>
        <v>26099.5</v>
      </c>
      <c r="X41" s="189">
        <f t="shared" si="27"/>
        <v>26099.5</v>
      </c>
      <c r="Y41" s="189">
        <f t="shared" si="27"/>
        <v>14914</v>
      </c>
      <c r="Z41" s="189">
        <f t="shared" si="27"/>
        <v>59656</v>
      </c>
      <c r="AA41" s="189">
        <f t="shared" si="27"/>
        <v>74972.678</v>
      </c>
      <c r="AB41" s="189">
        <f t="shared" si="27"/>
        <v>59656</v>
      </c>
      <c r="AC41" s="189">
        <f t="shared" si="27"/>
        <v>29828</v>
      </c>
    </row>
    <row r="42" spans="1:29">
      <c r="A42" s="630" t="s">
        <v>886</v>
      </c>
      <c r="B42" s="630"/>
      <c r="C42" s="202" t="s">
        <v>834</v>
      </c>
      <c r="D42" s="202" t="s">
        <v>835</v>
      </c>
      <c r="E42" s="202" t="s">
        <v>836</v>
      </c>
      <c r="F42" s="202" t="s">
        <v>837</v>
      </c>
      <c r="G42" s="202" t="s">
        <v>838</v>
      </c>
      <c r="H42" s="202" t="s">
        <v>839</v>
      </c>
      <c r="I42" s="202" t="s">
        <v>840</v>
      </c>
      <c r="J42" s="202" t="s">
        <v>841</v>
      </c>
      <c r="K42" s="202" t="s">
        <v>842</v>
      </c>
      <c r="L42" s="202" t="s">
        <v>843</v>
      </c>
      <c r="M42" s="200" t="s">
        <v>844</v>
      </c>
      <c r="N42" s="202" t="s">
        <v>845</v>
      </c>
      <c r="O42" s="202" t="s">
        <v>846</v>
      </c>
      <c r="Q42" s="218"/>
      <c r="R42" s="218"/>
      <c r="S42" s="218"/>
      <c r="T42" s="218"/>
      <c r="U42" s="218"/>
      <c r="V42" s="218"/>
    </row>
    <row r="43" spans="1:29">
      <c r="A43" s="206">
        <v>1</v>
      </c>
      <c r="B43" s="194" t="s">
        <v>887</v>
      </c>
      <c r="C43" s="201">
        <v>4165</v>
      </c>
      <c r="D43" s="201">
        <v>3930</v>
      </c>
      <c r="E43" s="201">
        <v>3180</v>
      </c>
      <c r="F43" s="201">
        <v>2505</v>
      </c>
      <c r="G43" s="201">
        <v>2309</v>
      </c>
      <c r="H43" s="201">
        <v>1474</v>
      </c>
      <c r="I43" s="201">
        <v>1396</v>
      </c>
      <c r="J43" s="201">
        <v>1119</v>
      </c>
      <c r="K43" s="198">
        <v>802</v>
      </c>
      <c r="L43" s="201">
        <v>3552</v>
      </c>
      <c r="M43" s="201">
        <v>3341</v>
      </c>
      <c r="N43" s="201">
        <v>3489</v>
      </c>
      <c r="O43" s="201">
        <v>1250</v>
      </c>
      <c r="Q43" s="219">
        <f t="shared" ref="Q43:AC49" si="28">C43*2240/2204.6</f>
        <v>4231.8787988750792</v>
      </c>
      <c r="R43" s="219">
        <f t="shared" si="28"/>
        <v>3993.1053252290667</v>
      </c>
      <c r="S43" s="219">
        <f t="shared" si="28"/>
        <v>3231.0623242311531</v>
      </c>
      <c r="T43" s="219">
        <f t="shared" si="28"/>
        <v>2545.2236233330309</v>
      </c>
      <c r="U43" s="219">
        <f t="shared" si="28"/>
        <v>2346.0763857389097</v>
      </c>
      <c r="V43" s="219">
        <f t="shared" si="28"/>
        <v>1497.6685112945659</v>
      </c>
      <c r="W43" s="216">
        <f t="shared" si="28"/>
        <v>1418.4160391907831</v>
      </c>
      <c r="X43" s="217">
        <f t="shared" si="28"/>
        <v>1136.9681574888868</v>
      </c>
      <c r="Y43" s="217">
        <f t="shared" si="28"/>
        <v>814.87798240043549</v>
      </c>
      <c r="Z43" s="217">
        <f t="shared" si="28"/>
        <v>3609.0356527261183</v>
      </c>
      <c r="AA43" s="217">
        <f t="shared" si="28"/>
        <v>3394.6475551120384</v>
      </c>
      <c r="AB43" s="217">
        <f t="shared" si="28"/>
        <v>3545.0240406422936</v>
      </c>
      <c r="AC43" s="217">
        <f t="shared" si="28"/>
        <v>1270.0716683298558</v>
      </c>
    </row>
    <row r="44" spans="1:29">
      <c r="A44" s="206">
        <v>2</v>
      </c>
      <c r="B44" s="194" t="s">
        <v>888</v>
      </c>
      <c r="C44" s="201">
        <v>2466</v>
      </c>
      <c r="D44" s="201">
        <v>2574</v>
      </c>
      <c r="E44" s="201">
        <v>2446</v>
      </c>
      <c r="F44" s="198">
        <v>930</v>
      </c>
      <c r="G44" s="198">
        <v>946</v>
      </c>
      <c r="H44" s="198">
        <v>640</v>
      </c>
      <c r="I44" s="198">
        <v>440</v>
      </c>
      <c r="J44" s="198">
        <v>358</v>
      </c>
      <c r="K44" s="198">
        <v>298</v>
      </c>
      <c r="L44" s="198">
        <v>722</v>
      </c>
      <c r="M44" s="198">
        <v>744</v>
      </c>
      <c r="N44" s="198">
        <v>750</v>
      </c>
      <c r="O44" s="198">
        <v>287</v>
      </c>
      <c r="Q44" s="219">
        <f t="shared" si="28"/>
        <v>2505.5973872811396</v>
      </c>
      <c r="R44" s="219">
        <f t="shared" si="28"/>
        <v>2615.3315794248392</v>
      </c>
      <c r="S44" s="219">
        <f t="shared" si="28"/>
        <v>2485.276240587862</v>
      </c>
      <c r="T44" s="219">
        <f t="shared" si="28"/>
        <v>944.93332123741277</v>
      </c>
      <c r="U44" s="219">
        <f t="shared" si="28"/>
        <v>961.19023859203492</v>
      </c>
      <c r="V44" s="219">
        <f t="shared" si="28"/>
        <v>650.2766941848862</v>
      </c>
      <c r="W44" s="216">
        <f t="shared" si="28"/>
        <v>447.06522725210925</v>
      </c>
      <c r="X44" s="217">
        <f t="shared" si="28"/>
        <v>363.7485258096707</v>
      </c>
      <c r="Y44" s="217">
        <f t="shared" si="28"/>
        <v>302.78508572983765</v>
      </c>
      <c r="Z44" s="217">
        <f t="shared" si="28"/>
        <v>733.59339562732475</v>
      </c>
      <c r="AA44" s="217">
        <f t="shared" si="28"/>
        <v>755.94665698993015</v>
      </c>
      <c r="AB44" s="217">
        <f t="shared" si="28"/>
        <v>762.04300099791351</v>
      </c>
      <c r="AC44" s="217">
        <f t="shared" si="28"/>
        <v>291.60845504853489</v>
      </c>
    </row>
    <row r="45" spans="1:29">
      <c r="A45" s="206">
        <v>3</v>
      </c>
      <c r="B45" s="194" t="s">
        <v>889</v>
      </c>
      <c r="C45" s="198">
        <v>813</v>
      </c>
      <c r="D45" s="198">
        <v>792</v>
      </c>
      <c r="E45" s="198">
        <v>499</v>
      </c>
      <c r="F45" s="198">
        <v>221</v>
      </c>
      <c r="G45" s="198">
        <v>215</v>
      </c>
      <c r="H45" s="198">
        <v>121</v>
      </c>
      <c r="I45" s="198">
        <v>135</v>
      </c>
      <c r="J45" s="198">
        <v>113</v>
      </c>
      <c r="K45" s="198">
        <v>84</v>
      </c>
      <c r="L45" s="198">
        <v>382</v>
      </c>
      <c r="M45" s="198">
        <v>327</v>
      </c>
      <c r="N45" s="198">
        <v>343</v>
      </c>
      <c r="O45" s="198">
        <v>196</v>
      </c>
      <c r="Q45" s="219">
        <f t="shared" si="28"/>
        <v>826.05461308173824</v>
      </c>
      <c r="R45" s="219">
        <f t="shared" si="28"/>
        <v>804.71740905379659</v>
      </c>
      <c r="S45" s="219">
        <f t="shared" si="28"/>
        <v>507.01260999727845</v>
      </c>
      <c r="T45" s="219">
        <f t="shared" si="28"/>
        <v>224.54867096071851</v>
      </c>
      <c r="U45" s="219">
        <f t="shared" si="28"/>
        <v>218.45232695273521</v>
      </c>
      <c r="V45" s="219">
        <f t="shared" si="28"/>
        <v>122.94293749433004</v>
      </c>
      <c r="W45" s="216">
        <f t="shared" si="28"/>
        <v>137.16774017962442</v>
      </c>
      <c r="X45" s="217">
        <f t="shared" si="28"/>
        <v>114.81447881701897</v>
      </c>
      <c r="Y45" s="217">
        <f t="shared" si="28"/>
        <v>85.348816111766311</v>
      </c>
      <c r="Z45" s="217">
        <f t="shared" si="28"/>
        <v>388.13390184160392</v>
      </c>
      <c r="AA45" s="217">
        <f t="shared" si="28"/>
        <v>332.25074843509026</v>
      </c>
      <c r="AB45" s="217">
        <f t="shared" si="28"/>
        <v>348.50766578971246</v>
      </c>
      <c r="AC45" s="217">
        <f t="shared" si="28"/>
        <v>199.14723759412138</v>
      </c>
    </row>
    <row r="46" spans="1:29" ht="22.5">
      <c r="A46" s="206">
        <v>4</v>
      </c>
      <c r="B46" s="194" t="s">
        <v>890</v>
      </c>
      <c r="C46" s="198">
        <v>507</v>
      </c>
      <c r="D46" s="198">
        <v>471</v>
      </c>
      <c r="E46" s="198">
        <v>506</v>
      </c>
      <c r="F46" s="198">
        <v>362</v>
      </c>
      <c r="G46" s="198">
        <v>340</v>
      </c>
      <c r="H46" s="198">
        <v>151</v>
      </c>
      <c r="I46" s="198">
        <v>203</v>
      </c>
      <c r="J46" s="198">
        <v>251</v>
      </c>
      <c r="K46" s="198">
        <v>119</v>
      </c>
      <c r="L46" s="198">
        <v>475</v>
      </c>
      <c r="M46" s="198">
        <v>434</v>
      </c>
      <c r="N46" s="198">
        <v>415</v>
      </c>
      <c r="O46" s="198">
        <v>127</v>
      </c>
      <c r="Q46" s="219">
        <f t="shared" si="28"/>
        <v>515.14106867458952</v>
      </c>
      <c r="R46" s="219">
        <f t="shared" si="28"/>
        <v>478.56300462668969</v>
      </c>
      <c r="S46" s="219">
        <f t="shared" si="28"/>
        <v>514.12501133992566</v>
      </c>
      <c r="T46" s="219">
        <f t="shared" si="28"/>
        <v>367.81275514832623</v>
      </c>
      <c r="U46" s="219">
        <f t="shared" si="28"/>
        <v>345.45949378572078</v>
      </c>
      <c r="V46" s="219">
        <f t="shared" si="28"/>
        <v>153.42465753424659</v>
      </c>
      <c r="W46" s="216">
        <f t="shared" si="28"/>
        <v>206.2596389367686</v>
      </c>
      <c r="X46" s="217">
        <f t="shared" si="28"/>
        <v>255.03039100063503</v>
      </c>
      <c r="Y46" s="217">
        <f t="shared" si="28"/>
        <v>120.91082282500227</v>
      </c>
      <c r="Z46" s="217">
        <f t="shared" si="28"/>
        <v>482.62723396534523</v>
      </c>
      <c r="AA46" s="217">
        <f t="shared" si="28"/>
        <v>440.96888324412595</v>
      </c>
      <c r="AB46" s="217">
        <f t="shared" si="28"/>
        <v>421.66379388551212</v>
      </c>
      <c r="AC46" s="217">
        <f t="shared" si="28"/>
        <v>129.03928150231334</v>
      </c>
    </row>
    <row r="47" spans="1:29">
      <c r="A47" s="206">
        <v>5</v>
      </c>
      <c r="B47" s="194" t="s">
        <v>891</v>
      </c>
      <c r="C47" s="201">
        <v>1181</v>
      </c>
      <c r="D47" s="198">
        <v>980</v>
      </c>
      <c r="E47" s="202">
        <v>649</v>
      </c>
      <c r="F47" s="202">
        <v>619</v>
      </c>
      <c r="G47" s="198">
        <v>610</v>
      </c>
      <c r="H47" s="198">
        <v>374</v>
      </c>
      <c r="I47" s="198">
        <v>382</v>
      </c>
      <c r="J47" s="198">
        <v>339</v>
      </c>
      <c r="K47" s="198">
        <v>271</v>
      </c>
      <c r="L47" s="202">
        <v>983</v>
      </c>
      <c r="M47" s="198">
        <v>848</v>
      </c>
      <c r="N47" s="198">
        <v>937</v>
      </c>
      <c r="O47" s="198">
        <v>493</v>
      </c>
      <c r="Q47" s="219">
        <f t="shared" si="28"/>
        <v>1199.9637122380477</v>
      </c>
      <c r="R47" s="219">
        <f t="shared" si="28"/>
        <v>995.73618797060692</v>
      </c>
      <c r="S47" s="219">
        <f t="shared" si="28"/>
        <v>659.42121019686113</v>
      </c>
      <c r="T47" s="219">
        <f t="shared" si="28"/>
        <v>628.93949015694454</v>
      </c>
      <c r="U47" s="219">
        <f t="shared" si="28"/>
        <v>619.79497414496961</v>
      </c>
      <c r="V47" s="219">
        <f t="shared" si="28"/>
        <v>380.00544316429284</v>
      </c>
      <c r="W47" s="216">
        <f t="shared" si="28"/>
        <v>388.13390184160392</v>
      </c>
      <c r="X47" s="217">
        <f t="shared" si="28"/>
        <v>344.44343645105687</v>
      </c>
      <c r="Y47" s="217">
        <f t="shared" si="28"/>
        <v>275.35153769391275</v>
      </c>
      <c r="Z47" s="217">
        <f t="shared" si="28"/>
        <v>998.7843599745986</v>
      </c>
      <c r="AA47" s="217">
        <f t="shared" si="28"/>
        <v>861.61661979497421</v>
      </c>
      <c r="AB47" s="217">
        <f t="shared" si="28"/>
        <v>952.04572258005987</v>
      </c>
      <c r="AC47" s="217">
        <f t="shared" si="28"/>
        <v>500.91626598929514</v>
      </c>
    </row>
    <row r="48" spans="1:29" ht="22.5">
      <c r="A48" s="194">
        <v>6</v>
      </c>
      <c r="B48" s="194" t="s">
        <v>892</v>
      </c>
      <c r="C48" s="198">
        <v>832</v>
      </c>
      <c r="D48" s="198">
        <v>695</v>
      </c>
      <c r="E48" s="202">
        <v>500</v>
      </c>
      <c r="F48" s="202">
        <v>406</v>
      </c>
      <c r="G48" s="198">
        <v>335</v>
      </c>
      <c r="H48" s="198">
        <v>316</v>
      </c>
      <c r="I48" s="198">
        <v>272</v>
      </c>
      <c r="J48" s="198">
        <v>205</v>
      </c>
      <c r="K48" s="198">
        <v>145</v>
      </c>
      <c r="L48" s="202">
        <v>598</v>
      </c>
      <c r="M48" s="198">
        <v>704</v>
      </c>
      <c r="N48" s="198">
        <v>518</v>
      </c>
      <c r="O48" s="198">
        <v>309</v>
      </c>
      <c r="Q48" s="219">
        <f t="shared" si="28"/>
        <v>845.35970244035207</v>
      </c>
      <c r="R48" s="219">
        <f t="shared" si="28"/>
        <v>706.15984759139985</v>
      </c>
      <c r="S48" s="219">
        <f t="shared" si="28"/>
        <v>508.0286673319423</v>
      </c>
      <c r="T48" s="219">
        <f t="shared" si="28"/>
        <v>412.51927787353719</v>
      </c>
      <c r="U48" s="219">
        <f t="shared" si="28"/>
        <v>340.37920711240133</v>
      </c>
      <c r="V48" s="219">
        <f t="shared" si="28"/>
        <v>321.07411775378756</v>
      </c>
      <c r="W48" s="216">
        <f t="shared" si="28"/>
        <v>276.3675950285766</v>
      </c>
      <c r="X48" s="217">
        <f t="shared" si="28"/>
        <v>208.29175360609636</v>
      </c>
      <c r="Y48" s="217">
        <f t="shared" si="28"/>
        <v>147.32831352626329</v>
      </c>
      <c r="Z48" s="217">
        <f t="shared" si="28"/>
        <v>607.60228612900301</v>
      </c>
      <c r="AA48" s="217">
        <f t="shared" si="28"/>
        <v>715.30436360337478</v>
      </c>
      <c r="AB48" s="217">
        <f t="shared" si="28"/>
        <v>526.31769935589227</v>
      </c>
      <c r="AC48" s="217">
        <f t="shared" si="28"/>
        <v>313.96171641114034</v>
      </c>
    </row>
    <row r="49" spans="1:51">
      <c r="A49" s="206">
        <v>7</v>
      </c>
      <c r="B49" s="194" t="s">
        <v>893</v>
      </c>
      <c r="C49" s="198">
        <v>303</v>
      </c>
      <c r="D49" s="198">
        <v>268</v>
      </c>
      <c r="E49" s="198">
        <v>366</v>
      </c>
      <c r="F49" s="198">
        <v>320</v>
      </c>
      <c r="G49" s="198">
        <v>372</v>
      </c>
      <c r="H49" s="198">
        <v>259</v>
      </c>
      <c r="I49" s="198">
        <v>145</v>
      </c>
      <c r="J49" s="198">
        <v>99</v>
      </c>
      <c r="K49" s="198">
        <v>70</v>
      </c>
      <c r="L49" s="198">
        <v>370</v>
      </c>
      <c r="M49" s="198">
        <v>315</v>
      </c>
      <c r="N49" s="198">
        <v>314</v>
      </c>
      <c r="O49" s="198">
        <v>95</v>
      </c>
      <c r="Q49" s="219">
        <f t="shared" si="28"/>
        <v>307.86537240315704</v>
      </c>
      <c r="R49" s="219">
        <f t="shared" si="28"/>
        <v>272.30336568992107</v>
      </c>
      <c r="S49" s="219">
        <f t="shared" si="28"/>
        <v>371.87698448698177</v>
      </c>
      <c r="T49" s="219">
        <f t="shared" si="28"/>
        <v>325.1383470924431</v>
      </c>
      <c r="U49" s="219">
        <f t="shared" si="28"/>
        <v>377.97332849496507</v>
      </c>
      <c r="V49" s="219">
        <f t="shared" si="28"/>
        <v>263.15884967794614</v>
      </c>
      <c r="W49" s="216">
        <f t="shared" si="28"/>
        <v>147.32831352626329</v>
      </c>
      <c r="X49" s="217">
        <f t="shared" si="28"/>
        <v>100.58967613172457</v>
      </c>
      <c r="Y49" s="217">
        <f t="shared" si="28"/>
        <v>71.124013426471919</v>
      </c>
      <c r="Z49" s="217">
        <f t="shared" si="28"/>
        <v>375.94121382563731</v>
      </c>
      <c r="AA49" s="217">
        <f t="shared" si="28"/>
        <v>320.05806041912365</v>
      </c>
      <c r="AB49" s="217">
        <f t="shared" si="28"/>
        <v>319.04200308445979</v>
      </c>
      <c r="AC49" s="217">
        <f t="shared" si="28"/>
        <v>96.525446793069037</v>
      </c>
    </row>
    <row r="50" spans="1:51">
      <c r="A50" s="199"/>
      <c r="B50" s="199"/>
      <c r="C50" s="200"/>
      <c r="D50" s="200"/>
      <c r="E50" s="200"/>
      <c r="F50" s="200"/>
      <c r="G50" s="200"/>
      <c r="H50" s="200"/>
      <c r="I50" s="200"/>
      <c r="J50" s="200"/>
      <c r="K50" s="200"/>
      <c r="L50" s="200"/>
      <c r="M50" s="200"/>
      <c r="N50" s="200"/>
      <c r="O50" s="200"/>
      <c r="Q50" s="218"/>
      <c r="R50" s="218"/>
      <c r="S50" s="218"/>
      <c r="T50" s="218"/>
      <c r="U50" s="218"/>
      <c r="V50" s="218"/>
    </row>
    <row r="51" spans="1:51">
      <c r="A51" s="199"/>
      <c r="B51" s="194" t="s">
        <v>894</v>
      </c>
      <c r="C51" s="201">
        <v>10267</v>
      </c>
      <c r="D51" s="201">
        <v>9710</v>
      </c>
      <c r="E51" s="201">
        <v>8146</v>
      </c>
      <c r="F51" s="201">
        <v>5363</v>
      </c>
      <c r="G51" s="201">
        <v>5127</v>
      </c>
      <c r="H51" s="201">
        <v>3335</v>
      </c>
      <c r="I51" s="201">
        <v>2973</v>
      </c>
      <c r="J51" s="201">
        <v>2484</v>
      </c>
      <c r="K51" s="201">
        <v>1789</v>
      </c>
      <c r="L51" s="201">
        <v>7082</v>
      </c>
      <c r="M51" s="201">
        <v>6713</v>
      </c>
      <c r="N51" s="201">
        <v>6766</v>
      </c>
      <c r="O51" s="201">
        <v>2757</v>
      </c>
      <c r="Q51" s="219">
        <f>C51*2240/2204.6</f>
        <v>10431.860654994103</v>
      </c>
      <c r="R51" s="219">
        <f t="shared" ref="R51:AC51" si="29">D51*2240/2204.6</f>
        <v>9865.9167195863192</v>
      </c>
      <c r="S51" s="219">
        <f t="shared" si="29"/>
        <v>8276.8030481720052</v>
      </c>
      <c r="T51" s="219">
        <f t="shared" si="29"/>
        <v>5449.1154858024138</v>
      </c>
      <c r="U51" s="219">
        <f t="shared" si="29"/>
        <v>5209.3259548217366</v>
      </c>
      <c r="V51" s="219">
        <f t="shared" si="29"/>
        <v>3388.5512111040553</v>
      </c>
      <c r="W51" s="216">
        <f t="shared" si="29"/>
        <v>3020.738455955729</v>
      </c>
      <c r="X51" s="217">
        <f t="shared" si="29"/>
        <v>2523.8864193050895</v>
      </c>
      <c r="Y51" s="217">
        <f t="shared" si="29"/>
        <v>1817.7265717136897</v>
      </c>
      <c r="Z51" s="217">
        <f t="shared" si="29"/>
        <v>7195.7180440896309</v>
      </c>
      <c r="AA51" s="217">
        <f t="shared" si="29"/>
        <v>6820.7928875986572</v>
      </c>
      <c r="AB51" s="217">
        <f t="shared" si="29"/>
        <v>6874.6439263358434</v>
      </c>
      <c r="AC51" s="217">
        <f t="shared" si="29"/>
        <v>2801.2700716683298</v>
      </c>
    </row>
    <row r="52" spans="1:51">
      <c r="Q52" s="219"/>
      <c r="R52" s="219"/>
      <c r="S52" s="219"/>
      <c r="T52" s="219"/>
      <c r="U52" s="219"/>
      <c r="V52" s="219"/>
      <c r="W52" s="216"/>
      <c r="X52" s="217"/>
      <c r="Y52" s="217"/>
      <c r="Z52" s="217"/>
      <c r="AA52" s="217"/>
      <c r="AB52" s="217"/>
      <c r="AC52" s="217"/>
    </row>
    <row r="53" spans="1:51">
      <c r="A53" s="630" t="s">
        <v>895</v>
      </c>
      <c r="B53" s="630"/>
      <c r="C53" s="202" t="s">
        <v>834</v>
      </c>
      <c r="D53" s="202" t="s">
        <v>835</v>
      </c>
      <c r="E53" s="202" t="s">
        <v>836</v>
      </c>
      <c r="F53" s="202" t="s">
        <v>837</v>
      </c>
      <c r="G53" s="202" t="s">
        <v>838</v>
      </c>
      <c r="H53" s="202" t="s">
        <v>839</v>
      </c>
      <c r="I53" s="202" t="s">
        <v>840</v>
      </c>
      <c r="J53" s="202" t="s">
        <v>841</v>
      </c>
      <c r="K53" s="202" t="s">
        <v>842</v>
      </c>
      <c r="L53" s="202" t="s">
        <v>843</v>
      </c>
      <c r="M53" s="202" t="s">
        <v>844</v>
      </c>
      <c r="N53" s="202" t="s">
        <v>845</v>
      </c>
      <c r="O53" s="202" t="s">
        <v>846</v>
      </c>
      <c r="Q53" s="219"/>
      <c r="R53" s="219"/>
      <c r="S53" s="219"/>
      <c r="T53" s="219"/>
      <c r="U53" s="219"/>
      <c r="V53" s="219"/>
      <c r="W53" s="216"/>
      <c r="X53" s="217"/>
      <c r="Y53" s="217"/>
      <c r="Z53" s="217"/>
      <c r="AA53" s="217"/>
      <c r="AB53" s="217"/>
      <c r="AC53" s="217"/>
    </row>
    <row r="54" spans="1:51">
      <c r="A54" s="207">
        <v>111</v>
      </c>
      <c r="B54" s="190" t="s">
        <v>303</v>
      </c>
      <c r="C54" s="208">
        <v>606</v>
      </c>
      <c r="D54" s="208">
        <v>686</v>
      </c>
      <c r="E54" s="208">
        <v>611</v>
      </c>
      <c r="F54" s="208">
        <v>527</v>
      </c>
      <c r="G54" s="208">
        <v>500</v>
      </c>
      <c r="H54" s="208">
        <v>366</v>
      </c>
      <c r="I54" s="208">
        <v>284</v>
      </c>
      <c r="J54" s="208">
        <v>269</v>
      </c>
      <c r="K54" s="208">
        <v>188</v>
      </c>
      <c r="L54" s="208">
        <v>543</v>
      </c>
      <c r="M54" s="208">
        <v>462</v>
      </c>
      <c r="N54" s="208">
        <v>550</v>
      </c>
      <c r="O54" s="208">
        <v>266</v>
      </c>
      <c r="Q54" s="219">
        <f t="shared" ref="Q54:Q115" si="30">C54*2240/2204.6</f>
        <v>615.73074480631408</v>
      </c>
      <c r="R54" s="219">
        <f t="shared" ref="R54:R115" si="31">D54*2240/2204.6</f>
        <v>697.01533157942492</v>
      </c>
      <c r="S54" s="219">
        <f t="shared" ref="S54:S115" si="32">E54*2240/2204.6</f>
        <v>620.81103147963347</v>
      </c>
      <c r="T54" s="219">
        <f t="shared" ref="T54:T115" si="33">F54*2240/2204.6</f>
        <v>535.4622153678672</v>
      </c>
      <c r="U54" s="219">
        <f t="shared" ref="U54:U115" si="34">G54*2240/2204.6</f>
        <v>508.0286673319423</v>
      </c>
      <c r="V54" s="219">
        <f t="shared" ref="V54:V115" si="35">H54*2240/2204.6</f>
        <v>371.87698448698177</v>
      </c>
      <c r="W54" s="216">
        <f t="shared" ref="W54:W115" si="36">I54*2240/2204.6</f>
        <v>288.56028304454321</v>
      </c>
      <c r="X54" s="217">
        <f t="shared" ref="X54:X115" si="37">J54*2240/2204.6</f>
        <v>273.31942302458498</v>
      </c>
      <c r="Y54" s="217">
        <f t="shared" ref="Y54:Y115" si="38">K54*2240/2204.6</f>
        <v>191.01877891681031</v>
      </c>
      <c r="Z54" s="217">
        <f t="shared" ref="Z54:Z115" si="39">L54*2240/2204.6</f>
        <v>551.71913272248935</v>
      </c>
      <c r="AA54" s="217">
        <f t="shared" ref="AA54:AA91" si="40">M54*2240/2204.6</f>
        <v>469.4184886147147</v>
      </c>
      <c r="AB54" s="217">
        <f t="shared" ref="AB54:AB115" si="41">N54*2240/2204.6</f>
        <v>558.83153406513657</v>
      </c>
      <c r="AC54" s="217">
        <f t="shared" ref="AC54:AC115" si="42">O54*2240/2204.6</f>
        <v>270.2712510205933</v>
      </c>
      <c r="AE54" s="215">
        <f>SUM(Q54:Q59)</f>
        <v>1317.8263630590582</v>
      </c>
      <c r="AF54" s="215">
        <f t="shared" ref="AF54:AQ54" si="43">SUM(R54:R59)</f>
        <v>1321.890592397714</v>
      </c>
      <c r="AG54" s="215">
        <f t="shared" si="43"/>
        <v>1210.1242855846865</v>
      </c>
      <c r="AH54" s="215">
        <f t="shared" si="43"/>
        <v>1024.1857933411957</v>
      </c>
      <c r="AI54" s="215">
        <f t="shared" si="43"/>
        <v>987.60772929329596</v>
      </c>
      <c r="AJ54" s="215">
        <f t="shared" si="43"/>
        <v>624.87526081828901</v>
      </c>
      <c r="AK54" s="215">
        <f t="shared" si="43"/>
        <v>441.98494057878975</v>
      </c>
      <c r="AL54" s="215">
        <f t="shared" si="43"/>
        <v>428.77619522815939</v>
      </c>
      <c r="AM54" s="215">
        <f t="shared" si="43"/>
        <v>345.45949378572078</v>
      </c>
      <c r="AN54" s="215">
        <f t="shared" si="43"/>
        <v>1097.3419214369953</v>
      </c>
      <c r="AO54" s="215">
        <f t="shared" si="43"/>
        <v>890.06622516556297</v>
      </c>
      <c r="AP54" s="215">
        <f t="shared" si="43"/>
        <v>1118.679125464937</v>
      </c>
      <c r="AQ54" s="215">
        <f t="shared" si="43"/>
        <v>430.80830989748711</v>
      </c>
      <c r="AR54" s="215"/>
      <c r="AS54" s="215"/>
      <c r="AT54" s="215"/>
      <c r="AU54" s="215"/>
      <c r="AV54" s="215"/>
      <c r="AW54" s="215"/>
      <c r="AX54" s="215"/>
      <c r="AY54" s="215"/>
    </row>
    <row r="55" spans="1:51">
      <c r="A55" s="206">
        <v>113</v>
      </c>
      <c r="B55" s="194" t="s">
        <v>896</v>
      </c>
      <c r="C55" s="209">
        <v>-109</v>
      </c>
      <c r="D55" s="209">
        <v>-104</v>
      </c>
      <c r="E55" s="209">
        <v>-99</v>
      </c>
      <c r="F55" s="209">
        <v>-107</v>
      </c>
      <c r="G55" s="209">
        <v>-110</v>
      </c>
      <c r="H55" s="209">
        <v>-57</v>
      </c>
      <c r="I55" s="200"/>
      <c r="J55" s="200"/>
      <c r="K55" s="200"/>
      <c r="L55" s="209">
        <v>-115</v>
      </c>
      <c r="M55" s="209">
        <v>-91</v>
      </c>
      <c r="N55" s="209">
        <v>-120</v>
      </c>
      <c r="O55" s="200"/>
      <c r="Q55" s="219">
        <f>-C55*2240/2204.6</f>
        <v>110.75024947836343</v>
      </c>
      <c r="R55" s="219">
        <f t="shared" ref="R55:V55" si="44">-D55*2240/2204.6</f>
        <v>105.66996280504401</v>
      </c>
      <c r="S55" s="219">
        <f t="shared" si="44"/>
        <v>100.58967613172457</v>
      </c>
      <c r="T55" s="219">
        <f t="shared" si="44"/>
        <v>108.71813480903566</v>
      </c>
      <c r="U55" s="219">
        <f t="shared" si="44"/>
        <v>111.76630681302731</v>
      </c>
      <c r="V55" s="219">
        <f t="shared" si="44"/>
        <v>57.915268075841425</v>
      </c>
      <c r="W55" s="216"/>
      <c r="X55" s="217"/>
      <c r="Y55" s="217"/>
      <c r="Z55" s="217">
        <f>-L55*2240/2204.6</f>
        <v>116.84659348634673</v>
      </c>
      <c r="AA55" s="217">
        <f t="shared" ref="AA55:AB55" si="45">-M55*2240/2204.6</f>
        <v>92.4612174544135</v>
      </c>
      <c r="AB55" s="217">
        <f t="shared" si="45"/>
        <v>121.92688015966615</v>
      </c>
      <c r="AC55" s="217"/>
    </row>
    <row r="56" spans="1:51">
      <c r="A56" s="206">
        <v>114</v>
      </c>
      <c r="B56" s="194" t="s">
        <v>897</v>
      </c>
      <c r="C56" s="198">
        <v>37</v>
      </c>
      <c r="D56" s="198">
        <v>15</v>
      </c>
      <c r="E56" s="198">
        <v>53</v>
      </c>
      <c r="F56" s="198">
        <v>17</v>
      </c>
      <c r="G56" s="198">
        <v>24</v>
      </c>
      <c r="H56" s="198">
        <v>7</v>
      </c>
      <c r="I56" s="198">
        <v>8</v>
      </c>
      <c r="J56" s="198">
        <v>11</v>
      </c>
      <c r="K56" s="198">
        <v>43</v>
      </c>
      <c r="L56" s="198">
        <v>29</v>
      </c>
      <c r="M56" s="198">
        <v>22</v>
      </c>
      <c r="N56" s="198">
        <v>27</v>
      </c>
      <c r="O56" s="198">
        <v>15</v>
      </c>
      <c r="Q56" s="219">
        <f t="shared" si="30"/>
        <v>37.594121382563735</v>
      </c>
      <c r="R56" s="219">
        <f t="shared" si="31"/>
        <v>15.240860019958269</v>
      </c>
      <c r="S56" s="219">
        <f t="shared" si="32"/>
        <v>53.851038737185888</v>
      </c>
      <c r="T56" s="219">
        <f t="shared" si="33"/>
        <v>17.272974689286038</v>
      </c>
      <c r="U56" s="219">
        <f t="shared" si="34"/>
        <v>24.38537603193323</v>
      </c>
      <c r="V56" s="219">
        <f t="shared" si="35"/>
        <v>7.1124013426471926</v>
      </c>
      <c r="W56" s="216">
        <f t="shared" si="36"/>
        <v>8.1284586773110767</v>
      </c>
      <c r="X56" s="217">
        <f t="shared" si="37"/>
        <v>11.176630681302731</v>
      </c>
      <c r="Y56" s="217">
        <f t="shared" si="38"/>
        <v>43.69046539054704</v>
      </c>
      <c r="Z56" s="217">
        <f t="shared" si="39"/>
        <v>29.465662705252655</v>
      </c>
      <c r="AA56" s="217">
        <f t="shared" si="40"/>
        <v>22.353261362605462</v>
      </c>
      <c r="AB56" s="217">
        <f t="shared" si="41"/>
        <v>27.433548035924886</v>
      </c>
      <c r="AC56" s="217">
        <f t="shared" si="42"/>
        <v>15.240860019958269</v>
      </c>
    </row>
    <row r="57" spans="1:51">
      <c r="A57" s="206">
        <v>115</v>
      </c>
      <c r="B57" s="194" t="s">
        <v>306</v>
      </c>
      <c r="C57" s="198">
        <v>33</v>
      </c>
      <c r="D57" s="198">
        <v>30</v>
      </c>
      <c r="E57" s="198">
        <v>19</v>
      </c>
      <c r="F57" s="200"/>
      <c r="G57" s="198">
        <v>8</v>
      </c>
      <c r="H57" s="200"/>
      <c r="I57" s="200"/>
      <c r="J57" s="198">
        <v>11</v>
      </c>
      <c r="K57" s="198">
        <v>9</v>
      </c>
      <c r="L57" s="198">
        <v>8</v>
      </c>
      <c r="M57" s="198">
        <v>24</v>
      </c>
      <c r="N57" s="198">
        <v>9</v>
      </c>
      <c r="O57" s="198">
        <v>12</v>
      </c>
      <c r="Q57" s="219">
        <f t="shared" si="30"/>
        <v>33.529892043908191</v>
      </c>
      <c r="R57" s="219">
        <f t="shared" si="31"/>
        <v>30.481720039916539</v>
      </c>
      <c r="S57" s="219">
        <f t="shared" si="32"/>
        <v>19.305089358613809</v>
      </c>
      <c r="T57" s="219"/>
      <c r="U57" s="219">
        <f t="shared" si="34"/>
        <v>8.1284586773110767</v>
      </c>
      <c r="V57" s="219"/>
      <c r="W57" s="216"/>
      <c r="X57" s="217">
        <f t="shared" si="37"/>
        <v>11.176630681302731</v>
      </c>
      <c r="Y57" s="217">
        <f t="shared" si="38"/>
        <v>9.1445160119749627</v>
      </c>
      <c r="Z57" s="217">
        <f t="shared" si="39"/>
        <v>8.1284586773110767</v>
      </c>
      <c r="AA57" s="217">
        <f t="shared" si="40"/>
        <v>24.38537603193323</v>
      </c>
      <c r="AB57" s="217">
        <f t="shared" si="41"/>
        <v>9.1445160119749627</v>
      </c>
      <c r="AC57" s="217">
        <f t="shared" si="42"/>
        <v>12.192688015966615</v>
      </c>
    </row>
    <row r="58" spans="1:51" ht="22.5">
      <c r="A58" s="206">
        <v>116</v>
      </c>
      <c r="B58" s="194" t="s">
        <v>898</v>
      </c>
      <c r="C58" s="198">
        <v>339</v>
      </c>
      <c r="D58" s="198">
        <v>301</v>
      </c>
      <c r="E58" s="198">
        <v>281</v>
      </c>
      <c r="F58" s="198">
        <v>235</v>
      </c>
      <c r="G58" s="198">
        <v>214</v>
      </c>
      <c r="H58" s="198">
        <v>113</v>
      </c>
      <c r="I58" s="198">
        <v>93</v>
      </c>
      <c r="J58" s="198">
        <v>81</v>
      </c>
      <c r="K58" s="198">
        <v>61</v>
      </c>
      <c r="L58" s="198">
        <v>239</v>
      </c>
      <c r="M58" s="198">
        <v>163</v>
      </c>
      <c r="N58" s="198">
        <v>246</v>
      </c>
      <c r="O58" s="198">
        <v>90</v>
      </c>
      <c r="Q58" s="219">
        <f t="shared" si="30"/>
        <v>344.44343645105687</v>
      </c>
      <c r="R58" s="219">
        <f t="shared" si="31"/>
        <v>305.83325773382927</v>
      </c>
      <c r="S58" s="219">
        <f t="shared" si="32"/>
        <v>285.51211104055159</v>
      </c>
      <c r="T58" s="219">
        <f t="shared" si="33"/>
        <v>238.77347364601289</v>
      </c>
      <c r="U58" s="219">
        <f t="shared" si="34"/>
        <v>217.43626961807132</v>
      </c>
      <c r="V58" s="219">
        <f t="shared" si="35"/>
        <v>114.81447881701897</v>
      </c>
      <c r="W58" s="216">
        <f t="shared" si="36"/>
        <v>94.493332123741268</v>
      </c>
      <c r="X58" s="217">
        <f t="shared" si="37"/>
        <v>82.300644107774659</v>
      </c>
      <c r="Y58" s="217">
        <f t="shared" si="38"/>
        <v>61.979497414496961</v>
      </c>
      <c r="Z58" s="217">
        <f t="shared" si="39"/>
        <v>242.83770298466843</v>
      </c>
      <c r="AA58" s="217">
        <f t="shared" si="40"/>
        <v>165.6173455502132</v>
      </c>
      <c r="AB58" s="217">
        <f t="shared" si="41"/>
        <v>249.95010432731561</v>
      </c>
      <c r="AC58" s="217">
        <f t="shared" si="42"/>
        <v>91.445160119749616</v>
      </c>
    </row>
    <row r="59" spans="1:51" ht="22.5">
      <c r="A59" s="206">
        <v>117</v>
      </c>
      <c r="B59" s="194" t="s">
        <v>899</v>
      </c>
      <c r="C59" s="198">
        <v>173</v>
      </c>
      <c r="D59" s="198">
        <v>165</v>
      </c>
      <c r="E59" s="198">
        <v>128</v>
      </c>
      <c r="F59" s="198">
        <v>122</v>
      </c>
      <c r="G59" s="198">
        <v>116</v>
      </c>
      <c r="H59" s="198">
        <v>72</v>
      </c>
      <c r="I59" s="198">
        <v>50</v>
      </c>
      <c r="J59" s="198">
        <v>50</v>
      </c>
      <c r="K59" s="198">
        <v>39</v>
      </c>
      <c r="L59" s="198">
        <v>146</v>
      </c>
      <c r="M59" s="198">
        <v>114</v>
      </c>
      <c r="N59" s="198">
        <v>149</v>
      </c>
      <c r="O59" s="198">
        <v>41</v>
      </c>
      <c r="Q59" s="219">
        <f t="shared" si="30"/>
        <v>175.77791889685204</v>
      </c>
      <c r="R59" s="219">
        <f t="shared" si="31"/>
        <v>167.64946021954097</v>
      </c>
      <c r="S59" s="219">
        <f t="shared" si="32"/>
        <v>130.05533883697723</v>
      </c>
      <c r="T59" s="219">
        <f t="shared" si="33"/>
        <v>123.95899482899392</v>
      </c>
      <c r="U59" s="219">
        <f t="shared" si="34"/>
        <v>117.86265082101062</v>
      </c>
      <c r="V59" s="219">
        <f t="shared" si="35"/>
        <v>73.156128095799701</v>
      </c>
      <c r="W59" s="216">
        <f t="shared" si="36"/>
        <v>50.802866733194236</v>
      </c>
      <c r="X59" s="217">
        <f t="shared" si="37"/>
        <v>50.802866733194236</v>
      </c>
      <c r="Y59" s="217">
        <f t="shared" si="38"/>
        <v>39.626236051891503</v>
      </c>
      <c r="Z59" s="217">
        <f t="shared" si="39"/>
        <v>148.34437086092717</v>
      </c>
      <c r="AA59" s="217">
        <f t="shared" si="40"/>
        <v>115.83053615168285</v>
      </c>
      <c r="AB59" s="217">
        <f t="shared" si="41"/>
        <v>151.39254286491882</v>
      </c>
      <c r="AC59" s="217">
        <f t="shared" si="42"/>
        <v>41.658350721219271</v>
      </c>
    </row>
    <row r="60" spans="1:51" ht="22.5">
      <c r="A60" s="194" t="s">
        <v>900</v>
      </c>
      <c r="B60" s="194" t="s">
        <v>901</v>
      </c>
      <c r="C60" s="209">
        <v>-449</v>
      </c>
      <c r="D60" s="209">
        <v>-387</v>
      </c>
      <c r="E60" s="209">
        <v>-430</v>
      </c>
      <c r="F60" s="209">
        <v>-278</v>
      </c>
      <c r="G60" s="209">
        <v>-267</v>
      </c>
      <c r="H60" s="209">
        <v>-150</v>
      </c>
      <c r="I60" s="209">
        <v>-143</v>
      </c>
      <c r="J60" s="209">
        <v>-124</v>
      </c>
      <c r="K60" s="209">
        <v>-136</v>
      </c>
      <c r="L60" s="209">
        <v>-304</v>
      </c>
      <c r="M60" s="209">
        <v>-266</v>
      </c>
      <c r="N60" s="209">
        <v>-361</v>
      </c>
      <c r="O60" s="209">
        <v>-128</v>
      </c>
      <c r="Q60" s="219">
        <f t="shared" si="30"/>
        <v>-456.20974326408418</v>
      </c>
      <c r="R60" s="219">
        <f t="shared" si="31"/>
        <v>-393.21418851492336</v>
      </c>
      <c r="S60" s="219">
        <f t="shared" si="32"/>
        <v>-436.90465390547041</v>
      </c>
      <c r="T60" s="219">
        <f t="shared" si="33"/>
        <v>-282.46393903655991</v>
      </c>
      <c r="U60" s="219">
        <f t="shared" si="34"/>
        <v>-271.28730835525721</v>
      </c>
      <c r="V60" s="219">
        <f t="shared" si="35"/>
        <v>-152.40860019958271</v>
      </c>
      <c r="W60" s="216">
        <f t="shared" si="36"/>
        <v>-145.29619885693552</v>
      </c>
      <c r="X60" s="217">
        <f t="shared" si="37"/>
        <v>-125.99110949832169</v>
      </c>
      <c r="Y60" s="217">
        <f t="shared" si="38"/>
        <v>-138.1837975142883</v>
      </c>
      <c r="Z60" s="217">
        <f t="shared" si="39"/>
        <v>-308.88142973782095</v>
      </c>
      <c r="AA60" s="217">
        <f t="shared" si="40"/>
        <v>-270.2712510205933</v>
      </c>
      <c r="AB60" s="217">
        <f t="shared" si="41"/>
        <v>-366.79669781366238</v>
      </c>
      <c r="AC60" s="217">
        <f t="shared" si="42"/>
        <v>-130.05533883697723</v>
      </c>
    </row>
    <row r="61" spans="1:51" ht="22.5">
      <c r="A61" s="206">
        <v>121</v>
      </c>
      <c r="B61" s="194" t="s">
        <v>902</v>
      </c>
      <c r="C61" s="198">
        <v>286</v>
      </c>
      <c r="D61" s="198">
        <v>199</v>
      </c>
      <c r="E61" s="198">
        <v>161</v>
      </c>
      <c r="F61" s="198">
        <v>105</v>
      </c>
      <c r="G61" s="198">
        <v>120</v>
      </c>
      <c r="H61" s="198">
        <v>46</v>
      </c>
      <c r="I61" s="198">
        <v>50</v>
      </c>
      <c r="J61" s="198">
        <v>47</v>
      </c>
      <c r="K61" s="198">
        <v>49</v>
      </c>
      <c r="L61" s="198">
        <v>118</v>
      </c>
      <c r="M61" s="198">
        <v>104</v>
      </c>
      <c r="N61" s="198">
        <v>156</v>
      </c>
      <c r="O61" s="198">
        <v>38</v>
      </c>
      <c r="Q61" s="219">
        <f t="shared" si="30"/>
        <v>290.59239771387104</v>
      </c>
      <c r="R61" s="219">
        <f t="shared" si="31"/>
        <v>202.19540959811303</v>
      </c>
      <c r="S61" s="219">
        <f t="shared" si="32"/>
        <v>163.58523088088543</v>
      </c>
      <c r="T61" s="219">
        <f t="shared" si="33"/>
        <v>106.68602013970789</v>
      </c>
      <c r="U61" s="219">
        <f t="shared" si="34"/>
        <v>121.92688015966615</v>
      </c>
      <c r="V61" s="219">
        <f t="shared" si="35"/>
        <v>46.738637394538692</v>
      </c>
      <c r="W61" s="216">
        <f t="shared" si="36"/>
        <v>50.802866733194236</v>
      </c>
      <c r="X61" s="217">
        <f t="shared" si="37"/>
        <v>47.754694729202576</v>
      </c>
      <c r="Y61" s="217">
        <f t="shared" si="38"/>
        <v>49.786809398530345</v>
      </c>
      <c r="Z61" s="217">
        <f t="shared" si="39"/>
        <v>119.89476549033839</v>
      </c>
      <c r="AA61" s="217">
        <f t="shared" si="40"/>
        <v>105.66996280504401</v>
      </c>
      <c r="AB61" s="217">
        <f t="shared" si="41"/>
        <v>158.50494420756601</v>
      </c>
      <c r="AC61" s="217">
        <f t="shared" si="42"/>
        <v>38.610178717227619</v>
      </c>
      <c r="AE61" s="215">
        <f>SUM(Q61:Q63)</f>
        <v>583.21691009706979</v>
      </c>
      <c r="AF61" s="215">
        <f t="shared" ref="AF61:AQ61" si="46">SUM(R61:R63)</f>
        <v>513.10895400526169</v>
      </c>
      <c r="AG61" s="215">
        <f t="shared" si="46"/>
        <v>531.39798602921167</v>
      </c>
      <c r="AH61" s="215">
        <f t="shared" si="46"/>
        <v>306.84931506849318</v>
      </c>
      <c r="AI61" s="215">
        <f t="shared" si="46"/>
        <v>295.67268438719043</v>
      </c>
      <c r="AJ61" s="215">
        <f t="shared" si="46"/>
        <v>161.55311621155766</v>
      </c>
      <c r="AK61" s="215">
        <f t="shared" si="46"/>
        <v>168.66551755420485</v>
      </c>
      <c r="AL61" s="215">
        <f t="shared" si="46"/>
        <v>143.26408418760772</v>
      </c>
      <c r="AM61" s="215">
        <f t="shared" si="46"/>
        <v>60.963440079833077</v>
      </c>
      <c r="AN61" s="215">
        <f t="shared" si="46"/>
        <v>374.92515649097339</v>
      </c>
      <c r="AO61" s="215">
        <f t="shared" si="46"/>
        <v>345.45949378572084</v>
      </c>
      <c r="AP61" s="215">
        <f t="shared" si="46"/>
        <v>419.63167921618435</v>
      </c>
      <c r="AQ61" s="215">
        <f t="shared" si="46"/>
        <v>165.6173455502132</v>
      </c>
    </row>
    <row r="62" spans="1:51" ht="22.5">
      <c r="A62" s="206">
        <v>122</v>
      </c>
      <c r="B62" s="194" t="s">
        <v>903</v>
      </c>
      <c r="C62" s="198">
        <v>163</v>
      </c>
      <c r="D62" s="198">
        <v>188</v>
      </c>
      <c r="E62" s="198">
        <v>269</v>
      </c>
      <c r="F62" s="198">
        <v>173</v>
      </c>
      <c r="G62" s="198">
        <v>147</v>
      </c>
      <c r="H62" s="198">
        <v>104</v>
      </c>
      <c r="I62" s="198">
        <v>93</v>
      </c>
      <c r="J62" s="198">
        <v>77</v>
      </c>
      <c r="K62" s="198">
        <v>8</v>
      </c>
      <c r="L62" s="198">
        <v>186</v>
      </c>
      <c r="M62" s="202">
        <v>162</v>
      </c>
      <c r="N62" s="202">
        <v>205</v>
      </c>
      <c r="O62" s="198">
        <v>90</v>
      </c>
      <c r="Q62" s="219">
        <f t="shared" si="30"/>
        <v>165.6173455502132</v>
      </c>
      <c r="R62" s="219">
        <f t="shared" si="31"/>
        <v>191.01877891681031</v>
      </c>
      <c r="S62" s="219">
        <f t="shared" si="32"/>
        <v>273.31942302458498</v>
      </c>
      <c r="T62" s="219">
        <f t="shared" si="33"/>
        <v>175.77791889685204</v>
      </c>
      <c r="U62" s="219">
        <f t="shared" si="34"/>
        <v>149.36042819559106</v>
      </c>
      <c r="V62" s="219">
        <f t="shared" si="35"/>
        <v>105.66996280504401</v>
      </c>
      <c r="W62" s="216">
        <f t="shared" si="36"/>
        <v>94.493332123741268</v>
      </c>
      <c r="X62" s="217">
        <f t="shared" si="37"/>
        <v>78.236414769119122</v>
      </c>
      <c r="Y62" s="217">
        <f t="shared" si="38"/>
        <v>8.1284586773110767</v>
      </c>
      <c r="Z62" s="217">
        <f t="shared" si="39"/>
        <v>188.98666424748254</v>
      </c>
      <c r="AA62" s="217">
        <f t="shared" si="40"/>
        <v>164.60128821554932</v>
      </c>
      <c r="AB62" s="217">
        <f t="shared" si="41"/>
        <v>208.29175360609636</v>
      </c>
      <c r="AC62" s="217">
        <f t="shared" si="42"/>
        <v>91.445160119749616</v>
      </c>
    </row>
    <row r="63" spans="1:51" ht="22.5">
      <c r="A63" s="206">
        <v>123</v>
      </c>
      <c r="B63" s="194" t="s">
        <v>904</v>
      </c>
      <c r="C63" s="198">
        <v>125</v>
      </c>
      <c r="D63" s="198">
        <v>118</v>
      </c>
      <c r="E63" s="198">
        <v>93</v>
      </c>
      <c r="F63" s="198">
        <v>24</v>
      </c>
      <c r="G63" s="198">
        <v>24</v>
      </c>
      <c r="H63" s="198">
        <v>9</v>
      </c>
      <c r="I63" s="198">
        <v>23</v>
      </c>
      <c r="J63" s="198">
        <v>17</v>
      </c>
      <c r="K63" s="202">
        <v>3</v>
      </c>
      <c r="L63" s="198">
        <v>65</v>
      </c>
      <c r="M63" s="198">
        <v>74</v>
      </c>
      <c r="N63" s="198">
        <v>52</v>
      </c>
      <c r="O63" s="214">
        <v>35</v>
      </c>
      <c r="Q63" s="219">
        <f t="shared" si="30"/>
        <v>127.00716683298558</v>
      </c>
      <c r="R63" s="219">
        <f t="shared" si="31"/>
        <v>119.89476549033839</v>
      </c>
      <c r="S63" s="219">
        <f t="shared" si="32"/>
        <v>94.493332123741268</v>
      </c>
      <c r="T63" s="219">
        <f t="shared" si="33"/>
        <v>24.38537603193323</v>
      </c>
      <c r="U63" s="219">
        <f t="shared" si="34"/>
        <v>24.38537603193323</v>
      </c>
      <c r="V63" s="219">
        <f t="shared" si="35"/>
        <v>9.1445160119749627</v>
      </c>
      <c r="W63" s="216">
        <f t="shared" si="36"/>
        <v>23.369318697269346</v>
      </c>
      <c r="X63" s="217">
        <f t="shared" si="37"/>
        <v>17.272974689286038</v>
      </c>
      <c r="Y63" s="217">
        <f t="shared" si="38"/>
        <v>3.0481720039916538</v>
      </c>
      <c r="Z63" s="217">
        <f t="shared" si="39"/>
        <v>66.043726753152498</v>
      </c>
      <c r="AA63" s="217">
        <f t="shared" si="40"/>
        <v>75.18824276512747</v>
      </c>
      <c r="AB63" s="217">
        <f t="shared" si="41"/>
        <v>52.834981402522004</v>
      </c>
      <c r="AC63" s="217">
        <f t="shared" si="42"/>
        <v>35.562006713235959</v>
      </c>
    </row>
    <row r="64" spans="1:51" ht="22.5">
      <c r="A64" s="194" t="s">
        <v>905</v>
      </c>
      <c r="B64" s="194" t="s">
        <v>906</v>
      </c>
      <c r="C64" s="201">
        <v>1103</v>
      </c>
      <c r="D64" s="201">
        <v>1004</v>
      </c>
      <c r="E64" s="198">
        <v>861</v>
      </c>
      <c r="F64" s="198">
        <v>685</v>
      </c>
      <c r="G64" s="198">
        <v>696</v>
      </c>
      <c r="H64" s="198">
        <v>421</v>
      </c>
      <c r="I64" s="198">
        <v>333</v>
      </c>
      <c r="J64" s="198">
        <v>301</v>
      </c>
      <c r="K64" s="198">
        <v>215</v>
      </c>
      <c r="L64" s="198">
        <v>860</v>
      </c>
      <c r="M64" s="198">
        <v>892</v>
      </c>
      <c r="N64" s="198">
        <v>920</v>
      </c>
      <c r="O64" s="198">
        <v>312</v>
      </c>
      <c r="Q64" s="219">
        <f t="shared" si="30"/>
        <v>1120.7112401342647</v>
      </c>
      <c r="R64" s="219">
        <f t="shared" si="31"/>
        <v>1020.1215640025401</v>
      </c>
      <c r="S64" s="219">
        <f t="shared" si="32"/>
        <v>874.82536514560468</v>
      </c>
      <c r="T64" s="219">
        <f t="shared" si="33"/>
        <v>695.99927424476095</v>
      </c>
      <c r="U64" s="219">
        <f t="shared" si="34"/>
        <v>707.17590492606371</v>
      </c>
      <c r="V64" s="219">
        <f t="shared" si="35"/>
        <v>427.76013789349543</v>
      </c>
      <c r="W64" s="216">
        <f t="shared" si="36"/>
        <v>338.34709244307356</v>
      </c>
      <c r="X64" s="217">
        <f t="shared" si="37"/>
        <v>305.83325773382927</v>
      </c>
      <c r="Y64" s="217">
        <f t="shared" si="38"/>
        <v>218.45232695273521</v>
      </c>
      <c r="Z64" s="217">
        <f t="shared" si="39"/>
        <v>873.80930781094082</v>
      </c>
      <c r="AA64" s="217">
        <f t="shared" si="40"/>
        <v>906.32314252018512</v>
      </c>
      <c r="AB64" s="217">
        <f t="shared" si="41"/>
        <v>934.77274789077387</v>
      </c>
      <c r="AC64" s="217">
        <f t="shared" si="42"/>
        <v>317.00988841513202</v>
      </c>
    </row>
    <row r="65" spans="1:43" ht="22.5">
      <c r="A65" s="199"/>
      <c r="B65" s="194" t="s">
        <v>907</v>
      </c>
      <c r="C65" s="200"/>
      <c r="D65" s="200"/>
      <c r="E65" s="200"/>
      <c r="F65" s="200"/>
      <c r="G65" s="200"/>
      <c r="H65" s="200"/>
      <c r="I65" s="200"/>
      <c r="J65" s="200"/>
      <c r="K65" s="200"/>
      <c r="L65" s="200"/>
      <c r="M65" s="200"/>
      <c r="N65" s="200"/>
      <c r="O65" s="200"/>
      <c r="Q65" s="219"/>
      <c r="R65" s="219"/>
      <c r="S65" s="219"/>
      <c r="T65" s="219"/>
      <c r="U65" s="219"/>
      <c r="V65" s="219"/>
      <c r="W65" s="216"/>
      <c r="X65" s="217"/>
      <c r="Y65" s="217"/>
      <c r="Z65" s="217"/>
      <c r="AA65" s="217"/>
      <c r="AB65" s="217"/>
      <c r="AC65" s="217"/>
    </row>
    <row r="66" spans="1:43">
      <c r="A66" s="206">
        <v>131</v>
      </c>
      <c r="B66" s="194" t="s">
        <v>314</v>
      </c>
      <c r="C66" s="209">
        <v>-389</v>
      </c>
      <c r="D66" s="209">
        <v>-365</v>
      </c>
      <c r="E66" s="209">
        <v>-253</v>
      </c>
      <c r="F66" s="209">
        <v>-196</v>
      </c>
      <c r="G66" s="209">
        <v>-201</v>
      </c>
      <c r="H66" s="209">
        <v>-238</v>
      </c>
      <c r="I66" s="209">
        <v>-155</v>
      </c>
      <c r="J66" s="209">
        <v>-125</v>
      </c>
      <c r="K66" s="209">
        <v>-76</v>
      </c>
      <c r="L66" s="209">
        <v>-200</v>
      </c>
      <c r="M66" s="209">
        <v>-219</v>
      </c>
      <c r="N66" s="209">
        <v>-212</v>
      </c>
      <c r="O66" s="209">
        <v>-159</v>
      </c>
      <c r="Q66" s="219">
        <f>-C66*2240/2204.6</f>
        <v>395.24630318425113</v>
      </c>
      <c r="R66" s="219">
        <f t="shared" ref="R66:AC66" si="47">-D66*2240/2204.6</f>
        <v>370.86092715231791</v>
      </c>
      <c r="S66" s="219">
        <f t="shared" si="47"/>
        <v>257.06250566996283</v>
      </c>
      <c r="T66" s="219">
        <f t="shared" si="47"/>
        <v>199.14723759412138</v>
      </c>
      <c r="U66" s="219">
        <f t="shared" si="47"/>
        <v>204.22752426744083</v>
      </c>
      <c r="V66" s="219">
        <f t="shared" si="47"/>
        <v>241.82164565000454</v>
      </c>
      <c r="W66" s="216">
        <f t="shared" si="47"/>
        <v>157.48888687290213</v>
      </c>
      <c r="X66" s="217">
        <f t="shared" si="47"/>
        <v>127.00716683298558</v>
      </c>
      <c r="Y66" s="217">
        <f t="shared" si="47"/>
        <v>77.220357434455238</v>
      </c>
      <c r="Z66" s="217">
        <f t="shared" si="47"/>
        <v>203.21146693277694</v>
      </c>
      <c r="AA66" s="217">
        <f t="shared" si="47"/>
        <v>222.51655629139074</v>
      </c>
      <c r="AB66" s="217">
        <f t="shared" si="47"/>
        <v>215.40415494874355</v>
      </c>
      <c r="AC66" s="217">
        <f t="shared" si="47"/>
        <v>161.55311621155766</v>
      </c>
    </row>
    <row r="67" spans="1:43" ht="22.5">
      <c r="A67" s="206">
        <v>150</v>
      </c>
      <c r="B67" s="194" t="s">
        <v>908</v>
      </c>
      <c r="C67" s="198">
        <v>198</v>
      </c>
      <c r="D67" s="198">
        <v>213</v>
      </c>
      <c r="E67" s="198">
        <v>118</v>
      </c>
      <c r="F67" s="198">
        <v>136</v>
      </c>
      <c r="G67" s="198">
        <v>149</v>
      </c>
      <c r="H67" s="198">
        <v>150</v>
      </c>
      <c r="I67" s="198">
        <v>111</v>
      </c>
      <c r="J67" s="198">
        <v>51</v>
      </c>
      <c r="K67" s="198">
        <v>30</v>
      </c>
      <c r="L67" s="198">
        <v>257</v>
      </c>
      <c r="M67" s="198">
        <v>409</v>
      </c>
      <c r="N67" s="198">
        <v>262</v>
      </c>
      <c r="O67" s="198">
        <v>102</v>
      </c>
      <c r="Q67" s="219">
        <f t="shared" si="30"/>
        <v>201.17935226344915</v>
      </c>
      <c r="R67" s="219">
        <f t="shared" si="31"/>
        <v>216.42021228340744</v>
      </c>
      <c r="S67" s="219">
        <f t="shared" si="32"/>
        <v>119.89476549033839</v>
      </c>
      <c r="T67" s="219">
        <f t="shared" si="33"/>
        <v>138.1837975142883</v>
      </c>
      <c r="U67" s="219">
        <f t="shared" si="34"/>
        <v>151.39254286491882</v>
      </c>
      <c r="V67" s="219">
        <f t="shared" si="35"/>
        <v>152.40860019958271</v>
      </c>
      <c r="W67" s="216">
        <f t="shared" si="36"/>
        <v>112.7823641476912</v>
      </c>
      <c r="X67" s="217">
        <f t="shared" si="37"/>
        <v>51.81892406785812</v>
      </c>
      <c r="Y67" s="217">
        <f t="shared" si="38"/>
        <v>30.481720039916539</v>
      </c>
      <c r="Z67" s="217">
        <f t="shared" si="39"/>
        <v>261.12673500861837</v>
      </c>
      <c r="AA67" s="217">
        <f t="shared" si="40"/>
        <v>415.56744987752882</v>
      </c>
      <c r="AB67" s="217">
        <f t="shared" si="41"/>
        <v>266.20702168193776</v>
      </c>
      <c r="AC67" s="217">
        <f t="shared" si="42"/>
        <v>103.63784813571624</v>
      </c>
    </row>
    <row r="68" spans="1:43">
      <c r="A68" s="206">
        <v>161</v>
      </c>
      <c r="B68" s="194" t="s">
        <v>909</v>
      </c>
      <c r="C68" s="198">
        <v>86</v>
      </c>
      <c r="D68" s="198">
        <v>85</v>
      </c>
      <c r="E68" s="198">
        <v>78</v>
      </c>
      <c r="F68" s="198">
        <v>59</v>
      </c>
      <c r="G68" s="198">
        <v>56</v>
      </c>
      <c r="H68" s="198">
        <v>30</v>
      </c>
      <c r="I68" s="198">
        <v>33</v>
      </c>
      <c r="J68" s="198">
        <v>22</v>
      </c>
      <c r="K68" s="198">
        <v>11</v>
      </c>
      <c r="L68" s="198">
        <v>103</v>
      </c>
      <c r="M68" s="198">
        <v>133</v>
      </c>
      <c r="N68" s="198">
        <v>95</v>
      </c>
      <c r="O68" s="198">
        <v>9</v>
      </c>
      <c r="Q68" s="219">
        <f t="shared" si="30"/>
        <v>87.380930781094079</v>
      </c>
      <c r="R68" s="219">
        <f t="shared" si="31"/>
        <v>86.364873446430195</v>
      </c>
      <c r="S68" s="219">
        <f t="shared" si="32"/>
        <v>79.252472103783006</v>
      </c>
      <c r="T68" s="219">
        <f t="shared" si="33"/>
        <v>59.947382745169193</v>
      </c>
      <c r="U68" s="219">
        <f t="shared" si="34"/>
        <v>56.899210741177541</v>
      </c>
      <c r="V68" s="219">
        <f t="shared" si="35"/>
        <v>30.481720039916539</v>
      </c>
      <c r="W68" s="216">
        <f t="shared" si="36"/>
        <v>33.529892043908191</v>
      </c>
      <c r="X68" s="217">
        <f t="shared" si="37"/>
        <v>22.353261362605462</v>
      </c>
      <c r="Y68" s="217">
        <f t="shared" si="38"/>
        <v>11.176630681302731</v>
      </c>
      <c r="Z68" s="217">
        <f t="shared" si="39"/>
        <v>104.65390547038012</v>
      </c>
      <c r="AA68" s="217">
        <f t="shared" si="40"/>
        <v>135.13562551029665</v>
      </c>
      <c r="AB68" s="217">
        <f t="shared" si="41"/>
        <v>96.525446793069037</v>
      </c>
      <c r="AC68" s="217">
        <f t="shared" si="42"/>
        <v>9.1445160119749627</v>
      </c>
      <c r="AE68" s="215">
        <f>SUM(Q68:Q75)</f>
        <v>289.57634037920712</v>
      </c>
      <c r="AF68" s="215">
        <f t="shared" ref="AF68:AQ68" si="48">SUM(R68:R75)</f>
        <v>238.77347364601289</v>
      </c>
      <c r="AG68" s="215">
        <f t="shared" si="48"/>
        <v>156.47282953823824</v>
      </c>
      <c r="AH68" s="215">
        <f t="shared" si="48"/>
        <v>151.39254286491879</v>
      </c>
      <c r="AI68" s="215">
        <f t="shared" si="48"/>
        <v>103.63784813571624</v>
      </c>
      <c r="AJ68" s="215">
        <f t="shared" si="48"/>
        <v>52.834981402521997</v>
      </c>
      <c r="AK68" s="215">
        <f t="shared" si="48"/>
        <v>114.81447881701897</v>
      </c>
      <c r="AL68" s="215">
        <f t="shared" si="48"/>
        <v>81.28458677311076</v>
      </c>
      <c r="AM68" s="215">
        <f t="shared" si="48"/>
        <v>21.337204027941578</v>
      </c>
      <c r="AN68" s="215">
        <f t="shared" si="48"/>
        <v>481.61117663068137</v>
      </c>
      <c r="AO68" s="215">
        <f t="shared" si="48"/>
        <v>377.97332849496513</v>
      </c>
      <c r="AP68" s="215">
        <f t="shared" si="48"/>
        <v>391.1820738455956</v>
      </c>
      <c r="AQ68" s="215">
        <f t="shared" si="48"/>
        <v>37.594121382563728</v>
      </c>
    </row>
    <row r="69" spans="1:43">
      <c r="A69" s="206">
        <v>162</v>
      </c>
      <c r="B69" s="194" t="s">
        <v>910</v>
      </c>
      <c r="C69" s="200"/>
      <c r="D69" s="200"/>
      <c r="E69" s="200"/>
      <c r="F69" s="198">
        <v>32</v>
      </c>
      <c r="G69" s="200"/>
      <c r="H69" s="200"/>
      <c r="I69" s="198">
        <v>13</v>
      </c>
      <c r="J69" s="200"/>
      <c r="K69" s="200"/>
      <c r="L69" s="198">
        <v>12</v>
      </c>
      <c r="M69" s="198">
        <v>7</v>
      </c>
      <c r="N69" s="198">
        <v>19</v>
      </c>
      <c r="O69" s="198">
        <v>3</v>
      </c>
      <c r="Q69" s="219"/>
      <c r="R69" s="219"/>
      <c r="S69" s="219"/>
      <c r="T69" s="219">
        <f t="shared" si="33"/>
        <v>32.513834709244307</v>
      </c>
      <c r="U69" s="219"/>
      <c r="V69" s="219"/>
      <c r="W69" s="216">
        <f t="shared" si="36"/>
        <v>13.208745350630501</v>
      </c>
      <c r="X69" s="217"/>
      <c r="Y69" s="217"/>
      <c r="Z69" s="217">
        <f t="shared" si="39"/>
        <v>12.192688015966615</v>
      </c>
      <c r="AA69" s="217">
        <f t="shared" si="40"/>
        <v>7.1124013426471926</v>
      </c>
      <c r="AB69" s="217">
        <f t="shared" si="41"/>
        <v>19.305089358613809</v>
      </c>
      <c r="AC69" s="217">
        <f t="shared" si="42"/>
        <v>3.0481720039916538</v>
      </c>
    </row>
    <row r="70" spans="1:43">
      <c r="A70" s="206">
        <v>163</v>
      </c>
      <c r="B70" s="194" t="s">
        <v>911</v>
      </c>
      <c r="C70" s="198">
        <v>37</v>
      </c>
      <c r="D70" s="198">
        <v>35</v>
      </c>
      <c r="E70" s="198">
        <v>18</v>
      </c>
      <c r="F70" s="198">
        <v>20</v>
      </c>
      <c r="G70" s="198">
        <v>20</v>
      </c>
      <c r="H70" s="198">
        <v>4</v>
      </c>
      <c r="I70" s="198">
        <v>8</v>
      </c>
      <c r="J70" s="198">
        <v>7</v>
      </c>
      <c r="K70" s="198">
        <v>2</v>
      </c>
      <c r="L70" s="198">
        <v>6</v>
      </c>
      <c r="M70" s="198">
        <v>5</v>
      </c>
      <c r="N70" s="198">
        <v>6</v>
      </c>
      <c r="O70" s="198">
        <v>3</v>
      </c>
      <c r="Q70" s="219">
        <f t="shared" si="30"/>
        <v>37.594121382563735</v>
      </c>
      <c r="R70" s="219">
        <f t="shared" si="31"/>
        <v>35.562006713235959</v>
      </c>
      <c r="S70" s="219">
        <f t="shared" si="32"/>
        <v>18.289032023949925</v>
      </c>
      <c r="T70" s="219">
        <f t="shared" si="33"/>
        <v>20.321146693277694</v>
      </c>
      <c r="U70" s="219">
        <f t="shared" si="34"/>
        <v>20.321146693277694</v>
      </c>
      <c r="V70" s="219">
        <f t="shared" si="35"/>
        <v>4.0642293386555384</v>
      </c>
      <c r="W70" s="216">
        <f t="shared" si="36"/>
        <v>8.1284586773110767</v>
      </c>
      <c r="X70" s="217">
        <f t="shared" si="37"/>
        <v>7.1124013426471926</v>
      </c>
      <c r="Y70" s="217">
        <f t="shared" si="38"/>
        <v>2.0321146693277692</v>
      </c>
      <c r="Z70" s="217">
        <f t="shared" si="39"/>
        <v>6.0963440079833076</v>
      </c>
      <c r="AA70" s="217">
        <f t="shared" si="40"/>
        <v>5.0802866733194234</v>
      </c>
      <c r="AB70" s="217">
        <f t="shared" si="41"/>
        <v>6.0963440079833076</v>
      </c>
      <c r="AC70" s="217">
        <f t="shared" si="42"/>
        <v>3.0481720039916538</v>
      </c>
    </row>
    <row r="71" spans="1:43" ht="22.5">
      <c r="A71" s="206">
        <v>164</v>
      </c>
      <c r="B71" s="194" t="s">
        <v>332</v>
      </c>
      <c r="C71" s="200"/>
      <c r="D71" s="200"/>
      <c r="E71" s="200"/>
      <c r="F71" s="200"/>
      <c r="G71" s="200"/>
      <c r="H71" s="200"/>
      <c r="I71" s="200"/>
      <c r="J71" s="200"/>
      <c r="K71" s="200"/>
      <c r="L71" s="198">
        <v>220</v>
      </c>
      <c r="M71" s="198">
        <v>81</v>
      </c>
      <c r="N71" s="198">
        <v>136</v>
      </c>
      <c r="O71" s="200"/>
      <c r="Q71" s="219"/>
      <c r="R71" s="219"/>
      <c r="S71" s="219"/>
      <c r="T71" s="219"/>
      <c r="U71" s="219"/>
      <c r="V71" s="219"/>
      <c r="W71" s="216"/>
      <c r="X71" s="217"/>
      <c r="Y71" s="217"/>
      <c r="Z71" s="217">
        <f t="shared" si="39"/>
        <v>223.53261362605463</v>
      </c>
      <c r="AA71" s="217">
        <f t="shared" si="40"/>
        <v>82.300644107774659</v>
      </c>
      <c r="AB71" s="217">
        <f t="shared" si="41"/>
        <v>138.1837975142883</v>
      </c>
      <c r="AC71" s="217"/>
    </row>
    <row r="72" spans="1:43">
      <c r="A72" s="206">
        <v>165</v>
      </c>
      <c r="B72" s="194" t="s">
        <v>912</v>
      </c>
      <c r="C72" s="198">
        <v>68</v>
      </c>
      <c r="D72" s="198">
        <v>67</v>
      </c>
      <c r="E72" s="200"/>
      <c r="F72" s="198">
        <v>9</v>
      </c>
      <c r="G72" s="200"/>
      <c r="H72" s="200"/>
      <c r="I72" s="198">
        <v>38</v>
      </c>
      <c r="J72" s="198">
        <v>33</v>
      </c>
      <c r="K72" s="200"/>
      <c r="L72" s="198">
        <v>77</v>
      </c>
      <c r="M72" s="198">
        <v>86</v>
      </c>
      <c r="N72" s="198">
        <v>80</v>
      </c>
      <c r="O72" s="198">
        <v>1</v>
      </c>
      <c r="Q72" s="219">
        <f t="shared" si="30"/>
        <v>69.091898757144151</v>
      </c>
      <c r="R72" s="219">
        <f t="shared" si="31"/>
        <v>68.075841422480266</v>
      </c>
      <c r="S72" s="219"/>
      <c r="T72" s="219">
        <f t="shared" si="33"/>
        <v>9.1445160119749627</v>
      </c>
      <c r="U72" s="219"/>
      <c r="V72" s="219"/>
      <c r="W72" s="216">
        <f t="shared" si="36"/>
        <v>38.610178717227619</v>
      </c>
      <c r="X72" s="217">
        <f t="shared" si="37"/>
        <v>33.529892043908191</v>
      </c>
      <c r="Y72" s="217"/>
      <c r="Z72" s="217">
        <f t="shared" si="39"/>
        <v>78.236414769119122</v>
      </c>
      <c r="AA72" s="217">
        <f t="shared" si="40"/>
        <v>87.380930781094079</v>
      </c>
      <c r="AB72" s="217">
        <f t="shared" si="41"/>
        <v>81.284586773110775</v>
      </c>
      <c r="AC72" s="217">
        <f t="shared" si="42"/>
        <v>1.0160573346638846</v>
      </c>
    </row>
    <row r="73" spans="1:43">
      <c r="A73" s="206">
        <v>167</v>
      </c>
      <c r="B73" s="194" t="s">
        <v>913</v>
      </c>
      <c r="C73" s="198">
        <v>58</v>
      </c>
      <c r="D73" s="198">
        <v>47</v>
      </c>
      <c r="E73" s="198">
        <v>23</v>
      </c>
      <c r="F73" s="198">
        <v>28</v>
      </c>
      <c r="G73" s="198">
        <v>10</v>
      </c>
      <c r="H73" s="198">
        <v>14</v>
      </c>
      <c r="I73" s="198">
        <v>8</v>
      </c>
      <c r="J73" s="198">
        <v>15</v>
      </c>
      <c r="K73" s="198">
        <v>6</v>
      </c>
      <c r="L73" s="198">
        <v>47</v>
      </c>
      <c r="M73" s="198">
        <v>31</v>
      </c>
      <c r="N73" s="198">
        <v>40</v>
      </c>
      <c r="O73" s="198">
        <v>17</v>
      </c>
      <c r="Q73" s="219">
        <f t="shared" si="30"/>
        <v>58.931325410505309</v>
      </c>
      <c r="R73" s="219">
        <f t="shared" si="31"/>
        <v>47.754694729202576</v>
      </c>
      <c r="S73" s="219">
        <f t="shared" si="32"/>
        <v>23.369318697269346</v>
      </c>
      <c r="T73" s="219">
        <f t="shared" si="33"/>
        <v>28.44960537058877</v>
      </c>
      <c r="U73" s="219">
        <f t="shared" si="34"/>
        <v>10.160573346638847</v>
      </c>
      <c r="V73" s="219">
        <f t="shared" si="35"/>
        <v>14.224802685294385</v>
      </c>
      <c r="W73" s="216">
        <f t="shared" si="36"/>
        <v>8.1284586773110767</v>
      </c>
      <c r="X73" s="217">
        <f t="shared" si="37"/>
        <v>15.240860019958269</v>
      </c>
      <c r="Y73" s="217">
        <f t="shared" si="38"/>
        <v>6.0963440079833076</v>
      </c>
      <c r="Z73" s="217">
        <f t="shared" si="39"/>
        <v>47.754694729202576</v>
      </c>
      <c r="AA73" s="217">
        <f t="shared" si="40"/>
        <v>31.497777374580423</v>
      </c>
      <c r="AB73" s="217">
        <f t="shared" si="41"/>
        <v>40.642293386555387</v>
      </c>
      <c r="AC73" s="217">
        <f t="shared" si="42"/>
        <v>17.272974689286038</v>
      </c>
    </row>
    <row r="74" spans="1:43" ht="22.5">
      <c r="A74" s="206">
        <v>168</v>
      </c>
      <c r="B74" s="194" t="s">
        <v>914</v>
      </c>
      <c r="C74" s="200"/>
      <c r="D74" s="200"/>
      <c r="E74" s="198">
        <v>15</v>
      </c>
      <c r="F74" s="200"/>
      <c r="G74" s="198">
        <v>16</v>
      </c>
      <c r="H74" s="198">
        <v>4</v>
      </c>
      <c r="I74" s="198">
        <v>10</v>
      </c>
      <c r="J74" s="200"/>
      <c r="K74" s="198">
        <v>2</v>
      </c>
      <c r="L74" s="198">
        <v>1</v>
      </c>
      <c r="M74" s="198">
        <v>20</v>
      </c>
      <c r="N74" s="198">
        <v>2</v>
      </c>
      <c r="O74" s="198">
        <v>2</v>
      </c>
      <c r="Q74" s="219"/>
      <c r="R74" s="219"/>
      <c r="S74" s="219">
        <f t="shared" si="32"/>
        <v>15.240860019958269</v>
      </c>
      <c r="T74" s="219"/>
      <c r="U74" s="219">
        <f t="shared" si="34"/>
        <v>16.256917354622153</v>
      </c>
      <c r="V74" s="219">
        <f t="shared" si="35"/>
        <v>4.0642293386555384</v>
      </c>
      <c r="W74" s="216">
        <f t="shared" si="36"/>
        <v>10.160573346638847</v>
      </c>
      <c r="X74" s="217"/>
      <c r="Y74" s="217">
        <f t="shared" si="38"/>
        <v>2.0321146693277692</v>
      </c>
      <c r="Z74" s="217">
        <f t="shared" si="39"/>
        <v>1.0160573346638846</v>
      </c>
      <c r="AA74" s="217">
        <f t="shared" si="40"/>
        <v>20.321146693277694</v>
      </c>
      <c r="AB74" s="217">
        <f t="shared" si="41"/>
        <v>2.0321146693277692</v>
      </c>
      <c r="AC74" s="217">
        <f t="shared" si="42"/>
        <v>2.0321146693277692</v>
      </c>
    </row>
    <row r="75" spans="1:43" ht="33.75">
      <c r="A75" s="206">
        <v>169</v>
      </c>
      <c r="B75" s="194" t="s">
        <v>336</v>
      </c>
      <c r="C75" s="198">
        <v>36</v>
      </c>
      <c r="D75" s="198">
        <v>1</v>
      </c>
      <c r="E75" s="198">
        <v>20</v>
      </c>
      <c r="F75" s="198">
        <v>1</v>
      </c>
      <c r="G75" s="200"/>
      <c r="H75" s="200"/>
      <c r="I75" s="198">
        <v>3</v>
      </c>
      <c r="J75" s="198">
        <v>3</v>
      </c>
      <c r="K75" s="200"/>
      <c r="L75" s="198">
        <v>8</v>
      </c>
      <c r="M75" s="198">
        <v>9</v>
      </c>
      <c r="N75" s="198">
        <v>7</v>
      </c>
      <c r="O75" s="198">
        <v>2</v>
      </c>
      <c r="Q75" s="219">
        <f t="shared" si="30"/>
        <v>36.578064047899851</v>
      </c>
      <c r="R75" s="219">
        <f t="shared" si="31"/>
        <v>1.0160573346638846</v>
      </c>
      <c r="S75" s="219">
        <f t="shared" si="32"/>
        <v>20.321146693277694</v>
      </c>
      <c r="T75" s="219">
        <f t="shared" si="33"/>
        <v>1.0160573346638846</v>
      </c>
      <c r="U75" s="219"/>
      <c r="V75" s="219"/>
      <c r="W75" s="216">
        <f t="shared" si="36"/>
        <v>3.0481720039916538</v>
      </c>
      <c r="X75" s="217">
        <f t="shared" si="37"/>
        <v>3.0481720039916538</v>
      </c>
      <c r="Y75" s="217"/>
      <c r="Z75" s="217">
        <f t="shared" si="39"/>
        <v>8.1284586773110767</v>
      </c>
      <c r="AA75" s="217">
        <f t="shared" si="40"/>
        <v>9.1445160119749627</v>
      </c>
      <c r="AB75" s="217">
        <f t="shared" si="41"/>
        <v>7.1124013426471926</v>
      </c>
      <c r="AC75" s="217">
        <f t="shared" si="42"/>
        <v>2.0321146693277692</v>
      </c>
    </row>
    <row r="76" spans="1:43" ht="22.5">
      <c r="A76" s="206">
        <v>171</v>
      </c>
      <c r="B76" s="194" t="s">
        <v>915</v>
      </c>
      <c r="C76" s="198">
        <v>31</v>
      </c>
      <c r="D76" s="198">
        <v>10</v>
      </c>
      <c r="E76" s="200"/>
      <c r="F76" s="200"/>
      <c r="G76" s="200"/>
      <c r="H76" s="200"/>
      <c r="I76" s="200"/>
      <c r="J76" s="200"/>
      <c r="K76" s="200"/>
      <c r="L76" s="198">
        <v>11</v>
      </c>
      <c r="M76" s="198">
        <v>2</v>
      </c>
      <c r="N76" s="198">
        <v>27</v>
      </c>
      <c r="O76" s="198">
        <v>7</v>
      </c>
      <c r="Q76" s="219">
        <f t="shared" si="30"/>
        <v>31.497777374580423</v>
      </c>
      <c r="R76" s="219">
        <f t="shared" si="31"/>
        <v>10.160573346638847</v>
      </c>
      <c r="S76" s="219"/>
      <c r="T76" s="219"/>
      <c r="U76" s="219"/>
      <c r="V76" s="219"/>
      <c r="W76" s="216"/>
      <c r="X76" s="217"/>
      <c r="Y76" s="217"/>
      <c r="Z76" s="217">
        <f t="shared" si="39"/>
        <v>11.176630681302731</v>
      </c>
      <c r="AA76" s="217">
        <f t="shared" si="40"/>
        <v>2.0321146693277692</v>
      </c>
      <c r="AB76" s="217">
        <f t="shared" si="41"/>
        <v>27.433548035924886</v>
      </c>
      <c r="AC76" s="217">
        <f t="shared" si="42"/>
        <v>7.1124013426471926</v>
      </c>
      <c r="AE76" s="215">
        <f>SUM(Q76:Q78)</f>
        <v>31.497777374580423</v>
      </c>
      <c r="AF76" s="215">
        <f t="shared" ref="AF76:AQ76" si="49">SUM(R76:R78)</f>
        <v>19.305089358613809</v>
      </c>
      <c r="AG76" s="215">
        <f t="shared" si="49"/>
        <v>15.240860019958269</v>
      </c>
      <c r="AH76" s="215">
        <f t="shared" si="49"/>
        <v>0.30481720039916538</v>
      </c>
      <c r="AI76" s="215">
        <f t="shared" si="49"/>
        <v>1.0160573346638846</v>
      </c>
      <c r="AJ76" s="215">
        <f t="shared" si="49"/>
        <v>7.1124013426471926</v>
      </c>
      <c r="AK76" s="215">
        <f t="shared" si="49"/>
        <v>3.0481720039916538</v>
      </c>
      <c r="AL76" s="215">
        <f t="shared" si="49"/>
        <v>5.0802866733194234</v>
      </c>
      <c r="AM76" s="215">
        <f t="shared" si="49"/>
        <v>1.0160573346638846</v>
      </c>
      <c r="AN76" s="215">
        <f t="shared" si="49"/>
        <v>11.176630681302731</v>
      </c>
      <c r="AO76" s="215">
        <f t="shared" si="49"/>
        <v>2.0321146693277692</v>
      </c>
      <c r="AP76" s="215">
        <f t="shared" si="49"/>
        <v>27.433548035924886</v>
      </c>
      <c r="AQ76" s="215">
        <f t="shared" si="49"/>
        <v>7.1124013426471926</v>
      </c>
    </row>
    <row r="77" spans="1:43">
      <c r="A77" s="206">
        <v>172</v>
      </c>
      <c r="B77" s="194" t="s">
        <v>339</v>
      </c>
      <c r="C77" s="200"/>
      <c r="D77" s="200"/>
      <c r="E77" s="198">
        <v>15</v>
      </c>
      <c r="F77" s="195">
        <v>0.3</v>
      </c>
      <c r="G77" s="198">
        <v>1</v>
      </c>
      <c r="H77" s="198">
        <v>7</v>
      </c>
      <c r="I77" s="198">
        <v>3</v>
      </c>
      <c r="J77" s="198">
        <v>5</v>
      </c>
      <c r="K77" s="198">
        <v>1</v>
      </c>
      <c r="L77" s="200"/>
      <c r="M77" s="200"/>
      <c r="N77" s="200"/>
      <c r="O77" s="200"/>
      <c r="Q77" s="219">
        <f t="shared" si="30"/>
        <v>0</v>
      </c>
      <c r="R77" s="219">
        <f t="shared" si="31"/>
        <v>0</v>
      </c>
      <c r="S77" s="219">
        <f t="shared" si="32"/>
        <v>15.240860019958269</v>
      </c>
      <c r="T77" s="219">
        <f t="shared" si="33"/>
        <v>0.30481720039916538</v>
      </c>
      <c r="U77" s="219">
        <f t="shared" si="34"/>
        <v>1.0160573346638846</v>
      </c>
      <c r="V77" s="219">
        <f t="shared" si="35"/>
        <v>7.1124013426471926</v>
      </c>
      <c r="W77" s="216">
        <f t="shared" si="36"/>
        <v>3.0481720039916538</v>
      </c>
      <c r="X77" s="217">
        <f t="shared" si="37"/>
        <v>5.0802866733194234</v>
      </c>
      <c r="Y77" s="217">
        <f t="shared" si="38"/>
        <v>1.0160573346638846</v>
      </c>
      <c r="Z77" s="217">
        <f t="shared" si="39"/>
        <v>0</v>
      </c>
      <c r="AA77" s="217">
        <f t="shared" si="40"/>
        <v>0</v>
      </c>
      <c r="AB77" s="217">
        <f t="shared" si="41"/>
        <v>0</v>
      </c>
      <c r="AC77" s="217">
        <f t="shared" si="42"/>
        <v>0</v>
      </c>
    </row>
    <row r="78" spans="1:43" ht="22.5">
      <c r="A78" s="206">
        <v>179</v>
      </c>
      <c r="B78" s="194" t="s">
        <v>340</v>
      </c>
      <c r="C78" s="200"/>
      <c r="D78" s="198">
        <v>9</v>
      </c>
      <c r="E78" s="200"/>
      <c r="F78" s="200"/>
      <c r="G78" s="200"/>
      <c r="H78" s="200"/>
      <c r="I78" s="200"/>
      <c r="J78" s="200"/>
      <c r="K78" s="200"/>
      <c r="L78" s="200"/>
      <c r="M78" s="200"/>
      <c r="N78" s="200"/>
      <c r="O78" s="200"/>
      <c r="Q78" s="219">
        <f t="shared" si="30"/>
        <v>0</v>
      </c>
      <c r="R78" s="219">
        <f t="shared" si="31"/>
        <v>9.1445160119749627</v>
      </c>
      <c r="S78" s="219">
        <f t="shared" si="32"/>
        <v>0</v>
      </c>
      <c r="T78" s="219">
        <f t="shared" si="33"/>
        <v>0</v>
      </c>
      <c r="U78" s="219">
        <f t="shared" si="34"/>
        <v>0</v>
      </c>
      <c r="V78" s="219">
        <f t="shared" si="35"/>
        <v>0</v>
      </c>
      <c r="W78" s="216">
        <f t="shared" si="36"/>
        <v>0</v>
      </c>
      <c r="X78" s="217">
        <f t="shared" si="37"/>
        <v>0</v>
      </c>
      <c r="Y78" s="217">
        <f t="shared" si="38"/>
        <v>0</v>
      </c>
      <c r="Z78" s="217">
        <f t="shared" si="39"/>
        <v>0</v>
      </c>
      <c r="AA78" s="217">
        <f t="shared" si="40"/>
        <v>0</v>
      </c>
      <c r="AB78" s="217">
        <f t="shared" si="41"/>
        <v>0</v>
      </c>
      <c r="AC78" s="217">
        <f t="shared" si="42"/>
        <v>0</v>
      </c>
    </row>
    <row r="79" spans="1:43" ht="22.5">
      <c r="A79" s="206">
        <v>182</v>
      </c>
      <c r="B79" s="194" t="s">
        <v>916</v>
      </c>
      <c r="C79" s="198">
        <v>489</v>
      </c>
      <c r="D79" s="198">
        <v>503</v>
      </c>
      <c r="E79" s="198">
        <v>212</v>
      </c>
      <c r="F79" s="198">
        <v>52</v>
      </c>
      <c r="G79" s="198">
        <v>52</v>
      </c>
      <c r="H79" s="198">
        <v>71</v>
      </c>
      <c r="I79" s="198">
        <v>33</v>
      </c>
      <c r="J79" s="198">
        <v>25</v>
      </c>
      <c r="K79" s="198">
        <v>15</v>
      </c>
      <c r="L79" s="198">
        <v>160</v>
      </c>
      <c r="M79" s="198">
        <v>130</v>
      </c>
      <c r="N79" s="198">
        <v>158</v>
      </c>
      <c r="O79" s="198">
        <v>44</v>
      </c>
      <c r="Q79" s="219">
        <f t="shared" si="30"/>
        <v>496.8520366506396</v>
      </c>
      <c r="R79" s="219">
        <f t="shared" si="31"/>
        <v>511.07683933593398</v>
      </c>
      <c r="S79" s="219">
        <f t="shared" si="32"/>
        <v>215.40415494874355</v>
      </c>
      <c r="T79" s="219">
        <f t="shared" si="33"/>
        <v>52.834981402522004</v>
      </c>
      <c r="U79" s="219">
        <f t="shared" si="34"/>
        <v>52.834981402522004</v>
      </c>
      <c r="V79" s="219">
        <f t="shared" si="35"/>
        <v>72.140070761135803</v>
      </c>
      <c r="W79" s="216">
        <f t="shared" si="36"/>
        <v>33.529892043908191</v>
      </c>
      <c r="X79" s="217">
        <f t="shared" si="37"/>
        <v>25.401433366597118</v>
      </c>
      <c r="Y79" s="217">
        <f t="shared" si="38"/>
        <v>15.240860019958269</v>
      </c>
      <c r="Z79" s="217">
        <f t="shared" si="39"/>
        <v>162.56917354622155</v>
      </c>
      <c r="AA79" s="217">
        <f t="shared" si="40"/>
        <v>132.087453506305</v>
      </c>
      <c r="AB79" s="217">
        <f t="shared" si="41"/>
        <v>160.53705887689378</v>
      </c>
      <c r="AC79" s="217">
        <f t="shared" si="42"/>
        <v>44.706522725210924</v>
      </c>
    </row>
    <row r="80" spans="1:43" ht="33.75">
      <c r="A80" s="194" t="s">
        <v>917</v>
      </c>
      <c r="B80" s="194" t="s">
        <v>918</v>
      </c>
      <c r="C80" s="198">
        <v>179</v>
      </c>
      <c r="D80" s="209">
        <v>-129</v>
      </c>
      <c r="E80" s="198">
        <v>162</v>
      </c>
      <c r="F80" s="198">
        <v>124</v>
      </c>
      <c r="G80" s="198">
        <v>98</v>
      </c>
      <c r="H80" s="198">
        <v>25</v>
      </c>
      <c r="I80" s="209">
        <v>-89</v>
      </c>
      <c r="J80" s="209">
        <v>-67</v>
      </c>
      <c r="K80" s="198">
        <v>21</v>
      </c>
      <c r="L80" s="209">
        <v>-239</v>
      </c>
      <c r="M80" s="209">
        <v>-263</v>
      </c>
      <c r="N80" s="209">
        <v>-212</v>
      </c>
      <c r="O80" s="209">
        <v>-95</v>
      </c>
      <c r="Q80" s="219">
        <f t="shared" si="30"/>
        <v>181.87426290483535</v>
      </c>
      <c r="R80" s="219">
        <f>-D80*2240/2204.6</f>
        <v>131.07139617164111</v>
      </c>
      <c r="S80" s="219">
        <f t="shared" si="32"/>
        <v>164.60128821554932</v>
      </c>
      <c r="T80" s="219">
        <f t="shared" si="33"/>
        <v>125.99110949832169</v>
      </c>
      <c r="U80" s="219">
        <f t="shared" si="34"/>
        <v>99.573618797060689</v>
      </c>
      <c r="V80" s="219">
        <f t="shared" si="35"/>
        <v>25.401433366597118</v>
      </c>
      <c r="W80" s="216">
        <f>-I80*2240/2204.6</f>
        <v>90.429102785085732</v>
      </c>
      <c r="X80" s="217">
        <f>-J80*2240/2204.6</f>
        <v>68.075841422480266</v>
      </c>
      <c r="Y80" s="217">
        <f t="shared" si="38"/>
        <v>21.337204027941578</v>
      </c>
      <c r="Z80" s="217">
        <f>-L80*2240/2204.6</f>
        <v>242.83770298466843</v>
      </c>
      <c r="AA80" s="217">
        <f t="shared" ref="AA80:AC80" si="50">-M80*2240/2204.6</f>
        <v>267.22307901660167</v>
      </c>
      <c r="AB80" s="217">
        <f t="shared" si="50"/>
        <v>215.40415494874355</v>
      </c>
      <c r="AC80" s="217">
        <f t="shared" si="50"/>
        <v>96.525446793069037</v>
      </c>
    </row>
    <row r="81" spans="1:43" ht="22.5">
      <c r="A81" s="199"/>
      <c r="B81" s="194" t="s">
        <v>919</v>
      </c>
      <c r="C81" s="200"/>
      <c r="D81" s="200"/>
      <c r="E81" s="200"/>
      <c r="F81" s="200"/>
      <c r="G81" s="200"/>
      <c r="H81" s="200"/>
      <c r="I81" s="200"/>
      <c r="J81" s="200"/>
      <c r="K81" s="200"/>
      <c r="L81" s="200"/>
      <c r="M81" s="200"/>
      <c r="N81" s="200"/>
      <c r="O81" s="200"/>
      <c r="Q81" s="219"/>
      <c r="R81" s="219"/>
      <c r="S81" s="219"/>
      <c r="T81" s="219"/>
      <c r="U81" s="219"/>
      <c r="V81" s="219"/>
      <c r="W81" s="216"/>
      <c r="X81" s="217"/>
      <c r="Y81" s="217"/>
      <c r="Z81" s="217"/>
      <c r="AA81" s="217"/>
      <c r="AB81" s="217"/>
      <c r="AC81" s="217"/>
    </row>
    <row r="82" spans="1:43" ht="22.5">
      <c r="A82" s="206">
        <v>183</v>
      </c>
      <c r="B82" s="194" t="s">
        <v>920</v>
      </c>
      <c r="C82" s="200"/>
      <c r="D82" s="198">
        <v>26</v>
      </c>
      <c r="E82" s="200"/>
      <c r="F82" s="200"/>
      <c r="G82" s="200"/>
      <c r="H82" s="200"/>
      <c r="I82" s="198">
        <v>15</v>
      </c>
      <c r="J82" s="198">
        <v>11</v>
      </c>
      <c r="K82" s="200"/>
      <c r="L82" s="198">
        <v>45</v>
      </c>
      <c r="M82" s="198">
        <v>42</v>
      </c>
      <c r="N82" s="198">
        <v>42</v>
      </c>
      <c r="O82" s="198">
        <v>35</v>
      </c>
      <c r="Q82" s="219"/>
      <c r="R82" s="219">
        <f t="shared" si="31"/>
        <v>26.417490701261002</v>
      </c>
      <c r="S82" s="219"/>
      <c r="T82" s="219"/>
      <c r="U82" s="219"/>
      <c r="V82" s="219"/>
      <c r="W82" s="216">
        <f t="shared" si="36"/>
        <v>15.240860019958269</v>
      </c>
      <c r="X82" s="217">
        <f t="shared" si="37"/>
        <v>11.176630681302731</v>
      </c>
      <c r="Y82" s="217"/>
      <c r="Z82" s="217">
        <f t="shared" si="39"/>
        <v>45.722580059874808</v>
      </c>
      <c r="AA82" s="217">
        <f t="shared" si="40"/>
        <v>42.674408055883156</v>
      </c>
      <c r="AB82" s="217">
        <f t="shared" si="41"/>
        <v>42.674408055883156</v>
      </c>
      <c r="AC82" s="217">
        <f t="shared" si="42"/>
        <v>35.562006713235959</v>
      </c>
    </row>
    <row r="83" spans="1:43" ht="22.5">
      <c r="A83" s="206">
        <v>184</v>
      </c>
      <c r="B83" s="194" t="s">
        <v>921</v>
      </c>
      <c r="C83" s="200"/>
      <c r="D83" s="198">
        <v>27</v>
      </c>
      <c r="E83" s="200"/>
      <c r="F83" s="200"/>
      <c r="G83" s="200"/>
      <c r="H83" s="200"/>
      <c r="I83" s="198">
        <v>11</v>
      </c>
      <c r="J83" s="198">
        <v>8</v>
      </c>
      <c r="K83" s="200"/>
      <c r="L83" s="198">
        <v>33</v>
      </c>
      <c r="M83" s="198">
        <v>62</v>
      </c>
      <c r="N83" s="198">
        <v>20</v>
      </c>
      <c r="O83" s="198">
        <v>12</v>
      </c>
      <c r="Q83" s="219"/>
      <c r="R83" s="219">
        <f t="shared" si="31"/>
        <v>27.433548035924886</v>
      </c>
      <c r="S83" s="219"/>
      <c r="T83" s="219"/>
      <c r="U83" s="219"/>
      <c r="V83" s="219"/>
      <c r="W83" s="216">
        <f t="shared" si="36"/>
        <v>11.176630681302731</v>
      </c>
      <c r="X83" s="217">
        <f t="shared" si="37"/>
        <v>8.1284586773110767</v>
      </c>
      <c r="Y83" s="217"/>
      <c r="Z83" s="217">
        <f t="shared" si="39"/>
        <v>33.529892043908191</v>
      </c>
      <c r="AA83" s="217">
        <f t="shared" si="40"/>
        <v>62.995554749160846</v>
      </c>
      <c r="AB83" s="217">
        <f t="shared" si="41"/>
        <v>20.321146693277694</v>
      </c>
      <c r="AC83" s="217">
        <f t="shared" si="42"/>
        <v>12.192688015966615</v>
      </c>
    </row>
    <row r="84" spans="1:43" ht="22.5">
      <c r="A84" s="206">
        <v>185</v>
      </c>
      <c r="B84" s="194" t="s">
        <v>922</v>
      </c>
      <c r="C84" s="200"/>
      <c r="D84" s="198">
        <v>58</v>
      </c>
      <c r="E84" s="200"/>
      <c r="F84" s="200"/>
      <c r="G84" s="200"/>
      <c r="H84" s="200"/>
      <c r="I84" s="198">
        <v>42</v>
      </c>
      <c r="J84" s="198">
        <v>32</v>
      </c>
      <c r="K84" s="200"/>
      <c r="L84" s="198">
        <v>88</v>
      </c>
      <c r="M84" s="198">
        <v>81</v>
      </c>
      <c r="N84" s="198">
        <v>89</v>
      </c>
      <c r="O84" s="198">
        <v>33</v>
      </c>
      <c r="Q84" s="219"/>
      <c r="R84" s="219">
        <f t="shared" si="31"/>
        <v>58.931325410505309</v>
      </c>
      <c r="S84" s="219"/>
      <c r="T84" s="219"/>
      <c r="U84" s="219"/>
      <c r="V84" s="219"/>
      <c r="W84" s="216">
        <f t="shared" si="36"/>
        <v>42.674408055883156</v>
      </c>
      <c r="X84" s="217">
        <f t="shared" si="37"/>
        <v>32.513834709244307</v>
      </c>
      <c r="Y84" s="217"/>
      <c r="Z84" s="217">
        <f t="shared" si="39"/>
        <v>89.413045450421848</v>
      </c>
      <c r="AA84" s="217">
        <f t="shared" si="40"/>
        <v>82.300644107774659</v>
      </c>
      <c r="AB84" s="217">
        <f t="shared" si="41"/>
        <v>90.429102785085732</v>
      </c>
      <c r="AC84" s="217">
        <f t="shared" si="42"/>
        <v>33.529892043908191</v>
      </c>
    </row>
    <row r="85" spans="1:43" ht="22.5">
      <c r="A85" s="206">
        <v>186</v>
      </c>
      <c r="B85" s="194" t="s">
        <v>923</v>
      </c>
      <c r="C85" s="200"/>
      <c r="D85" s="198">
        <v>4</v>
      </c>
      <c r="E85" s="200"/>
      <c r="F85" s="200"/>
      <c r="G85" s="200"/>
      <c r="H85" s="200"/>
      <c r="I85" s="198">
        <v>14</v>
      </c>
      <c r="J85" s="198">
        <v>11</v>
      </c>
      <c r="K85" s="200"/>
      <c r="L85" s="198">
        <v>13</v>
      </c>
      <c r="M85" s="198">
        <v>28</v>
      </c>
      <c r="N85" s="198">
        <v>9</v>
      </c>
      <c r="O85" s="198">
        <v>9</v>
      </c>
      <c r="Q85" s="219"/>
      <c r="R85" s="219">
        <f t="shared" si="31"/>
        <v>4.0642293386555384</v>
      </c>
      <c r="S85" s="219"/>
      <c r="T85" s="219"/>
      <c r="U85" s="219"/>
      <c r="V85" s="219"/>
      <c r="W85" s="216">
        <f t="shared" si="36"/>
        <v>14.224802685294385</v>
      </c>
      <c r="X85" s="217">
        <f t="shared" si="37"/>
        <v>11.176630681302731</v>
      </c>
      <c r="Y85" s="217"/>
      <c r="Z85" s="217">
        <f t="shared" si="39"/>
        <v>13.208745350630501</v>
      </c>
      <c r="AA85" s="217">
        <f t="shared" si="40"/>
        <v>28.44960537058877</v>
      </c>
      <c r="AB85" s="217">
        <f t="shared" si="41"/>
        <v>9.1445160119749627</v>
      </c>
      <c r="AC85" s="217">
        <f t="shared" si="42"/>
        <v>9.1445160119749627</v>
      </c>
    </row>
    <row r="86" spans="1:43" ht="22.5">
      <c r="A86" s="206">
        <v>187</v>
      </c>
      <c r="B86" s="194" t="s">
        <v>348</v>
      </c>
      <c r="C86" s="200"/>
      <c r="D86" s="198">
        <v>14</v>
      </c>
      <c r="E86" s="200"/>
      <c r="F86" s="200"/>
      <c r="G86" s="200"/>
      <c r="H86" s="200"/>
      <c r="I86" s="198">
        <v>7</v>
      </c>
      <c r="J86" s="198">
        <v>5</v>
      </c>
      <c r="K86" s="200"/>
      <c r="L86" s="198">
        <v>60</v>
      </c>
      <c r="M86" s="198">
        <v>49</v>
      </c>
      <c r="N86" s="198">
        <v>52</v>
      </c>
      <c r="O86" s="198">
        <v>6</v>
      </c>
      <c r="Q86" s="219"/>
      <c r="R86" s="219">
        <f t="shared" si="31"/>
        <v>14.224802685294385</v>
      </c>
      <c r="S86" s="219"/>
      <c r="T86" s="219"/>
      <c r="U86" s="219"/>
      <c r="V86" s="219"/>
      <c r="W86" s="216">
        <f t="shared" si="36"/>
        <v>7.1124013426471926</v>
      </c>
      <c r="X86" s="217">
        <f t="shared" si="37"/>
        <v>5.0802866733194234</v>
      </c>
      <c r="Y86" s="217"/>
      <c r="Z86" s="217">
        <f t="shared" si="39"/>
        <v>60.963440079833077</v>
      </c>
      <c r="AA86" s="217">
        <f t="shared" si="40"/>
        <v>49.786809398530345</v>
      </c>
      <c r="AB86" s="217">
        <f t="shared" si="41"/>
        <v>52.834981402522004</v>
      </c>
      <c r="AC86" s="217">
        <f t="shared" si="42"/>
        <v>6.0963440079833076</v>
      </c>
    </row>
    <row r="87" spans="1:43" ht="22.5">
      <c r="A87" s="206">
        <v>191</v>
      </c>
      <c r="B87" s="194" t="s">
        <v>924</v>
      </c>
      <c r="C87" s="200"/>
      <c r="D87" s="200"/>
      <c r="E87" s="200"/>
      <c r="F87" s="198">
        <v>95</v>
      </c>
      <c r="G87" s="200"/>
      <c r="H87" s="200"/>
      <c r="I87" s="198">
        <v>94</v>
      </c>
      <c r="J87" s="200"/>
      <c r="K87" s="200"/>
      <c r="L87" s="198">
        <v>111</v>
      </c>
      <c r="M87" s="198">
        <v>95</v>
      </c>
      <c r="N87" s="198">
        <v>115</v>
      </c>
      <c r="O87" s="200"/>
      <c r="Q87" s="219"/>
      <c r="R87" s="219"/>
      <c r="S87" s="219"/>
      <c r="T87" s="219">
        <f t="shared" si="33"/>
        <v>96.525446793069037</v>
      </c>
      <c r="U87" s="219"/>
      <c r="V87" s="219"/>
      <c r="W87" s="216">
        <f t="shared" si="36"/>
        <v>95.509389458405153</v>
      </c>
      <c r="X87" s="217"/>
      <c r="Y87" s="217"/>
      <c r="Z87" s="217">
        <f t="shared" si="39"/>
        <v>112.7823641476912</v>
      </c>
      <c r="AA87" s="217">
        <f t="shared" si="40"/>
        <v>96.525446793069037</v>
      </c>
      <c r="AB87" s="217">
        <f t="shared" si="41"/>
        <v>116.84659348634673</v>
      </c>
      <c r="AC87" s="217"/>
      <c r="AE87" s="215">
        <f>SUM(Q87:Q89)</f>
        <v>119.89476549033839</v>
      </c>
      <c r="AF87" s="215">
        <f t="shared" ref="AF87:AQ87" si="51">SUM(R87:R89)</f>
        <v>127.00716683298558</v>
      </c>
      <c r="AG87" s="215">
        <f t="shared" si="51"/>
        <v>43.69046539054704</v>
      </c>
      <c r="AH87" s="215">
        <f t="shared" si="51"/>
        <v>158.50494420756598</v>
      </c>
      <c r="AI87" s="215">
        <f t="shared" si="51"/>
        <v>0</v>
      </c>
      <c r="AJ87" s="215">
        <f t="shared" si="51"/>
        <v>31.497777374580423</v>
      </c>
      <c r="AK87" s="215">
        <f t="shared" si="51"/>
        <v>114.81447881701897</v>
      </c>
      <c r="AL87" s="215">
        <f t="shared" si="51"/>
        <v>27.433548035924886</v>
      </c>
      <c r="AM87" s="215">
        <f t="shared" si="51"/>
        <v>20.321146693277694</v>
      </c>
      <c r="AN87" s="215">
        <f t="shared" si="51"/>
        <v>220.48444162206295</v>
      </c>
      <c r="AO87" s="215">
        <f t="shared" si="51"/>
        <v>151.39254286491879</v>
      </c>
      <c r="AP87" s="215">
        <f t="shared" si="51"/>
        <v>133.10351084096888</v>
      </c>
      <c r="AQ87" s="215">
        <f t="shared" si="51"/>
        <v>36.578064047899851</v>
      </c>
    </row>
    <row r="88" spans="1:43" ht="33.75">
      <c r="A88" s="194" t="s">
        <v>925</v>
      </c>
      <c r="B88" s="194" t="s">
        <v>926</v>
      </c>
      <c r="C88" s="198">
        <v>95</v>
      </c>
      <c r="D88" s="198">
        <v>92</v>
      </c>
      <c r="E88" s="198">
        <v>43</v>
      </c>
      <c r="F88" s="198">
        <v>61</v>
      </c>
      <c r="G88" s="198">
        <v>58</v>
      </c>
      <c r="H88" s="198">
        <v>31</v>
      </c>
      <c r="I88" s="198">
        <v>19</v>
      </c>
      <c r="J88" s="198">
        <v>27</v>
      </c>
      <c r="K88" s="198">
        <v>20</v>
      </c>
      <c r="L88" s="198">
        <v>90</v>
      </c>
      <c r="M88" s="198">
        <v>48</v>
      </c>
      <c r="N88" s="200"/>
      <c r="O88" s="198">
        <v>18</v>
      </c>
      <c r="Q88" s="219">
        <f t="shared" si="30"/>
        <v>96.525446793069037</v>
      </c>
      <c r="R88" s="219">
        <f t="shared" si="31"/>
        <v>93.477274789077384</v>
      </c>
      <c r="S88" s="219">
        <f t="shared" si="32"/>
        <v>43.69046539054704</v>
      </c>
      <c r="T88" s="219">
        <f t="shared" si="33"/>
        <v>61.979497414496961</v>
      </c>
      <c r="U88" s="219"/>
      <c r="V88" s="219">
        <f t="shared" si="35"/>
        <v>31.497777374580423</v>
      </c>
      <c r="W88" s="216">
        <f t="shared" si="36"/>
        <v>19.305089358613809</v>
      </c>
      <c r="X88" s="217">
        <f t="shared" si="37"/>
        <v>27.433548035924886</v>
      </c>
      <c r="Y88" s="217">
        <f t="shared" si="38"/>
        <v>20.321146693277694</v>
      </c>
      <c r="Z88" s="217">
        <f t="shared" si="39"/>
        <v>91.445160119749616</v>
      </c>
      <c r="AA88" s="217">
        <f t="shared" si="40"/>
        <v>48.77075206386646</v>
      </c>
      <c r="AB88" s="217"/>
      <c r="AC88" s="217">
        <f t="shared" si="42"/>
        <v>18.289032023949925</v>
      </c>
    </row>
    <row r="89" spans="1:43" ht="22.5">
      <c r="A89" s="206">
        <v>198</v>
      </c>
      <c r="B89" s="194" t="s">
        <v>927</v>
      </c>
      <c r="C89" s="198">
        <v>23</v>
      </c>
      <c r="D89" s="198">
        <v>33</v>
      </c>
      <c r="E89" s="200"/>
      <c r="F89" s="200"/>
      <c r="G89" s="200"/>
      <c r="H89" s="200"/>
      <c r="I89" s="200"/>
      <c r="J89" s="200"/>
      <c r="K89" s="200"/>
      <c r="L89" s="198">
        <v>16</v>
      </c>
      <c r="M89" s="198">
        <v>6</v>
      </c>
      <c r="N89" s="198">
        <v>16</v>
      </c>
      <c r="O89" s="198">
        <v>18</v>
      </c>
      <c r="Q89" s="219">
        <f t="shared" si="30"/>
        <v>23.369318697269346</v>
      </c>
      <c r="R89" s="219">
        <f t="shared" si="31"/>
        <v>33.529892043908191</v>
      </c>
      <c r="S89" s="219"/>
      <c r="T89" s="219"/>
      <c r="U89" s="219"/>
      <c r="V89" s="219"/>
      <c r="W89" s="216"/>
      <c r="X89" s="217"/>
      <c r="Y89" s="217"/>
      <c r="Z89" s="217">
        <f t="shared" si="39"/>
        <v>16.256917354622153</v>
      </c>
      <c r="AA89" s="217">
        <f t="shared" si="40"/>
        <v>6.0963440079833076</v>
      </c>
      <c r="AB89" s="217">
        <f t="shared" si="41"/>
        <v>16.256917354622153</v>
      </c>
      <c r="AC89" s="217">
        <f t="shared" si="42"/>
        <v>18.289032023949925</v>
      </c>
    </row>
    <row r="90" spans="1:43">
      <c r="A90" s="199"/>
      <c r="B90" s="199"/>
      <c r="C90" s="200"/>
      <c r="D90" s="200"/>
      <c r="E90" s="200"/>
      <c r="F90" s="200"/>
      <c r="G90" s="200"/>
      <c r="H90" s="200"/>
      <c r="I90" s="200"/>
      <c r="J90" s="200"/>
      <c r="K90" s="200"/>
      <c r="L90" s="200"/>
      <c r="M90" s="200"/>
      <c r="N90" s="200"/>
      <c r="O90" s="200"/>
      <c r="Q90" s="219"/>
      <c r="R90" s="219"/>
      <c r="S90" s="219"/>
      <c r="T90" s="219"/>
      <c r="U90" s="219"/>
      <c r="V90" s="219"/>
      <c r="W90" s="216"/>
      <c r="X90" s="217"/>
      <c r="Y90" s="217"/>
      <c r="Z90" s="217"/>
      <c r="AA90" s="217"/>
      <c r="AB90" s="217"/>
      <c r="AC90" s="217"/>
    </row>
    <row r="91" spans="1:43">
      <c r="A91" s="630" t="s">
        <v>928</v>
      </c>
      <c r="B91" s="630"/>
      <c r="C91" s="201">
        <v>4165</v>
      </c>
      <c r="D91" s="201">
        <v>3930</v>
      </c>
      <c r="E91" s="201">
        <v>3130</v>
      </c>
      <c r="F91" s="201">
        <v>2505</v>
      </c>
      <c r="G91" s="201">
        <v>2309</v>
      </c>
      <c r="H91" s="201">
        <v>1474</v>
      </c>
      <c r="I91" s="201">
        <v>1396</v>
      </c>
      <c r="J91" s="201">
        <v>1119</v>
      </c>
      <c r="K91" s="198">
        <v>802</v>
      </c>
      <c r="L91" s="201">
        <v>3552</v>
      </c>
      <c r="M91" s="201">
        <v>3341</v>
      </c>
      <c r="N91" s="201">
        <v>3489</v>
      </c>
      <c r="O91" s="201">
        <v>1250</v>
      </c>
      <c r="Q91" s="219">
        <f t="shared" si="30"/>
        <v>4231.8787988750792</v>
      </c>
      <c r="R91" s="219">
        <f t="shared" si="31"/>
        <v>3993.1053252290667</v>
      </c>
      <c r="S91" s="219">
        <f t="shared" si="32"/>
        <v>3180.2594574979589</v>
      </c>
      <c r="T91" s="219">
        <f t="shared" si="33"/>
        <v>2545.2236233330309</v>
      </c>
      <c r="U91" s="219">
        <f t="shared" si="34"/>
        <v>2346.0763857389097</v>
      </c>
      <c r="V91" s="219">
        <f t="shared" si="35"/>
        <v>1497.6685112945659</v>
      </c>
      <c r="W91" s="216">
        <f t="shared" si="36"/>
        <v>1418.4160391907831</v>
      </c>
      <c r="X91" s="217">
        <f t="shared" si="37"/>
        <v>1136.9681574888868</v>
      </c>
      <c r="Y91" s="217">
        <f t="shared" si="38"/>
        <v>814.87798240043549</v>
      </c>
      <c r="Z91" s="217">
        <f t="shared" si="39"/>
        <v>3609.0356527261183</v>
      </c>
      <c r="AA91" s="217">
        <f t="shared" si="40"/>
        <v>3394.6475551120384</v>
      </c>
      <c r="AB91" s="217">
        <f t="shared" si="41"/>
        <v>3545.0240406422936</v>
      </c>
      <c r="AC91" s="217">
        <f t="shared" si="42"/>
        <v>1270.0716683298558</v>
      </c>
    </row>
    <row r="92" spans="1:43">
      <c r="Q92" s="219"/>
      <c r="R92" s="219"/>
      <c r="S92" s="219"/>
      <c r="T92" s="219"/>
      <c r="U92" s="219"/>
      <c r="V92" s="219"/>
      <c r="W92" s="216"/>
      <c r="X92" s="217"/>
      <c r="Y92" s="217"/>
      <c r="Z92" s="217"/>
      <c r="AA92" s="217"/>
      <c r="AB92" s="217"/>
      <c r="AC92" s="217"/>
    </row>
    <row r="93" spans="1:43">
      <c r="A93" s="630" t="s">
        <v>929</v>
      </c>
      <c r="B93" s="630"/>
      <c r="C93" s="202" t="s">
        <v>834</v>
      </c>
      <c r="D93" s="202" t="s">
        <v>835</v>
      </c>
      <c r="E93" s="202" t="s">
        <v>836</v>
      </c>
      <c r="F93" s="202" t="s">
        <v>837</v>
      </c>
      <c r="G93" s="202" t="s">
        <v>838</v>
      </c>
      <c r="H93" s="202" t="s">
        <v>839</v>
      </c>
      <c r="I93" s="202" t="s">
        <v>840</v>
      </c>
      <c r="J93" s="202" t="s">
        <v>841</v>
      </c>
      <c r="K93" s="202" t="s">
        <v>842</v>
      </c>
      <c r="L93" s="202" t="s">
        <v>843</v>
      </c>
      <c r="M93" s="202" t="s">
        <v>844</v>
      </c>
      <c r="N93" s="202" t="s">
        <v>845</v>
      </c>
      <c r="O93" s="202" t="s">
        <v>846</v>
      </c>
      <c r="Q93" s="219"/>
      <c r="R93" s="219"/>
      <c r="S93" s="219"/>
      <c r="T93" s="219"/>
      <c r="U93" s="219"/>
      <c r="V93" s="219"/>
      <c r="W93" s="216"/>
      <c r="X93" s="217"/>
      <c r="Y93" s="217"/>
      <c r="Z93" s="217"/>
      <c r="AA93" s="217"/>
      <c r="AB93" s="217"/>
      <c r="AC93" s="217"/>
    </row>
    <row r="94" spans="1:43" ht="33.75">
      <c r="A94" s="207">
        <v>210</v>
      </c>
      <c r="B94" s="190" t="s">
        <v>930</v>
      </c>
      <c r="C94" s="220">
        <v>1693</v>
      </c>
      <c r="D94" s="220">
        <v>1680</v>
      </c>
      <c r="E94" s="220">
        <v>1678</v>
      </c>
      <c r="F94" s="200"/>
      <c r="G94" s="200"/>
      <c r="H94" s="200"/>
      <c r="I94" s="200"/>
      <c r="J94" s="200"/>
      <c r="K94" s="200"/>
      <c r="L94" s="200"/>
      <c r="M94" s="200"/>
      <c r="N94" s="200"/>
      <c r="O94" s="200"/>
      <c r="Q94" s="219">
        <f t="shared" si="30"/>
        <v>1720.1850675859566</v>
      </c>
      <c r="R94" s="219">
        <f t="shared" si="31"/>
        <v>1706.9763222353263</v>
      </c>
      <c r="S94" s="219">
        <f t="shared" si="32"/>
        <v>1704.9442075659983</v>
      </c>
      <c r="T94" s="219"/>
      <c r="U94" s="219"/>
      <c r="V94" s="219"/>
      <c r="W94" s="216"/>
      <c r="X94" s="217"/>
      <c r="Y94" s="217"/>
      <c r="Z94" s="217"/>
      <c r="AA94" s="217"/>
      <c r="AB94" s="217"/>
      <c r="AC94" s="217"/>
    </row>
    <row r="95" spans="1:43">
      <c r="A95" s="206">
        <v>221</v>
      </c>
      <c r="B95" s="194" t="s">
        <v>356</v>
      </c>
      <c r="C95" s="200"/>
      <c r="D95" s="200"/>
      <c r="E95" s="200"/>
      <c r="F95" s="198">
        <v>250</v>
      </c>
      <c r="G95" s="198">
        <v>250</v>
      </c>
      <c r="H95" s="198">
        <v>193</v>
      </c>
      <c r="I95" s="198">
        <v>132</v>
      </c>
      <c r="J95" s="198">
        <v>68</v>
      </c>
      <c r="K95" s="198">
        <v>83</v>
      </c>
      <c r="L95" s="200"/>
      <c r="M95" s="200"/>
      <c r="N95" s="200"/>
      <c r="O95" s="200"/>
      <c r="Q95" s="219"/>
      <c r="R95" s="219"/>
      <c r="S95" s="219"/>
      <c r="T95" s="219">
        <f t="shared" si="33"/>
        <v>254.01433366597115</v>
      </c>
      <c r="U95" s="219">
        <f t="shared" si="34"/>
        <v>254.01433366597115</v>
      </c>
      <c r="V95" s="219">
        <f t="shared" si="35"/>
        <v>196.09906559012973</v>
      </c>
      <c r="W95" s="216">
        <f t="shared" si="36"/>
        <v>134.11956817563276</v>
      </c>
      <c r="X95" s="217">
        <f t="shared" si="37"/>
        <v>69.091898757144151</v>
      </c>
      <c r="Y95" s="217">
        <f t="shared" si="38"/>
        <v>84.332758777102427</v>
      </c>
      <c r="Z95" s="217"/>
      <c r="AA95" s="217"/>
      <c r="AB95" s="217"/>
      <c r="AC95" s="217"/>
    </row>
    <row r="96" spans="1:43" ht="22.5">
      <c r="A96" s="206">
        <v>231</v>
      </c>
      <c r="B96" s="194" t="s">
        <v>358</v>
      </c>
      <c r="C96" s="198">
        <v>173</v>
      </c>
      <c r="D96" s="198">
        <v>100</v>
      </c>
      <c r="E96" s="198">
        <v>96</v>
      </c>
      <c r="F96" s="198">
        <v>94</v>
      </c>
      <c r="G96" s="198">
        <v>94</v>
      </c>
      <c r="H96" s="198">
        <v>50</v>
      </c>
      <c r="I96" s="198">
        <v>30</v>
      </c>
      <c r="J96" s="198">
        <v>36</v>
      </c>
      <c r="K96" s="198">
        <v>33</v>
      </c>
      <c r="L96" s="200"/>
      <c r="M96" s="200"/>
      <c r="N96" s="200"/>
      <c r="O96" s="200"/>
      <c r="Q96" s="219">
        <f t="shared" si="30"/>
        <v>175.77791889685204</v>
      </c>
      <c r="R96" s="219">
        <f t="shared" si="31"/>
        <v>101.60573346638847</v>
      </c>
      <c r="S96" s="219">
        <f t="shared" si="32"/>
        <v>97.541504127732921</v>
      </c>
      <c r="T96" s="219">
        <f t="shared" si="33"/>
        <v>95.509389458405153</v>
      </c>
      <c r="U96" s="219">
        <f t="shared" si="34"/>
        <v>95.509389458405153</v>
      </c>
      <c r="V96" s="219">
        <f t="shared" si="35"/>
        <v>50.802866733194236</v>
      </c>
      <c r="W96" s="216">
        <f t="shared" si="36"/>
        <v>30.481720039916539</v>
      </c>
      <c r="X96" s="217">
        <f t="shared" si="37"/>
        <v>36.578064047899851</v>
      </c>
      <c r="Y96" s="217">
        <f t="shared" si="38"/>
        <v>33.529892043908191</v>
      </c>
      <c r="Z96" s="217"/>
      <c r="AA96" s="217"/>
      <c r="AB96" s="217"/>
      <c r="AC96" s="217"/>
    </row>
    <row r="97" spans="1:50" ht="33.75">
      <c r="A97" s="206">
        <v>233</v>
      </c>
      <c r="B97" s="194" t="s">
        <v>359</v>
      </c>
      <c r="C97" s="200"/>
      <c r="D97" s="200"/>
      <c r="E97" s="200"/>
      <c r="F97" s="198">
        <v>1</v>
      </c>
      <c r="G97" s="200"/>
      <c r="H97" s="200"/>
      <c r="I97" s="200"/>
      <c r="J97" s="200"/>
      <c r="K97" s="200"/>
      <c r="L97" s="200"/>
      <c r="M97" s="200"/>
      <c r="N97" s="200"/>
      <c r="O97" s="200"/>
      <c r="Q97" s="219"/>
      <c r="R97" s="219"/>
      <c r="S97" s="219"/>
      <c r="T97" s="219"/>
      <c r="U97" s="219"/>
      <c r="V97" s="219"/>
      <c r="W97" s="216"/>
      <c r="X97" s="217"/>
      <c r="Y97" s="217"/>
      <c r="Z97" s="217"/>
      <c r="AA97" s="217"/>
      <c r="AB97" s="217"/>
      <c r="AC97" s="217"/>
    </row>
    <row r="98" spans="1:50">
      <c r="A98" s="206">
        <v>234</v>
      </c>
      <c r="B98" s="194" t="s">
        <v>360</v>
      </c>
      <c r="C98" s="200"/>
      <c r="D98" s="200"/>
      <c r="E98" s="200"/>
      <c r="F98" s="200"/>
      <c r="G98" s="200"/>
      <c r="H98" s="200"/>
      <c r="I98" s="200"/>
      <c r="J98" s="200"/>
      <c r="K98" s="200"/>
      <c r="L98" s="198">
        <v>87</v>
      </c>
      <c r="M98" s="200"/>
      <c r="N98" s="198">
        <v>82</v>
      </c>
      <c r="O98" s="198">
        <v>43</v>
      </c>
      <c r="Q98" s="219"/>
      <c r="R98" s="219"/>
      <c r="S98" s="219"/>
      <c r="T98" s="219"/>
      <c r="U98" s="219"/>
      <c r="V98" s="219"/>
      <c r="W98" s="216"/>
      <c r="X98" s="217"/>
      <c r="Y98" s="217"/>
      <c r="Z98" s="217">
        <f t="shared" si="39"/>
        <v>88.396988115757964</v>
      </c>
      <c r="AA98" s="217"/>
      <c r="AB98" s="217">
        <f t="shared" si="41"/>
        <v>83.316701442438543</v>
      </c>
      <c r="AC98" s="217">
        <f t="shared" si="42"/>
        <v>43.69046539054704</v>
      </c>
    </row>
    <row r="99" spans="1:50" ht="33.75">
      <c r="A99" s="206">
        <v>237</v>
      </c>
      <c r="B99" s="194" t="s">
        <v>361</v>
      </c>
      <c r="C99" s="200"/>
      <c r="D99" s="200"/>
      <c r="E99" s="200"/>
      <c r="F99" s="200"/>
      <c r="G99" s="200"/>
      <c r="H99" s="200"/>
      <c r="I99" s="200"/>
      <c r="J99" s="200"/>
      <c r="K99" s="200"/>
      <c r="L99" s="200"/>
      <c r="M99" s="200"/>
      <c r="N99" s="200"/>
      <c r="O99" s="198">
        <v>14</v>
      </c>
      <c r="Q99" s="219"/>
      <c r="R99" s="219"/>
      <c r="S99" s="219"/>
      <c r="T99" s="219"/>
      <c r="U99" s="219"/>
      <c r="V99" s="219"/>
      <c r="W99" s="216"/>
      <c r="X99" s="217"/>
      <c r="Y99" s="217"/>
      <c r="Z99" s="217"/>
      <c r="AA99" s="217"/>
      <c r="AB99" s="217"/>
      <c r="AC99" s="217">
        <f t="shared" si="42"/>
        <v>14.224802685294385</v>
      </c>
    </row>
    <row r="100" spans="1:50" ht="22.5">
      <c r="A100" s="206">
        <v>241</v>
      </c>
      <c r="B100" s="194" t="s">
        <v>363</v>
      </c>
      <c r="C100" s="200"/>
      <c r="D100" s="198">
        <v>72</v>
      </c>
      <c r="E100" s="198">
        <v>75</v>
      </c>
      <c r="F100" s="198">
        <v>74</v>
      </c>
      <c r="G100" s="198">
        <v>78</v>
      </c>
      <c r="H100" s="198">
        <v>38</v>
      </c>
      <c r="I100" s="198">
        <v>39</v>
      </c>
      <c r="J100" s="198">
        <v>37</v>
      </c>
      <c r="K100" s="198">
        <v>20</v>
      </c>
      <c r="L100" s="198">
        <v>143</v>
      </c>
      <c r="M100" s="200"/>
      <c r="N100" s="198">
        <v>143</v>
      </c>
      <c r="O100" s="198">
        <v>51</v>
      </c>
      <c r="Q100" s="219"/>
      <c r="R100" s="219">
        <f t="shared" si="31"/>
        <v>73.156128095799701</v>
      </c>
      <c r="S100" s="219">
        <f t="shared" si="32"/>
        <v>76.204300099791354</v>
      </c>
      <c r="T100" s="219">
        <f t="shared" si="33"/>
        <v>75.18824276512747</v>
      </c>
      <c r="U100" s="219">
        <f t="shared" si="34"/>
        <v>79.252472103783006</v>
      </c>
      <c r="V100" s="219">
        <f t="shared" si="35"/>
        <v>38.610178717227619</v>
      </c>
      <c r="W100" s="216">
        <f t="shared" si="36"/>
        <v>39.626236051891503</v>
      </c>
      <c r="X100" s="217">
        <f t="shared" si="37"/>
        <v>37.594121382563735</v>
      </c>
      <c r="Y100" s="217">
        <f t="shared" si="38"/>
        <v>20.321146693277694</v>
      </c>
      <c r="Z100" s="217">
        <f t="shared" si="39"/>
        <v>145.29619885693552</v>
      </c>
      <c r="AA100" s="217"/>
      <c r="AB100" s="217">
        <f t="shared" si="41"/>
        <v>145.29619885693552</v>
      </c>
      <c r="AC100" s="217">
        <f t="shared" si="42"/>
        <v>51.81892406785812</v>
      </c>
      <c r="AE100" s="215">
        <f>SUM(Q100:Q103)</f>
        <v>156.47282953823822</v>
      </c>
      <c r="AF100" s="215">
        <f t="shared" ref="AF100:AQ100" si="52">SUM(R100:R103)</f>
        <v>240.80558831534066</v>
      </c>
      <c r="AG100" s="215">
        <f t="shared" si="52"/>
        <v>247.91798965798785</v>
      </c>
      <c r="AH100" s="215">
        <f t="shared" si="52"/>
        <v>242.83770298466843</v>
      </c>
      <c r="AI100" s="215">
        <f t="shared" si="52"/>
        <v>244.86981765399619</v>
      </c>
      <c r="AJ100" s="215">
        <f t="shared" si="52"/>
        <v>125.99110949832171</v>
      </c>
      <c r="AK100" s="215">
        <f t="shared" si="52"/>
        <v>106.68602013970788</v>
      </c>
      <c r="AL100" s="215">
        <f t="shared" si="52"/>
        <v>105.66996280504399</v>
      </c>
      <c r="AM100" s="215">
        <f t="shared" si="52"/>
        <v>59.947382745169193</v>
      </c>
      <c r="AN100" s="215">
        <f t="shared" si="52"/>
        <v>456.20974326408418</v>
      </c>
      <c r="AO100" s="215"/>
      <c r="AP100" s="215">
        <f t="shared" si="52"/>
        <v>402.35870452689835</v>
      </c>
      <c r="AQ100" s="215">
        <f t="shared" si="52"/>
        <v>135.13562551029668</v>
      </c>
      <c r="AR100" s="215"/>
      <c r="AS100" s="215"/>
      <c r="AT100" s="215"/>
      <c r="AU100" s="215"/>
      <c r="AV100" s="215"/>
      <c r="AW100" s="215"/>
      <c r="AX100" s="215"/>
    </row>
    <row r="101" spans="1:50">
      <c r="A101" s="206">
        <v>243</v>
      </c>
      <c r="B101" s="194" t="s">
        <v>365</v>
      </c>
      <c r="C101" s="198">
        <v>115</v>
      </c>
      <c r="D101" s="198">
        <v>122</v>
      </c>
      <c r="E101" s="198">
        <v>127</v>
      </c>
      <c r="F101" s="198">
        <v>125</v>
      </c>
      <c r="G101" s="198">
        <v>122</v>
      </c>
      <c r="H101" s="198">
        <v>60</v>
      </c>
      <c r="I101" s="198">
        <v>47</v>
      </c>
      <c r="J101" s="198">
        <v>48</v>
      </c>
      <c r="K101" s="198">
        <v>27</v>
      </c>
      <c r="L101" s="198">
        <v>207</v>
      </c>
      <c r="M101" s="200"/>
      <c r="N101" s="198">
        <v>163</v>
      </c>
      <c r="O101" s="198">
        <v>42</v>
      </c>
      <c r="Q101" s="219">
        <f t="shared" si="30"/>
        <v>116.84659348634673</v>
      </c>
      <c r="R101" s="219">
        <f t="shared" si="31"/>
        <v>123.95899482899392</v>
      </c>
      <c r="S101" s="219">
        <f t="shared" si="32"/>
        <v>129.03928150231334</v>
      </c>
      <c r="T101" s="219">
        <f t="shared" si="33"/>
        <v>127.00716683298558</v>
      </c>
      <c r="U101" s="219">
        <f t="shared" si="34"/>
        <v>123.95899482899392</v>
      </c>
      <c r="V101" s="219">
        <f t="shared" si="35"/>
        <v>60.963440079833077</v>
      </c>
      <c r="W101" s="216">
        <f t="shared" si="36"/>
        <v>47.754694729202576</v>
      </c>
      <c r="X101" s="217">
        <f t="shared" si="37"/>
        <v>48.77075206386646</v>
      </c>
      <c r="Y101" s="217">
        <f t="shared" si="38"/>
        <v>27.433548035924886</v>
      </c>
      <c r="Z101" s="217">
        <f t="shared" si="39"/>
        <v>210.32386827542413</v>
      </c>
      <c r="AA101" s="217"/>
      <c r="AB101" s="217">
        <f t="shared" si="41"/>
        <v>165.6173455502132</v>
      </c>
      <c r="AC101" s="217">
        <f t="shared" si="42"/>
        <v>42.674408055883156</v>
      </c>
    </row>
    <row r="102" spans="1:50" ht="22.5">
      <c r="A102" s="206">
        <v>244</v>
      </c>
      <c r="B102" s="194" t="s">
        <v>366</v>
      </c>
      <c r="C102" s="198">
        <v>18</v>
      </c>
      <c r="D102" s="198">
        <v>20</v>
      </c>
      <c r="E102" s="198">
        <v>19</v>
      </c>
      <c r="F102" s="198">
        <v>40</v>
      </c>
      <c r="G102" s="198">
        <v>18</v>
      </c>
      <c r="H102" s="198">
        <v>7</v>
      </c>
      <c r="I102" s="198">
        <v>8</v>
      </c>
      <c r="J102" s="198">
        <v>7</v>
      </c>
      <c r="K102" s="198">
        <v>4</v>
      </c>
      <c r="L102" s="198">
        <v>29</v>
      </c>
      <c r="M102" s="200"/>
      <c r="N102" s="198">
        <v>25</v>
      </c>
      <c r="O102" s="198">
        <v>8</v>
      </c>
      <c r="Q102" s="219">
        <f t="shared" si="30"/>
        <v>18.289032023949925</v>
      </c>
      <c r="R102" s="219">
        <f t="shared" si="31"/>
        <v>20.321146693277694</v>
      </c>
      <c r="S102" s="219">
        <f t="shared" si="32"/>
        <v>19.305089358613809</v>
      </c>
      <c r="T102" s="219">
        <f t="shared" si="33"/>
        <v>40.642293386555387</v>
      </c>
      <c r="U102" s="219">
        <f t="shared" si="34"/>
        <v>18.289032023949925</v>
      </c>
      <c r="V102" s="219">
        <f t="shared" si="35"/>
        <v>7.1124013426471926</v>
      </c>
      <c r="W102" s="216">
        <f t="shared" si="36"/>
        <v>8.1284586773110767</v>
      </c>
      <c r="X102" s="217">
        <f t="shared" si="37"/>
        <v>7.1124013426471926</v>
      </c>
      <c r="Y102" s="217">
        <f t="shared" si="38"/>
        <v>4.0642293386555384</v>
      </c>
      <c r="Z102" s="217">
        <f t="shared" si="39"/>
        <v>29.465662705252655</v>
      </c>
      <c r="AA102" s="217"/>
      <c r="AB102" s="217">
        <f t="shared" si="41"/>
        <v>25.401433366597118</v>
      </c>
      <c r="AC102" s="217">
        <f t="shared" si="42"/>
        <v>8.1284586773110767</v>
      </c>
    </row>
    <row r="103" spans="1:50">
      <c r="A103" s="206">
        <v>245</v>
      </c>
      <c r="B103" s="194" t="s">
        <v>367</v>
      </c>
      <c r="C103" s="198">
        <v>21</v>
      </c>
      <c r="D103" s="198">
        <v>23</v>
      </c>
      <c r="E103" s="198">
        <v>23</v>
      </c>
      <c r="F103" s="200"/>
      <c r="G103" s="198">
        <v>23</v>
      </c>
      <c r="H103" s="198">
        <v>19</v>
      </c>
      <c r="I103" s="198">
        <v>11</v>
      </c>
      <c r="J103" s="198">
        <v>12</v>
      </c>
      <c r="K103" s="198">
        <v>8</v>
      </c>
      <c r="L103" s="198">
        <v>70</v>
      </c>
      <c r="M103" s="200"/>
      <c r="N103" s="198">
        <v>65</v>
      </c>
      <c r="O103" s="198">
        <v>32</v>
      </c>
      <c r="Q103" s="219">
        <f t="shared" si="30"/>
        <v>21.337204027941578</v>
      </c>
      <c r="R103" s="219">
        <f t="shared" si="31"/>
        <v>23.369318697269346</v>
      </c>
      <c r="S103" s="219">
        <f t="shared" si="32"/>
        <v>23.369318697269346</v>
      </c>
      <c r="T103" s="219"/>
      <c r="U103" s="219">
        <f t="shared" si="34"/>
        <v>23.369318697269346</v>
      </c>
      <c r="V103" s="219">
        <f t="shared" si="35"/>
        <v>19.305089358613809</v>
      </c>
      <c r="W103" s="216">
        <f t="shared" si="36"/>
        <v>11.176630681302731</v>
      </c>
      <c r="X103" s="217">
        <f t="shared" si="37"/>
        <v>12.192688015966615</v>
      </c>
      <c r="Y103" s="217">
        <f t="shared" si="38"/>
        <v>8.1284586773110767</v>
      </c>
      <c r="Z103" s="217">
        <f t="shared" si="39"/>
        <v>71.124013426471919</v>
      </c>
      <c r="AA103" s="217"/>
      <c r="AB103" s="217">
        <f t="shared" si="41"/>
        <v>66.043726753152498</v>
      </c>
      <c r="AC103" s="217">
        <f t="shared" si="42"/>
        <v>32.513834709244307</v>
      </c>
    </row>
    <row r="104" spans="1:50" ht="22.5">
      <c r="A104" s="206">
        <v>251</v>
      </c>
      <c r="B104" s="194" t="s">
        <v>369</v>
      </c>
      <c r="C104" s="200"/>
      <c r="D104" s="200"/>
      <c r="E104" s="200"/>
      <c r="F104" s="198">
        <v>22</v>
      </c>
      <c r="G104" s="198">
        <v>21</v>
      </c>
      <c r="H104" s="198">
        <v>20</v>
      </c>
      <c r="I104" s="198">
        <v>14</v>
      </c>
      <c r="J104" s="198">
        <v>14</v>
      </c>
      <c r="K104" s="198">
        <v>7</v>
      </c>
      <c r="L104" s="198">
        <v>39</v>
      </c>
      <c r="M104" s="200"/>
      <c r="N104" s="198">
        <v>41</v>
      </c>
      <c r="O104" s="198">
        <v>2</v>
      </c>
      <c r="Q104" s="219"/>
      <c r="R104" s="219"/>
      <c r="S104" s="219"/>
      <c r="T104" s="219">
        <f t="shared" si="33"/>
        <v>22.353261362605462</v>
      </c>
      <c r="U104" s="219">
        <f t="shared" si="34"/>
        <v>21.337204027941578</v>
      </c>
      <c r="V104" s="219">
        <f t="shared" si="35"/>
        <v>20.321146693277694</v>
      </c>
      <c r="W104" s="216">
        <f t="shared" si="36"/>
        <v>14.224802685294385</v>
      </c>
      <c r="X104" s="217">
        <f t="shared" si="37"/>
        <v>14.224802685294385</v>
      </c>
      <c r="Y104" s="217">
        <f t="shared" si="38"/>
        <v>7.1124013426471926</v>
      </c>
      <c r="Z104" s="217">
        <f t="shared" si="39"/>
        <v>39.626236051891503</v>
      </c>
      <c r="AA104" s="217"/>
      <c r="AB104" s="217">
        <f t="shared" si="41"/>
        <v>41.658350721219271</v>
      </c>
      <c r="AC104" s="217">
        <f t="shared" si="42"/>
        <v>2.0321146693277692</v>
      </c>
    </row>
    <row r="105" spans="1:50" ht="33.75">
      <c r="A105" s="206">
        <v>252</v>
      </c>
      <c r="B105" s="194" t="s">
        <v>370</v>
      </c>
      <c r="C105" s="198">
        <v>4</v>
      </c>
      <c r="D105" s="198">
        <v>3</v>
      </c>
      <c r="E105" s="198">
        <v>11</v>
      </c>
      <c r="F105" s="198">
        <v>10</v>
      </c>
      <c r="G105" s="198">
        <v>10</v>
      </c>
      <c r="H105" s="198">
        <v>7</v>
      </c>
      <c r="I105" s="198">
        <v>9</v>
      </c>
      <c r="J105" s="198">
        <v>2</v>
      </c>
      <c r="K105" s="198">
        <v>1</v>
      </c>
      <c r="L105" s="198">
        <v>7</v>
      </c>
      <c r="M105" s="200"/>
      <c r="N105" s="198">
        <v>5</v>
      </c>
      <c r="O105" s="198">
        <v>26</v>
      </c>
      <c r="Q105" s="219">
        <f t="shared" si="30"/>
        <v>4.0642293386555384</v>
      </c>
      <c r="R105" s="219">
        <f t="shared" si="31"/>
        <v>3.0481720039916538</v>
      </c>
      <c r="S105" s="219">
        <f t="shared" si="32"/>
        <v>11.176630681302731</v>
      </c>
      <c r="T105" s="219">
        <f t="shared" si="33"/>
        <v>10.160573346638847</v>
      </c>
      <c r="U105" s="219">
        <f t="shared" si="34"/>
        <v>10.160573346638847</v>
      </c>
      <c r="V105" s="219">
        <f t="shared" si="35"/>
        <v>7.1124013426471926</v>
      </c>
      <c r="W105" s="216">
        <f t="shared" si="36"/>
        <v>9.1445160119749627</v>
      </c>
      <c r="X105" s="217">
        <f t="shared" si="37"/>
        <v>2.0321146693277692</v>
      </c>
      <c r="Y105" s="217">
        <f t="shared" si="38"/>
        <v>1.0160573346638846</v>
      </c>
      <c r="Z105" s="217">
        <f t="shared" si="39"/>
        <v>7.1124013426471926</v>
      </c>
      <c r="AA105" s="217"/>
      <c r="AB105" s="217">
        <f t="shared" si="41"/>
        <v>5.0802866733194234</v>
      </c>
      <c r="AC105" s="217">
        <f t="shared" si="42"/>
        <v>26.417490701261002</v>
      </c>
    </row>
    <row r="106" spans="1:50" ht="22.5">
      <c r="A106" s="206">
        <v>253</v>
      </c>
      <c r="B106" s="194" t="s">
        <v>371</v>
      </c>
      <c r="C106" s="198">
        <v>58</v>
      </c>
      <c r="D106" s="198">
        <v>65</v>
      </c>
      <c r="E106" s="198">
        <v>51</v>
      </c>
      <c r="F106" s="198">
        <v>50</v>
      </c>
      <c r="G106" s="198">
        <v>49</v>
      </c>
      <c r="H106" s="198">
        <v>28</v>
      </c>
      <c r="I106" s="198">
        <v>16</v>
      </c>
      <c r="J106" s="198">
        <v>14</v>
      </c>
      <c r="K106" s="198">
        <v>6</v>
      </c>
      <c r="L106" s="200"/>
      <c r="M106" s="200"/>
      <c r="N106" s="200"/>
      <c r="O106" s="200"/>
      <c r="Q106" s="219">
        <f t="shared" si="30"/>
        <v>58.931325410505309</v>
      </c>
      <c r="R106" s="219">
        <f t="shared" si="31"/>
        <v>66.043726753152498</v>
      </c>
      <c r="S106" s="219">
        <f t="shared" si="32"/>
        <v>51.81892406785812</v>
      </c>
      <c r="T106" s="219">
        <f t="shared" si="33"/>
        <v>50.802866733194236</v>
      </c>
      <c r="U106" s="219">
        <f t="shared" si="34"/>
        <v>49.786809398530345</v>
      </c>
      <c r="V106" s="219">
        <f t="shared" si="35"/>
        <v>28.44960537058877</v>
      </c>
      <c r="W106" s="216">
        <f t="shared" si="36"/>
        <v>16.256917354622153</v>
      </c>
      <c r="X106" s="217">
        <f t="shared" si="37"/>
        <v>14.224802685294385</v>
      </c>
      <c r="Y106" s="217">
        <f t="shared" si="38"/>
        <v>6.0963440079833076</v>
      </c>
      <c r="Z106" s="217"/>
      <c r="AA106" s="217"/>
      <c r="AB106" s="217"/>
      <c r="AC106" s="217"/>
    </row>
    <row r="107" spans="1:50" ht="22.5">
      <c r="A107" s="206">
        <v>254</v>
      </c>
      <c r="B107" s="194" t="s">
        <v>372</v>
      </c>
      <c r="C107" s="198">
        <v>70</v>
      </c>
      <c r="D107" s="198">
        <v>68</v>
      </c>
      <c r="E107" s="198">
        <v>44</v>
      </c>
      <c r="F107" s="198">
        <v>39</v>
      </c>
      <c r="G107" s="198">
        <v>39</v>
      </c>
      <c r="H107" s="198">
        <v>38</v>
      </c>
      <c r="I107" s="198">
        <v>17</v>
      </c>
      <c r="J107" s="198">
        <v>19</v>
      </c>
      <c r="K107" s="198">
        <v>20</v>
      </c>
      <c r="L107" s="200"/>
      <c r="M107" s="200"/>
      <c r="N107" s="200"/>
      <c r="O107" s="200"/>
      <c r="Q107" s="219">
        <f t="shared" si="30"/>
        <v>71.124013426471919</v>
      </c>
      <c r="R107" s="219">
        <f t="shared" si="31"/>
        <v>69.091898757144151</v>
      </c>
      <c r="S107" s="219">
        <f t="shared" si="32"/>
        <v>44.706522725210924</v>
      </c>
      <c r="T107" s="219">
        <f t="shared" si="33"/>
        <v>39.626236051891503</v>
      </c>
      <c r="U107" s="219">
        <f t="shared" si="34"/>
        <v>39.626236051891503</v>
      </c>
      <c r="V107" s="219">
        <f t="shared" si="35"/>
        <v>38.610178717227619</v>
      </c>
      <c r="W107" s="216">
        <f t="shared" si="36"/>
        <v>17.272974689286038</v>
      </c>
      <c r="X107" s="217">
        <f t="shared" si="37"/>
        <v>19.305089358613809</v>
      </c>
      <c r="Y107" s="217">
        <f t="shared" si="38"/>
        <v>20.321146693277694</v>
      </c>
      <c r="Z107" s="217"/>
      <c r="AA107" s="217"/>
      <c r="AB107" s="217"/>
      <c r="AC107" s="217"/>
    </row>
    <row r="108" spans="1:50" ht="22.5">
      <c r="A108" s="206">
        <v>255</v>
      </c>
      <c r="B108" s="194" t="s">
        <v>373</v>
      </c>
      <c r="C108" s="198">
        <v>86</v>
      </c>
      <c r="D108" s="198">
        <v>87</v>
      </c>
      <c r="E108" s="198">
        <v>83</v>
      </c>
      <c r="F108" s="198">
        <v>64</v>
      </c>
      <c r="G108" s="198">
        <v>64</v>
      </c>
      <c r="H108" s="198">
        <v>44</v>
      </c>
      <c r="I108" s="198">
        <v>36</v>
      </c>
      <c r="J108" s="198">
        <v>27</v>
      </c>
      <c r="K108" s="198">
        <v>22</v>
      </c>
      <c r="L108" s="200"/>
      <c r="M108" s="200"/>
      <c r="N108" s="200"/>
      <c r="O108" s="200"/>
      <c r="Q108" s="219">
        <f t="shared" si="30"/>
        <v>87.380930781094079</v>
      </c>
      <c r="R108" s="219">
        <f t="shared" si="31"/>
        <v>88.396988115757964</v>
      </c>
      <c r="S108" s="219">
        <f t="shared" si="32"/>
        <v>84.332758777102427</v>
      </c>
      <c r="T108" s="219">
        <f t="shared" si="33"/>
        <v>65.027669418488614</v>
      </c>
      <c r="U108" s="219">
        <f t="shared" si="34"/>
        <v>65.027669418488614</v>
      </c>
      <c r="V108" s="219">
        <f t="shared" si="35"/>
        <v>44.706522725210924</v>
      </c>
      <c r="W108" s="216">
        <f t="shared" si="36"/>
        <v>36.578064047899851</v>
      </c>
      <c r="X108" s="217">
        <f t="shared" si="37"/>
        <v>27.433548035924886</v>
      </c>
      <c r="Y108" s="217">
        <f t="shared" si="38"/>
        <v>22.353261362605462</v>
      </c>
      <c r="Z108" s="217"/>
      <c r="AA108" s="217"/>
      <c r="AB108" s="217"/>
      <c r="AC108" s="217"/>
    </row>
    <row r="109" spans="1:50" ht="33.75">
      <c r="A109" s="206">
        <v>256</v>
      </c>
      <c r="B109" s="194" t="s">
        <v>374</v>
      </c>
      <c r="C109" s="198">
        <v>15</v>
      </c>
      <c r="D109" s="198">
        <v>115</v>
      </c>
      <c r="E109" s="198">
        <v>29</v>
      </c>
      <c r="F109" s="198">
        <v>20</v>
      </c>
      <c r="G109" s="198">
        <v>19</v>
      </c>
      <c r="H109" s="198">
        <v>25</v>
      </c>
      <c r="I109" s="198">
        <v>14</v>
      </c>
      <c r="J109" s="198">
        <v>12</v>
      </c>
      <c r="K109" s="198">
        <v>9</v>
      </c>
      <c r="L109" s="200"/>
      <c r="M109" s="200"/>
      <c r="N109" s="200"/>
      <c r="O109" s="198">
        <v>5</v>
      </c>
      <c r="Q109" s="219">
        <f t="shared" si="30"/>
        <v>15.240860019958269</v>
      </c>
      <c r="R109" s="219">
        <f t="shared" si="31"/>
        <v>116.84659348634673</v>
      </c>
      <c r="S109" s="219">
        <f t="shared" si="32"/>
        <v>29.465662705252655</v>
      </c>
      <c r="T109" s="219">
        <f t="shared" si="33"/>
        <v>20.321146693277694</v>
      </c>
      <c r="U109" s="219">
        <f t="shared" si="34"/>
        <v>19.305089358613809</v>
      </c>
      <c r="V109" s="219">
        <f t="shared" si="35"/>
        <v>25.401433366597118</v>
      </c>
      <c r="W109" s="216">
        <f t="shared" si="36"/>
        <v>14.224802685294385</v>
      </c>
      <c r="X109" s="217">
        <f t="shared" si="37"/>
        <v>12.192688015966615</v>
      </c>
      <c r="Y109" s="217">
        <f t="shared" si="38"/>
        <v>9.1445160119749627</v>
      </c>
      <c r="Z109" s="217"/>
      <c r="AA109" s="217"/>
      <c r="AB109" s="217"/>
      <c r="AC109" s="217">
        <f t="shared" si="42"/>
        <v>5.0802866733194234</v>
      </c>
    </row>
    <row r="110" spans="1:50" ht="22.5">
      <c r="A110" s="206">
        <v>258</v>
      </c>
      <c r="B110" s="194" t="s">
        <v>375</v>
      </c>
      <c r="C110" s="200"/>
      <c r="D110" s="200"/>
      <c r="E110" s="198">
        <v>16</v>
      </c>
      <c r="F110" s="198">
        <v>20</v>
      </c>
      <c r="G110" s="200"/>
      <c r="H110" s="198">
        <v>1</v>
      </c>
      <c r="I110" s="200"/>
      <c r="J110" s="200"/>
      <c r="K110" s="198">
        <v>1</v>
      </c>
      <c r="L110" s="200"/>
      <c r="M110" s="200"/>
      <c r="N110" s="200"/>
      <c r="O110" s="200"/>
      <c r="Q110" s="219"/>
      <c r="R110" s="219"/>
      <c r="S110" s="219">
        <f t="shared" si="32"/>
        <v>16.256917354622153</v>
      </c>
      <c r="T110" s="219">
        <f t="shared" si="33"/>
        <v>20.321146693277694</v>
      </c>
      <c r="U110" s="219"/>
      <c r="V110" s="219">
        <f t="shared" si="35"/>
        <v>1.0160573346638846</v>
      </c>
      <c r="W110" s="216"/>
      <c r="X110" s="217"/>
      <c r="Y110" s="217">
        <f t="shared" si="38"/>
        <v>1.0160573346638846</v>
      </c>
      <c r="Z110" s="217"/>
      <c r="AA110" s="217"/>
      <c r="AB110" s="217"/>
      <c r="AC110" s="217"/>
    </row>
    <row r="111" spans="1:50">
      <c r="A111" s="206">
        <v>259</v>
      </c>
      <c r="B111" s="194" t="s">
        <v>376</v>
      </c>
      <c r="C111" s="200"/>
      <c r="D111" s="200"/>
      <c r="E111" s="198">
        <v>2</v>
      </c>
      <c r="F111" s="200"/>
      <c r="G111" s="198">
        <v>33</v>
      </c>
      <c r="H111" s="198">
        <v>22</v>
      </c>
      <c r="I111" s="198">
        <v>11</v>
      </c>
      <c r="J111" s="198">
        <v>11</v>
      </c>
      <c r="K111" s="198">
        <v>10</v>
      </c>
      <c r="L111" s="198">
        <v>33</v>
      </c>
      <c r="M111" s="200"/>
      <c r="N111" s="198">
        <v>110</v>
      </c>
      <c r="O111" s="198">
        <v>20</v>
      </c>
      <c r="Q111" s="219"/>
      <c r="R111" s="219"/>
      <c r="S111" s="219">
        <f t="shared" si="32"/>
        <v>2.0321146693277692</v>
      </c>
      <c r="T111" s="219"/>
      <c r="U111" s="219">
        <f t="shared" si="34"/>
        <v>33.529892043908191</v>
      </c>
      <c r="V111" s="219">
        <f t="shared" si="35"/>
        <v>22.353261362605462</v>
      </c>
      <c r="W111" s="216">
        <f t="shared" si="36"/>
        <v>11.176630681302731</v>
      </c>
      <c r="X111" s="217">
        <f t="shared" si="37"/>
        <v>11.176630681302731</v>
      </c>
      <c r="Y111" s="217">
        <f t="shared" si="38"/>
        <v>10.160573346638847</v>
      </c>
      <c r="Z111" s="217">
        <f t="shared" si="39"/>
        <v>33.529892043908191</v>
      </c>
      <c r="AA111" s="217"/>
      <c r="AB111" s="217">
        <f t="shared" si="41"/>
        <v>111.76630681302731</v>
      </c>
      <c r="AC111" s="217">
        <f t="shared" si="42"/>
        <v>20.321146693277694</v>
      </c>
    </row>
    <row r="112" spans="1:50" ht="22.5">
      <c r="A112" s="206">
        <v>261</v>
      </c>
      <c r="B112" s="194" t="s">
        <v>378</v>
      </c>
      <c r="C112" s="200"/>
      <c r="D112" s="200"/>
      <c r="E112" s="200"/>
      <c r="F112" s="198">
        <v>17</v>
      </c>
      <c r="G112" s="198">
        <v>18</v>
      </c>
      <c r="H112" s="198">
        <v>18</v>
      </c>
      <c r="I112" s="198">
        <v>7</v>
      </c>
      <c r="J112" s="198">
        <v>3</v>
      </c>
      <c r="K112" s="198">
        <v>4</v>
      </c>
      <c r="L112" s="198">
        <v>10</v>
      </c>
      <c r="M112" s="200"/>
      <c r="N112" s="198">
        <v>12</v>
      </c>
      <c r="O112" s="198">
        <v>5</v>
      </c>
      <c r="Q112" s="219"/>
      <c r="R112" s="219"/>
      <c r="S112" s="219"/>
      <c r="T112" s="219">
        <f t="shared" si="33"/>
        <v>17.272974689286038</v>
      </c>
      <c r="U112" s="219">
        <f t="shared" si="34"/>
        <v>18.289032023949925</v>
      </c>
      <c r="V112" s="219">
        <f t="shared" si="35"/>
        <v>18.289032023949925</v>
      </c>
      <c r="W112" s="216">
        <f t="shared" si="36"/>
        <v>7.1124013426471926</v>
      </c>
      <c r="X112" s="217">
        <f t="shared" si="37"/>
        <v>3.0481720039916538</v>
      </c>
      <c r="Y112" s="217">
        <f t="shared" si="38"/>
        <v>4.0642293386555384</v>
      </c>
      <c r="Z112" s="217">
        <f t="shared" si="39"/>
        <v>10.160573346638847</v>
      </c>
      <c r="AA112" s="217"/>
      <c r="AB112" s="217">
        <f t="shared" si="41"/>
        <v>12.192688015966615</v>
      </c>
      <c r="AC112" s="217">
        <f t="shared" si="42"/>
        <v>5.0802866733194234</v>
      </c>
    </row>
    <row r="113" spans="1:29" ht="33.75">
      <c r="A113" s="206">
        <v>262</v>
      </c>
      <c r="B113" s="194" t="s">
        <v>379</v>
      </c>
      <c r="C113" s="198">
        <v>25</v>
      </c>
      <c r="D113" s="198">
        <v>24</v>
      </c>
      <c r="E113" s="198">
        <v>22</v>
      </c>
      <c r="F113" s="198">
        <v>18</v>
      </c>
      <c r="G113" s="198">
        <v>13</v>
      </c>
      <c r="H113" s="198">
        <v>13</v>
      </c>
      <c r="I113" s="198">
        <v>1</v>
      </c>
      <c r="J113" s="198">
        <v>10</v>
      </c>
      <c r="K113" s="198">
        <v>6</v>
      </c>
      <c r="L113" s="198">
        <v>30</v>
      </c>
      <c r="M113" s="200"/>
      <c r="N113" s="198">
        <v>38</v>
      </c>
      <c r="O113" s="198">
        <v>14</v>
      </c>
      <c r="Q113" s="219">
        <f t="shared" si="30"/>
        <v>25.401433366597118</v>
      </c>
      <c r="R113" s="219">
        <f t="shared" si="31"/>
        <v>24.38537603193323</v>
      </c>
      <c r="S113" s="219">
        <f t="shared" si="32"/>
        <v>22.353261362605462</v>
      </c>
      <c r="T113" s="219">
        <f t="shared" si="33"/>
        <v>18.289032023949925</v>
      </c>
      <c r="U113" s="219">
        <f t="shared" si="34"/>
        <v>13.208745350630501</v>
      </c>
      <c r="V113" s="219">
        <f t="shared" si="35"/>
        <v>13.208745350630501</v>
      </c>
      <c r="W113" s="216">
        <f t="shared" si="36"/>
        <v>1.0160573346638846</v>
      </c>
      <c r="X113" s="217">
        <f t="shared" si="37"/>
        <v>10.160573346638847</v>
      </c>
      <c r="Y113" s="217">
        <f t="shared" si="38"/>
        <v>6.0963440079833076</v>
      </c>
      <c r="Z113" s="217">
        <f t="shared" si="39"/>
        <v>30.481720039916539</v>
      </c>
      <c r="AA113" s="217"/>
      <c r="AB113" s="217">
        <f t="shared" si="41"/>
        <v>38.610178717227619</v>
      </c>
      <c r="AC113" s="217">
        <f t="shared" si="42"/>
        <v>14.224802685294385</v>
      </c>
    </row>
    <row r="114" spans="1:29" ht="33.75">
      <c r="A114" s="206">
        <v>264</v>
      </c>
      <c r="B114" s="194" t="s">
        <v>380</v>
      </c>
      <c r="C114" s="200"/>
      <c r="D114" s="200"/>
      <c r="E114" s="198">
        <v>2</v>
      </c>
      <c r="F114" s="200"/>
      <c r="G114" s="198">
        <v>6</v>
      </c>
      <c r="H114" s="200"/>
      <c r="I114" s="198">
        <v>9</v>
      </c>
      <c r="J114" s="200"/>
      <c r="K114" s="198">
        <v>2</v>
      </c>
      <c r="L114" s="198">
        <v>8</v>
      </c>
      <c r="M114" s="200"/>
      <c r="N114" s="198">
        <v>7</v>
      </c>
      <c r="O114" s="198">
        <v>7</v>
      </c>
      <c r="Q114" s="219"/>
      <c r="R114" s="219"/>
      <c r="S114" s="219">
        <f t="shared" si="32"/>
        <v>2.0321146693277692</v>
      </c>
      <c r="T114" s="219"/>
      <c r="U114" s="219">
        <f t="shared" si="34"/>
        <v>6.0963440079833076</v>
      </c>
      <c r="V114" s="219"/>
      <c r="W114" s="216">
        <f t="shared" si="36"/>
        <v>9.1445160119749627</v>
      </c>
      <c r="X114" s="217"/>
      <c r="Y114" s="217">
        <f t="shared" si="38"/>
        <v>2.0321146693277692</v>
      </c>
      <c r="Z114" s="217">
        <f t="shared" si="39"/>
        <v>8.1284586773110767</v>
      </c>
      <c r="AA114" s="217"/>
      <c r="AB114" s="217">
        <f t="shared" si="41"/>
        <v>7.1124013426471926</v>
      </c>
      <c r="AC114" s="217">
        <f t="shared" si="42"/>
        <v>7.1124013426471926</v>
      </c>
    </row>
    <row r="115" spans="1:29" ht="33.75">
      <c r="A115" s="206">
        <v>298</v>
      </c>
      <c r="B115" s="194" t="s">
        <v>381</v>
      </c>
      <c r="C115" s="198">
        <v>131</v>
      </c>
      <c r="D115" s="198">
        <v>141</v>
      </c>
      <c r="E115" s="198">
        <v>127</v>
      </c>
      <c r="F115" s="198">
        <v>76</v>
      </c>
      <c r="G115" s="198">
        <v>76</v>
      </c>
      <c r="H115" s="198">
        <v>55</v>
      </c>
      <c r="I115" s="198">
        <v>32</v>
      </c>
      <c r="J115" s="198">
        <v>35</v>
      </c>
      <c r="K115" s="198">
        <v>29</v>
      </c>
      <c r="L115" s="198">
        <v>44</v>
      </c>
      <c r="M115" s="200"/>
      <c r="N115" s="202">
        <v>50</v>
      </c>
      <c r="O115" s="198">
        <v>16</v>
      </c>
      <c r="Q115" s="219">
        <f t="shared" si="30"/>
        <v>133.10351084096888</v>
      </c>
      <c r="R115" s="219">
        <f t="shared" si="31"/>
        <v>143.26408418760772</v>
      </c>
      <c r="S115" s="219">
        <f t="shared" si="32"/>
        <v>129.03928150231334</v>
      </c>
      <c r="T115" s="219">
        <f t="shared" si="33"/>
        <v>77.220357434455238</v>
      </c>
      <c r="U115" s="219">
        <f t="shared" si="34"/>
        <v>77.220357434455238</v>
      </c>
      <c r="V115" s="219">
        <f t="shared" si="35"/>
        <v>55.883153406513657</v>
      </c>
      <c r="W115" s="216">
        <f t="shared" si="36"/>
        <v>32.513834709244307</v>
      </c>
      <c r="X115" s="217">
        <f t="shared" si="37"/>
        <v>35.562006713235959</v>
      </c>
      <c r="Y115" s="217">
        <f t="shared" si="38"/>
        <v>29.465662705252655</v>
      </c>
      <c r="Z115" s="217">
        <f t="shared" si="39"/>
        <v>44.706522725210924</v>
      </c>
      <c r="AA115" s="217"/>
      <c r="AB115" s="217">
        <f t="shared" si="41"/>
        <v>50.802866733194236</v>
      </c>
      <c r="AC115" s="217">
        <f t="shared" si="42"/>
        <v>16.256917354622153</v>
      </c>
    </row>
    <row r="116" spans="1:29" ht="22.5">
      <c r="A116" s="206">
        <v>299</v>
      </c>
      <c r="B116" s="194" t="s">
        <v>382</v>
      </c>
      <c r="C116" s="198">
        <v>57</v>
      </c>
      <c r="D116" s="198">
        <v>54</v>
      </c>
      <c r="E116" s="198">
        <v>41</v>
      </c>
      <c r="F116" s="198">
        <v>10</v>
      </c>
      <c r="G116" s="198">
        <v>13</v>
      </c>
      <c r="H116" s="198">
        <v>2</v>
      </c>
      <c r="I116" s="198">
        <v>7</v>
      </c>
      <c r="J116" s="198">
        <v>3</v>
      </c>
      <c r="K116" s="198">
        <v>6</v>
      </c>
      <c r="L116" s="198">
        <v>15</v>
      </c>
      <c r="M116" s="200"/>
      <c r="N116" s="198">
        <v>9</v>
      </c>
      <c r="O116" s="198">
        <v>2</v>
      </c>
      <c r="Q116" s="219">
        <f t="shared" ref="Q116:Q178" si="53">C116*2240/2204.6</f>
        <v>57.915268075841425</v>
      </c>
      <c r="R116" s="219">
        <f t="shared" ref="R116:R178" si="54">D116*2240/2204.6</f>
        <v>54.867096071849772</v>
      </c>
      <c r="S116" s="219">
        <f t="shared" ref="S116:S178" si="55">E116*2240/2204.6</f>
        <v>41.658350721219271</v>
      </c>
      <c r="T116" s="219">
        <f t="shared" ref="T116:T179" si="56">F116*2240/2204.6</f>
        <v>10.160573346638847</v>
      </c>
      <c r="U116" s="219">
        <f t="shared" ref="U116:U179" si="57">G116*2240/2204.6</f>
        <v>13.208745350630501</v>
      </c>
      <c r="V116" s="219">
        <f t="shared" ref="V116:V179" si="58">H116*2240/2204.6</f>
        <v>2.0321146693277692</v>
      </c>
      <c r="W116" s="216">
        <f t="shared" ref="W116:W179" si="59">I116*2240/2204.6</f>
        <v>7.1124013426471926</v>
      </c>
      <c r="X116" s="217">
        <f t="shared" ref="X116:X178" si="60">J116*2240/2204.6</f>
        <v>3.0481720039916538</v>
      </c>
      <c r="Y116" s="217">
        <f t="shared" ref="Y116:Y179" si="61">K116*2240/2204.6</f>
        <v>6.0963440079833076</v>
      </c>
      <c r="Z116" s="217">
        <f t="shared" ref="Z116:Z178" si="62">L116*2240/2204.6</f>
        <v>15.240860019958269</v>
      </c>
      <c r="AA116" s="217"/>
      <c r="AB116" s="217">
        <f t="shared" ref="AB116:AB179" si="63">N116*2240/2204.6</f>
        <v>9.1445160119749627</v>
      </c>
      <c r="AC116" s="217">
        <f t="shared" ref="AC116:AC178" si="64">O116*2240/2204.6</f>
        <v>2.0321146693277692</v>
      </c>
    </row>
    <row r="117" spans="1:29">
      <c r="A117" s="221"/>
      <c r="B117" s="204"/>
      <c r="C117" s="198"/>
      <c r="D117" s="198"/>
      <c r="E117" s="198"/>
      <c r="F117" s="198"/>
      <c r="G117" s="198"/>
      <c r="H117" s="198"/>
      <c r="I117" s="198"/>
      <c r="J117" s="198"/>
      <c r="K117" s="198"/>
      <c r="L117" s="198"/>
      <c r="M117" s="200"/>
      <c r="N117" s="198"/>
      <c r="O117" s="198"/>
      <c r="Q117" s="219"/>
      <c r="R117" s="219"/>
      <c r="S117" s="219"/>
      <c r="T117" s="219"/>
      <c r="U117" s="219"/>
      <c r="V117" s="219"/>
      <c r="W117" s="216"/>
      <c r="X117" s="217"/>
      <c r="Y117" s="217"/>
      <c r="Z117" s="217"/>
      <c r="AA117" s="217"/>
      <c r="AB117" s="217"/>
      <c r="AC117" s="217"/>
    </row>
    <row r="118" spans="1:29">
      <c r="A118" s="635" t="s">
        <v>931</v>
      </c>
      <c r="B118" s="636"/>
      <c r="C118" s="201">
        <v>2466</v>
      </c>
      <c r="D118" s="201">
        <v>2574</v>
      </c>
      <c r="E118" s="201">
        <v>2446</v>
      </c>
      <c r="F118" s="198">
        <v>930</v>
      </c>
      <c r="G118" s="198">
        <v>946</v>
      </c>
      <c r="H118" s="198">
        <v>640</v>
      </c>
      <c r="I118" s="198">
        <v>440</v>
      </c>
      <c r="J118" s="198">
        <v>358</v>
      </c>
      <c r="K118" s="198">
        <v>298</v>
      </c>
      <c r="L118" s="198">
        <v>722</v>
      </c>
      <c r="M118" s="198">
        <v>744</v>
      </c>
      <c r="N118" s="198">
        <v>750</v>
      </c>
      <c r="O118" s="198">
        <v>287</v>
      </c>
      <c r="Q118" s="219">
        <f t="shared" si="53"/>
        <v>2505.5973872811396</v>
      </c>
      <c r="R118" s="219">
        <f t="shared" si="54"/>
        <v>2615.3315794248392</v>
      </c>
      <c r="S118" s="219">
        <f t="shared" si="55"/>
        <v>2485.276240587862</v>
      </c>
      <c r="T118" s="219">
        <f t="shared" si="56"/>
        <v>944.93332123741277</v>
      </c>
      <c r="U118" s="219">
        <f t="shared" si="57"/>
        <v>961.19023859203492</v>
      </c>
      <c r="V118" s="219">
        <f t="shared" si="58"/>
        <v>650.2766941848862</v>
      </c>
      <c r="W118" s="216">
        <f t="shared" si="59"/>
        <v>447.06522725210925</v>
      </c>
      <c r="X118" s="217">
        <f t="shared" si="60"/>
        <v>363.7485258096707</v>
      </c>
      <c r="Y118" s="217">
        <f t="shared" si="61"/>
        <v>302.78508572983765</v>
      </c>
      <c r="Z118" s="217">
        <f t="shared" si="62"/>
        <v>733.59339562732475</v>
      </c>
      <c r="AA118" s="217">
        <f t="shared" ref="AA118:AA155" si="65">M118*2240/2204.6</f>
        <v>755.94665698993015</v>
      </c>
      <c r="AB118" s="217">
        <f t="shared" si="63"/>
        <v>762.04300099791351</v>
      </c>
      <c r="AC118" s="217">
        <f t="shared" si="64"/>
        <v>291.60845504853489</v>
      </c>
    </row>
    <row r="119" spans="1:29">
      <c r="Q119" s="219"/>
      <c r="R119" s="219"/>
      <c r="S119" s="219"/>
      <c r="T119" s="219"/>
      <c r="U119" s="219"/>
      <c r="V119" s="219"/>
      <c r="W119" s="216"/>
      <c r="X119" s="217"/>
      <c r="Y119" s="217"/>
      <c r="Z119" s="217"/>
      <c r="AA119" s="217"/>
      <c r="AB119" s="217"/>
      <c r="AC119" s="217"/>
    </row>
    <row r="120" spans="1:29">
      <c r="A120" s="630" t="s">
        <v>932</v>
      </c>
      <c r="B120" s="630"/>
      <c r="C120" s="202" t="s">
        <v>834</v>
      </c>
      <c r="D120" s="202" t="s">
        <v>835</v>
      </c>
      <c r="E120" s="202" t="s">
        <v>836</v>
      </c>
      <c r="F120" s="202" t="s">
        <v>837</v>
      </c>
      <c r="G120" s="202" t="s">
        <v>933</v>
      </c>
      <c r="H120" s="202" t="s">
        <v>839</v>
      </c>
      <c r="I120" s="202" t="s">
        <v>840</v>
      </c>
      <c r="J120" s="202" t="s">
        <v>841</v>
      </c>
      <c r="K120" s="202" t="s">
        <v>842</v>
      </c>
      <c r="L120" s="202" t="s">
        <v>843</v>
      </c>
      <c r="M120" s="202" t="s">
        <v>844</v>
      </c>
      <c r="N120" s="202" t="s">
        <v>845</v>
      </c>
      <c r="O120" s="202" t="s">
        <v>846</v>
      </c>
      <c r="Q120" s="219"/>
      <c r="R120" s="219"/>
      <c r="S120" s="219"/>
      <c r="T120" s="219"/>
      <c r="U120" s="219"/>
      <c r="V120" s="219"/>
      <c r="W120" s="216"/>
      <c r="X120" s="217"/>
      <c r="Y120" s="217"/>
      <c r="Z120" s="217"/>
      <c r="AA120" s="217"/>
      <c r="AB120" s="217"/>
      <c r="AC120" s="217"/>
    </row>
    <row r="121" spans="1:29" ht="33.75">
      <c r="A121" s="207">
        <v>310</v>
      </c>
      <c r="B121" s="190" t="s">
        <v>383</v>
      </c>
      <c r="C121" s="222">
        <v>-355</v>
      </c>
      <c r="D121" s="222">
        <v>-311</v>
      </c>
      <c r="E121" s="222">
        <v>-194</v>
      </c>
      <c r="F121" s="222">
        <v>-100</v>
      </c>
      <c r="G121" s="222">
        <v>-116</v>
      </c>
      <c r="H121" s="223">
        <v>-47</v>
      </c>
      <c r="I121" s="223">
        <v>-57</v>
      </c>
      <c r="J121" s="223">
        <v>-57</v>
      </c>
      <c r="K121" s="223">
        <v>-39</v>
      </c>
      <c r="L121" s="222">
        <v>-124</v>
      </c>
      <c r="M121" s="200"/>
      <c r="N121" s="223">
        <v>-100</v>
      </c>
      <c r="O121" s="223">
        <v>-72</v>
      </c>
      <c r="Q121" s="219">
        <f>-C121*2240/2204.6</f>
        <v>360.70035380567907</v>
      </c>
      <c r="R121" s="219">
        <f t="shared" ref="R121:AC121" si="66">-D121*2240/2204.6</f>
        <v>315.99383108046811</v>
      </c>
      <c r="S121" s="219">
        <f t="shared" si="66"/>
        <v>197.11512292479361</v>
      </c>
      <c r="T121" s="219">
        <f t="shared" si="66"/>
        <v>101.60573346638847</v>
      </c>
      <c r="U121" s="219">
        <f t="shared" si="66"/>
        <v>117.86265082101062</v>
      </c>
      <c r="V121" s="219">
        <f t="shared" si="66"/>
        <v>47.754694729202576</v>
      </c>
      <c r="W121" s="216">
        <f t="shared" si="66"/>
        <v>57.915268075841425</v>
      </c>
      <c r="X121" s="217">
        <f t="shared" si="66"/>
        <v>57.915268075841425</v>
      </c>
      <c r="Y121" s="217">
        <f t="shared" si="66"/>
        <v>39.626236051891503</v>
      </c>
      <c r="Z121" s="217">
        <f t="shared" si="66"/>
        <v>125.99110949832169</v>
      </c>
      <c r="AA121" s="217"/>
      <c r="AB121" s="217">
        <f t="shared" si="66"/>
        <v>101.60573346638847</v>
      </c>
      <c r="AC121" s="217">
        <f t="shared" si="66"/>
        <v>73.156128095799701</v>
      </c>
    </row>
    <row r="122" spans="1:29" ht="22.5">
      <c r="A122" s="206">
        <v>311</v>
      </c>
      <c r="B122" s="194" t="s">
        <v>384</v>
      </c>
      <c r="C122" s="198">
        <v>286</v>
      </c>
      <c r="D122" s="198">
        <v>253</v>
      </c>
      <c r="E122" s="198">
        <v>136</v>
      </c>
      <c r="F122" s="198">
        <v>80</v>
      </c>
      <c r="G122" s="198">
        <v>78</v>
      </c>
      <c r="H122" s="224">
        <v>26</v>
      </c>
      <c r="I122" s="224">
        <v>57</v>
      </c>
      <c r="J122" s="224">
        <v>57</v>
      </c>
      <c r="K122" s="224">
        <v>18</v>
      </c>
      <c r="L122" s="198">
        <v>93</v>
      </c>
      <c r="M122" s="200"/>
      <c r="N122" s="224">
        <v>79</v>
      </c>
      <c r="O122" s="224">
        <v>60</v>
      </c>
      <c r="Q122" s="219">
        <f t="shared" si="53"/>
        <v>290.59239771387104</v>
      </c>
      <c r="R122" s="219">
        <f t="shared" si="54"/>
        <v>257.06250566996283</v>
      </c>
      <c r="S122" s="219">
        <f t="shared" si="55"/>
        <v>138.1837975142883</v>
      </c>
      <c r="T122" s="219">
        <f t="shared" si="56"/>
        <v>81.284586773110775</v>
      </c>
      <c r="U122" s="219">
        <f t="shared" si="57"/>
        <v>79.252472103783006</v>
      </c>
      <c r="V122" s="219">
        <f t="shared" si="58"/>
        <v>26.417490701261002</v>
      </c>
      <c r="W122" s="216">
        <f t="shared" si="59"/>
        <v>57.915268075841425</v>
      </c>
      <c r="X122" s="217">
        <f t="shared" si="60"/>
        <v>57.915268075841425</v>
      </c>
      <c r="Y122" s="217">
        <f t="shared" si="61"/>
        <v>18.289032023949925</v>
      </c>
      <c r="Z122" s="217">
        <f t="shared" si="62"/>
        <v>94.493332123741268</v>
      </c>
      <c r="AA122" s="217"/>
      <c r="AB122" s="217">
        <f t="shared" si="63"/>
        <v>80.26852943844689</v>
      </c>
      <c r="AC122" s="217">
        <f t="shared" si="64"/>
        <v>60.963440079833077</v>
      </c>
    </row>
    <row r="123" spans="1:29" ht="22.5">
      <c r="A123" s="206">
        <v>312</v>
      </c>
      <c r="B123" s="194" t="s">
        <v>385</v>
      </c>
      <c r="C123" s="200"/>
      <c r="D123" s="198">
        <v>50</v>
      </c>
      <c r="E123" s="198">
        <v>53</v>
      </c>
      <c r="F123" s="198">
        <v>20</v>
      </c>
      <c r="G123" s="198">
        <v>23</v>
      </c>
      <c r="H123" s="198">
        <v>20</v>
      </c>
      <c r="I123" s="200"/>
      <c r="J123" s="200"/>
      <c r="K123" s="198">
        <v>14</v>
      </c>
      <c r="L123" s="200"/>
      <c r="M123" s="200"/>
      <c r="N123" s="200"/>
      <c r="O123" s="200"/>
      <c r="Q123" s="219"/>
      <c r="R123" s="219">
        <f t="shared" si="54"/>
        <v>50.802866733194236</v>
      </c>
      <c r="S123" s="219">
        <f t="shared" si="55"/>
        <v>53.851038737185888</v>
      </c>
      <c r="T123" s="219">
        <f t="shared" si="56"/>
        <v>20.321146693277694</v>
      </c>
      <c r="U123" s="219">
        <f t="shared" si="57"/>
        <v>23.369318697269346</v>
      </c>
      <c r="V123" s="219">
        <f t="shared" si="58"/>
        <v>20.321146693277694</v>
      </c>
      <c r="W123" s="216"/>
      <c r="X123" s="217"/>
      <c r="Y123" s="217">
        <f t="shared" si="61"/>
        <v>14.224802685294385</v>
      </c>
      <c r="Z123" s="217"/>
      <c r="AA123" s="217"/>
      <c r="AB123" s="217"/>
      <c r="AC123" s="217"/>
    </row>
    <row r="124" spans="1:29" ht="33.75">
      <c r="A124" s="206">
        <v>313</v>
      </c>
      <c r="B124" s="194" t="s">
        <v>386</v>
      </c>
      <c r="C124" s="200"/>
      <c r="D124" s="200"/>
      <c r="E124" s="200"/>
      <c r="F124" s="200"/>
      <c r="G124" s="200"/>
      <c r="H124" s="200"/>
      <c r="I124" s="200"/>
      <c r="J124" s="200"/>
      <c r="K124" s="200"/>
      <c r="L124" s="198">
        <v>2</v>
      </c>
      <c r="M124" s="200"/>
      <c r="N124" s="198">
        <v>2</v>
      </c>
      <c r="O124" s="198">
        <v>2</v>
      </c>
      <c r="Q124" s="219"/>
      <c r="R124" s="219"/>
      <c r="S124" s="219"/>
      <c r="T124" s="219"/>
      <c r="U124" s="219"/>
      <c r="V124" s="219"/>
      <c r="W124" s="216"/>
      <c r="X124" s="217"/>
      <c r="Y124" s="217"/>
      <c r="Z124" s="217">
        <f t="shared" si="62"/>
        <v>2.0321146693277692</v>
      </c>
      <c r="AA124" s="217"/>
      <c r="AB124" s="217">
        <f t="shared" si="63"/>
        <v>2.0321146693277692</v>
      </c>
      <c r="AC124" s="217">
        <f t="shared" si="64"/>
        <v>2.0321146693277692</v>
      </c>
    </row>
    <row r="125" spans="1:29" ht="22.5">
      <c r="A125" s="206">
        <v>314</v>
      </c>
      <c r="B125" s="194" t="s">
        <v>387</v>
      </c>
      <c r="C125" s="198">
        <v>69</v>
      </c>
      <c r="D125" s="198">
        <v>8</v>
      </c>
      <c r="E125" s="198">
        <v>5</v>
      </c>
      <c r="F125" s="200"/>
      <c r="G125" s="198">
        <v>15</v>
      </c>
      <c r="H125" s="198">
        <v>1</v>
      </c>
      <c r="I125" s="200"/>
      <c r="J125" s="200"/>
      <c r="K125" s="198">
        <v>7</v>
      </c>
      <c r="L125" s="198">
        <v>29</v>
      </c>
      <c r="M125" s="200"/>
      <c r="N125" s="198">
        <v>19</v>
      </c>
      <c r="O125" s="198">
        <v>10</v>
      </c>
      <c r="Q125" s="219">
        <f t="shared" si="53"/>
        <v>70.107956091808035</v>
      </c>
      <c r="R125" s="219">
        <f t="shared" si="54"/>
        <v>8.1284586773110767</v>
      </c>
      <c r="S125" s="219">
        <f t="shared" si="55"/>
        <v>5.0802866733194234</v>
      </c>
      <c r="T125" s="219"/>
      <c r="U125" s="219">
        <f t="shared" si="57"/>
        <v>15.240860019958269</v>
      </c>
      <c r="V125" s="219">
        <f t="shared" si="58"/>
        <v>1.0160573346638846</v>
      </c>
      <c r="W125" s="216"/>
      <c r="X125" s="217"/>
      <c r="Y125" s="217">
        <f t="shared" si="61"/>
        <v>7.1124013426471926</v>
      </c>
      <c r="Z125" s="217">
        <f t="shared" si="62"/>
        <v>29.465662705252655</v>
      </c>
      <c r="AA125" s="217"/>
      <c r="AB125" s="217">
        <f t="shared" si="63"/>
        <v>19.305089358613809</v>
      </c>
      <c r="AC125" s="217">
        <f t="shared" si="64"/>
        <v>10.160573346638847</v>
      </c>
    </row>
    <row r="126" spans="1:29" ht="22.5">
      <c r="A126" s="194" t="s">
        <v>389</v>
      </c>
      <c r="B126" s="194" t="s">
        <v>390</v>
      </c>
      <c r="C126" s="209">
        <v>-302</v>
      </c>
      <c r="D126" s="209">
        <v>-309</v>
      </c>
      <c r="E126" s="209">
        <v>-157</v>
      </c>
      <c r="F126" s="225">
        <v>-67</v>
      </c>
      <c r="G126" s="225">
        <v>-58</v>
      </c>
      <c r="H126" s="225">
        <v>-42</v>
      </c>
      <c r="I126" s="225">
        <v>-47</v>
      </c>
      <c r="J126" s="225">
        <v>-20</v>
      </c>
      <c r="K126" s="225">
        <v>-18</v>
      </c>
      <c r="L126" s="225">
        <v>-129</v>
      </c>
      <c r="M126" s="226"/>
      <c r="N126" s="225">
        <v>-114</v>
      </c>
      <c r="O126" s="225">
        <v>-34</v>
      </c>
      <c r="Q126" s="219">
        <f>-C126*2240/2204.6</f>
        <v>306.84931506849318</v>
      </c>
      <c r="R126" s="219">
        <f t="shared" ref="R126:AC126" si="67">-D126*2240/2204.6</f>
        <v>313.96171641114034</v>
      </c>
      <c r="S126" s="219">
        <f t="shared" si="67"/>
        <v>159.5210015422299</v>
      </c>
      <c r="T126" s="219">
        <f t="shared" si="67"/>
        <v>68.075841422480266</v>
      </c>
      <c r="U126" s="219">
        <f t="shared" si="67"/>
        <v>58.931325410505309</v>
      </c>
      <c r="V126" s="219">
        <f t="shared" si="67"/>
        <v>42.674408055883156</v>
      </c>
      <c r="W126" s="216">
        <f t="shared" si="67"/>
        <v>47.754694729202576</v>
      </c>
      <c r="X126" s="217">
        <f t="shared" si="67"/>
        <v>20.321146693277694</v>
      </c>
      <c r="Y126" s="217">
        <f t="shared" si="67"/>
        <v>18.289032023949925</v>
      </c>
      <c r="Z126" s="217">
        <f t="shared" si="67"/>
        <v>131.07139617164111</v>
      </c>
      <c r="AA126" s="217"/>
      <c r="AB126" s="217">
        <f t="shared" si="67"/>
        <v>115.83053615168285</v>
      </c>
      <c r="AC126" s="217">
        <f t="shared" si="67"/>
        <v>34.545949378572075</v>
      </c>
    </row>
    <row r="127" spans="1:29" ht="22.5">
      <c r="A127" s="206">
        <v>321</v>
      </c>
      <c r="B127" s="194" t="s">
        <v>391</v>
      </c>
      <c r="C127" s="198">
        <v>302</v>
      </c>
      <c r="D127" s="198">
        <v>220</v>
      </c>
      <c r="E127" s="198">
        <v>153</v>
      </c>
      <c r="F127" s="224">
        <v>67</v>
      </c>
      <c r="G127" s="224">
        <v>56</v>
      </c>
      <c r="H127" s="224">
        <v>42</v>
      </c>
      <c r="I127" s="224">
        <v>44</v>
      </c>
      <c r="J127" s="224">
        <v>20</v>
      </c>
      <c r="K127" s="224">
        <v>17</v>
      </c>
      <c r="L127" s="224">
        <v>125</v>
      </c>
      <c r="M127" s="227"/>
      <c r="N127" s="224">
        <v>109</v>
      </c>
      <c r="O127" s="224">
        <v>33</v>
      </c>
      <c r="Q127" s="219">
        <f t="shared" si="53"/>
        <v>306.84931506849318</v>
      </c>
      <c r="R127" s="219">
        <f t="shared" si="54"/>
        <v>223.53261362605463</v>
      </c>
      <c r="S127" s="219">
        <f t="shared" si="55"/>
        <v>155.45677220357436</v>
      </c>
      <c r="T127" s="219">
        <f t="shared" si="56"/>
        <v>68.075841422480266</v>
      </c>
      <c r="U127" s="219">
        <f t="shared" si="57"/>
        <v>56.899210741177541</v>
      </c>
      <c r="V127" s="219">
        <f t="shared" si="58"/>
        <v>42.674408055883156</v>
      </c>
      <c r="W127" s="216">
        <f t="shared" si="59"/>
        <v>44.706522725210924</v>
      </c>
      <c r="X127" s="217">
        <f t="shared" si="60"/>
        <v>20.321146693277694</v>
      </c>
      <c r="Y127" s="217">
        <f t="shared" si="61"/>
        <v>17.272974689286038</v>
      </c>
      <c r="Z127" s="217">
        <f t="shared" si="62"/>
        <v>127.00716683298558</v>
      </c>
      <c r="AA127" s="217"/>
      <c r="AB127" s="217">
        <f t="shared" si="63"/>
        <v>110.75024947836343</v>
      </c>
      <c r="AC127" s="217">
        <f t="shared" si="64"/>
        <v>33.529892043908191</v>
      </c>
    </row>
    <row r="128" spans="1:29" ht="22.5">
      <c r="A128" s="206">
        <v>322</v>
      </c>
      <c r="B128" s="194" t="s">
        <v>392</v>
      </c>
      <c r="C128" s="200"/>
      <c r="D128" s="198">
        <v>84</v>
      </c>
      <c r="E128" s="200"/>
      <c r="F128" s="200"/>
      <c r="G128" s="200"/>
      <c r="H128" s="200"/>
      <c r="I128" s="200"/>
      <c r="J128" s="200"/>
      <c r="K128" s="200"/>
      <c r="L128" s="200"/>
      <c r="M128" s="200"/>
      <c r="N128" s="200"/>
      <c r="O128" s="200"/>
      <c r="Q128" s="219"/>
      <c r="R128" s="219">
        <f t="shared" si="54"/>
        <v>85.348816111766311</v>
      </c>
      <c r="S128" s="219"/>
      <c r="T128" s="219"/>
      <c r="U128" s="219"/>
      <c r="V128" s="219"/>
      <c r="W128" s="216"/>
      <c r="X128" s="217"/>
      <c r="Y128" s="217"/>
      <c r="Z128" s="217"/>
      <c r="AA128" s="217"/>
      <c r="AB128" s="217"/>
      <c r="AC128" s="217"/>
    </row>
    <row r="129" spans="1:45" ht="22.5">
      <c r="A129" s="206">
        <v>323</v>
      </c>
      <c r="B129" s="194" t="s">
        <v>393</v>
      </c>
      <c r="C129" s="200"/>
      <c r="D129" s="198">
        <v>5</v>
      </c>
      <c r="E129" s="198">
        <v>4</v>
      </c>
      <c r="F129" s="200"/>
      <c r="G129" s="198">
        <v>2</v>
      </c>
      <c r="H129" s="200"/>
      <c r="I129" s="198">
        <v>3</v>
      </c>
      <c r="J129" s="200"/>
      <c r="K129" s="198">
        <v>2</v>
      </c>
      <c r="L129" s="198">
        <v>4</v>
      </c>
      <c r="M129" s="200"/>
      <c r="N129" s="198">
        <v>5</v>
      </c>
      <c r="O129" s="198">
        <v>1</v>
      </c>
      <c r="Q129" s="219"/>
      <c r="R129" s="219">
        <f t="shared" si="54"/>
        <v>5.0802866733194234</v>
      </c>
      <c r="S129" s="219">
        <f t="shared" si="55"/>
        <v>4.0642293386555384</v>
      </c>
      <c r="T129" s="219"/>
      <c r="U129" s="219">
        <f t="shared" si="57"/>
        <v>2.0321146693277692</v>
      </c>
      <c r="V129" s="219"/>
      <c r="W129" s="216">
        <f t="shared" si="59"/>
        <v>3.0481720039916538</v>
      </c>
      <c r="X129" s="217"/>
      <c r="Y129" s="217">
        <f t="shared" si="61"/>
        <v>2.0321146693277692</v>
      </c>
      <c r="Z129" s="217">
        <f t="shared" si="62"/>
        <v>4.0642293386555384</v>
      </c>
      <c r="AA129" s="217"/>
      <c r="AB129" s="217">
        <f t="shared" si="63"/>
        <v>5.0802866733194234</v>
      </c>
      <c r="AC129" s="217">
        <f t="shared" si="64"/>
        <v>1.0160573346638846</v>
      </c>
    </row>
    <row r="130" spans="1:45">
      <c r="A130" s="206">
        <v>324</v>
      </c>
      <c r="B130" s="194" t="s">
        <v>394</v>
      </c>
      <c r="C130" s="198">
        <v>56</v>
      </c>
      <c r="D130" s="198">
        <v>52</v>
      </c>
      <c r="E130" s="198">
        <v>53</v>
      </c>
      <c r="F130" s="198">
        <v>16</v>
      </c>
      <c r="G130" s="198">
        <v>12</v>
      </c>
      <c r="H130" s="198">
        <v>18</v>
      </c>
      <c r="I130" s="198">
        <v>5</v>
      </c>
      <c r="J130" s="198">
        <v>6</v>
      </c>
      <c r="K130" s="198">
        <v>4</v>
      </c>
      <c r="L130" s="198">
        <v>54</v>
      </c>
      <c r="M130" s="200"/>
      <c r="N130" s="198">
        <v>49</v>
      </c>
      <c r="O130" s="198">
        <v>23</v>
      </c>
      <c r="Q130" s="219">
        <f t="shared" si="53"/>
        <v>56.899210741177541</v>
      </c>
      <c r="R130" s="219">
        <f t="shared" si="54"/>
        <v>52.834981402522004</v>
      </c>
      <c r="S130" s="219">
        <f t="shared" si="55"/>
        <v>53.851038737185888</v>
      </c>
      <c r="T130" s="219">
        <f t="shared" si="56"/>
        <v>16.256917354622153</v>
      </c>
      <c r="U130" s="219">
        <f t="shared" si="57"/>
        <v>12.192688015966615</v>
      </c>
      <c r="V130" s="219">
        <f t="shared" si="58"/>
        <v>18.289032023949925</v>
      </c>
      <c r="W130" s="216">
        <f t="shared" si="59"/>
        <v>5.0802866733194234</v>
      </c>
      <c r="X130" s="217">
        <f t="shared" si="60"/>
        <v>6.0963440079833076</v>
      </c>
      <c r="Y130" s="217">
        <f t="shared" si="61"/>
        <v>4.0642293386555384</v>
      </c>
      <c r="Z130" s="217">
        <f t="shared" si="62"/>
        <v>54.867096071849772</v>
      </c>
      <c r="AA130" s="217"/>
      <c r="AB130" s="217">
        <f t="shared" si="63"/>
        <v>49.786809398530345</v>
      </c>
      <c r="AC130" s="217">
        <f t="shared" si="64"/>
        <v>23.369318697269346</v>
      </c>
    </row>
    <row r="131" spans="1:45" ht="33.75">
      <c r="A131" s="194" t="s">
        <v>395</v>
      </c>
      <c r="B131" s="194" t="s">
        <v>396</v>
      </c>
      <c r="C131" s="209">
        <v>-56</v>
      </c>
      <c r="D131" s="209">
        <v>-41</v>
      </c>
      <c r="E131" s="209">
        <v>-38</v>
      </c>
      <c r="F131" s="209">
        <v>-33</v>
      </c>
      <c r="G131" s="209">
        <v>-25</v>
      </c>
      <c r="H131" s="225">
        <v>-12</v>
      </c>
      <c r="I131" s="225">
        <v>-13</v>
      </c>
      <c r="J131" s="225">
        <v>-14</v>
      </c>
      <c r="K131" s="225">
        <v>-16</v>
      </c>
      <c r="L131" s="209">
        <v>-40</v>
      </c>
      <c r="M131" s="200"/>
      <c r="N131" s="225">
        <v>-33</v>
      </c>
      <c r="O131" s="225">
        <v>-18</v>
      </c>
      <c r="Q131" s="219">
        <f>-C131*2240/2204.6</f>
        <v>56.899210741177541</v>
      </c>
      <c r="R131" s="219">
        <f t="shared" ref="R131:AC131" si="68">-D131*2240/2204.6</f>
        <v>41.658350721219271</v>
      </c>
      <c r="S131" s="219">
        <f t="shared" si="68"/>
        <v>38.610178717227619</v>
      </c>
      <c r="T131" s="219">
        <f t="shared" si="68"/>
        <v>33.529892043908191</v>
      </c>
      <c r="U131" s="219">
        <f t="shared" si="68"/>
        <v>25.401433366597118</v>
      </c>
      <c r="V131" s="219">
        <f t="shared" si="68"/>
        <v>12.192688015966615</v>
      </c>
      <c r="W131" s="216">
        <f t="shared" si="68"/>
        <v>13.208745350630501</v>
      </c>
      <c r="X131" s="217">
        <f t="shared" si="68"/>
        <v>14.224802685294385</v>
      </c>
      <c r="Y131" s="217">
        <f t="shared" si="68"/>
        <v>16.256917354622153</v>
      </c>
      <c r="Z131" s="217">
        <f t="shared" si="68"/>
        <v>40.642293386555387</v>
      </c>
      <c r="AA131" s="217"/>
      <c r="AB131" s="217">
        <f t="shared" si="68"/>
        <v>33.529892043908191</v>
      </c>
      <c r="AC131" s="217">
        <f t="shared" si="68"/>
        <v>18.289032023949925</v>
      </c>
    </row>
    <row r="132" spans="1:45" ht="22.5">
      <c r="A132" s="206">
        <v>331</v>
      </c>
      <c r="B132" s="194" t="s">
        <v>934</v>
      </c>
      <c r="C132" s="198">
        <v>56</v>
      </c>
      <c r="D132" s="198">
        <v>25</v>
      </c>
      <c r="E132" s="198">
        <v>25</v>
      </c>
      <c r="F132" s="198">
        <v>22</v>
      </c>
      <c r="G132" s="198">
        <v>17</v>
      </c>
      <c r="H132" s="224">
        <v>9</v>
      </c>
      <c r="I132" s="224">
        <v>8</v>
      </c>
      <c r="J132" s="224">
        <v>8</v>
      </c>
      <c r="K132" s="224">
        <v>14</v>
      </c>
      <c r="L132" s="198">
        <v>24</v>
      </c>
      <c r="M132" s="200"/>
      <c r="N132" s="224">
        <v>20</v>
      </c>
      <c r="O132" s="224">
        <v>11</v>
      </c>
      <c r="Q132" s="219">
        <f t="shared" si="53"/>
        <v>56.899210741177541</v>
      </c>
      <c r="R132" s="219">
        <f t="shared" si="54"/>
        <v>25.401433366597118</v>
      </c>
      <c r="S132" s="219">
        <f t="shared" si="55"/>
        <v>25.401433366597118</v>
      </c>
      <c r="T132" s="219">
        <f t="shared" si="56"/>
        <v>22.353261362605462</v>
      </c>
      <c r="U132" s="219">
        <f t="shared" si="57"/>
        <v>17.272974689286038</v>
      </c>
      <c r="V132" s="219">
        <f t="shared" si="58"/>
        <v>9.1445160119749627</v>
      </c>
      <c r="W132" s="216">
        <f t="shared" si="59"/>
        <v>8.1284586773110767</v>
      </c>
      <c r="X132" s="217">
        <f t="shared" si="60"/>
        <v>8.1284586773110767</v>
      </c>
      <c r="Y132" s="217">
        <f t="shared" si="61"/>
        <v>14.224802685294385</v>
      </c>
      <c r="Z132" s="217">
        <f t="shared" si="62"/>
        <v>24.38537603193323</v>
      </c>
      <c r="AA132" s="217"/>
      <c r="AB132" s="217">
        <f t="shared" si="63"/>
        <v>20.321146693277694</v>
      </c>
      <c r="AC132" s="217">
        <f t="shared" si="64"/>
        <v>11.176630681302731</v>
      </c>
    </row>
    <row r="133" spans="1:45" ht="22.5">
      <c r="A133" s="206">
        <v>332</v>
      </c>
      <c r="B133" s="228" t="s">
        <v>398</v>
      </c>
      <c r="C133" s="200"/>
      <c r="D133" s="198">
        <v>16</v>
      </c>
      <c r="E133" s="198">
        <v>13</v>
      </c>
      <c r="F133" s="229">
        <v>11</v>
      </c>
      <c r="G133" s="229">
        <v>7</v>
      </c>
      <c r="H133" s="229">
        <v>3</v>
      </c>
      <c r="I133" s="229">
        <v>5</v>
      </c>
      <c r="J133" s="229">
        <v>6</v>
      </c>
      <c r="K133" s="229">
        <v>3</v>
      </c>
      <c r="L133" s="229">
        <v>16</v>
      </c>
      <c r="M133" s="226"/>
      <c r="N133" s="229">
        <v>13</v>
      </c>
      <c r="O133" s="229">
        <v>7</v>
      </c>
      <c r="Q133" s="219"/>
      <c r="R133" s="219">
        <f t="shared" si="54"/>
        <v>16.256917354622153</v>
      </c>
      <c r="S133" s="219">
        <f t="shared" si="55"/>
        <v>13.208745350630501</v>
      </c>
      <c r="T133" s="219">
        <f t="shared" si="56"/>
        <v>11.176630681302731</v>
      </c>
      <c r="U133" s="219">
        <f t="shared" si="57"/>
        <v>7.1124013426471926</v>
      </c>
      <c r="V133" s="219">
        <f t="shared" si="58"/>
        <v>3.0481720039916538</v>
      </c>
      <c r="W133" s="216">
        <f t="shared" si="59"/>
        <v>5.0802866733194234</v>
      </c>
      <c r="X133" s="217">
        <f t="shared" si="60"/>
        <v>6.0963440079833076</v>
      </c>
      <c r="Y133" s="217">
        <f t="shared" si="61"/>
        <v>3.0481720039916538</v>
      </c>
      <c r="Z133" s="217">
        <f t="shared" si="62"/>
        <v>16.256917354622153</v>
      </c>
      <c r="AA133" s="217"/>
      <c r="AB133" s="217">
        <f t="shared" si="63"/>
        <v>13.208745350630501</v>
      </c>
      <c r="AC133" s="217">
        <f t="shared" si="64"/>
        <v>7.1124013426471926</v>
      </c>
    </row>
    <row r="134" spans="1:45" ht="22.5">
      <c r="A134" s="206">
        <v>341</v>
      </c>
      <c r="B134" s="230" t="s">
        <v>400</v>
      </c>
      <c r="C134" s="200"/>
      <c r="D134" s="198">
        <v>3</v>
      </c>
      <c r="E134" s="198">
        <v>2</v>
      </c>
      <c r="F134" s="227"/>
      <c r="G134" s="227"/>
      <c r="H134" s="227"/>
      <c r="I134" s="224">
        <v>2</v>
      </c>
      <c r="J134" s="227"/>
      <c r="K134" s="227"/>
      <c r="L134" s="227"/>
      <c r="M134" s="227"/>
      <c r="N134" s="227"/>
      <c r="O134" s="227"/>
      <c r="Q134" s="219"/>
      <c r="R134" s="219">
        <f t="shared" si="54"/>
        <v>3.0481720039916538</v>
      </c>
      <c r="S134" s="219">
        <f t="shared" si="55"/>
        <v>2.0321146693277692</v>
      </c>
      <c r="T134" s="219"/>
      <c r="U134" s="219"/>
      <c r="V134" s="219"/>
      <c r="W134" s="216">
        <f t="shared" si="59"/>
        <v>2.0321146693277692</v>
      </c>
      <c r="X134" s="217"/>
      <c r="Y134" s="217"/>
      <c r="Z134" s="217"/>
      <c r="AA134" s="217"/>
      <c r="AB134" s="217"/>
      <c r="AC134" s="217"/>
      <c r="AE134" s="215"/>
      <c r="AF134" s="215">
        <f t="shared" ref="AF134:AQ134" si="69">SUM(R134:R136)</f>
        <v>39.626236051891496</v>
      </c>
      <c r="AG134" s="215">
        <f t="shared" si="69"/>
        <v>39.626236051891503</v>
      </c>
      <c r="AH134" s="215"/>
      <c r="AI134" s="215"/>
      <c r="AJ134" s="215"/>
      <c r="AK134" s="215">
        <f t="shared" si="69"/>
        <v>11.176630681302731</v>
      </c>
      <c r="AL134" s="215">
        <f t="shared" si="69"/>
        <v>9.1445160119749627</v>
      </c>
      <c r="AM134" s="215">
        <f t="shared" si="69"/>
        <v>2.0321146693277692</v>
      </c>
      <c r="AN134" s="215">
        <f t="shared" si="69"/>
        <v>31.497777374580423</v>
      </c>
      <c r="AO134" s="215"/>
      <c r="AP134" s="215">
        <f t="shared" si="69"/>
        <v>41.658350721219271</v>
      </c>
      <c r="AQ134" s="215">
        <f t="shared" si="69"/>
        <v>37.594121382563735</v>
      </c>
      <c r="AR134" s="215"/>
      <c r="AS134" s="215"/>
    </row>
    <row r="135" spans="1:45" ht="22.5">
      <c r="A135" s="206">
        <v>342</v>
      </c>
      <c r="B135" s="194" t="s">
        <v>401</v>
      </c>
      <c r="C135" s="200"/>
      <c r="D135" s="198">
        <v>21</v>
      </c>
      <c r="E135" s="198">
        <v>26</v>
      </c>
      <c r="F135" s="200"/>
      <c r="G135" s="200"/>
      <c r="H135" s="200"/>
      <c r="I135" s="198">
        <v>4</v>
      </c>
      <c r="J135" s="198">
        <v>9</v>
      </c>
      <c r="K135" s="198">
        <v>2</v>
      </c>
      <c r="L135" s="200"/>
      <c r="M135" s="200"/>
      <c r="N135" s="200"/>
      <c r="O135" s="198">
        <v>37</v>
      </c>
      <c r="Q135" s="219"/>
      <c r="R135" s="219">
        <f t="shared" si="54"/>
        <v>21.337204027941578</v>
      </c>
      <c r="S135" s="219">
        <f t="shared" si="55"/>
        <v>26.417490701261002</v>
      </c>
      <c r="T135" s="219"/>
      <c r="U135" s="219"/>
      <c r="V135" s="219"/>
      <c r="W135" s="216">
        <f t="shared" si="59"/>
        <v>4.0642293386555384</v>
      </c>
      <c r="X135" s="217">
        <f t="shared" si="60"/>
        <v>9.1445160119749627</v>
      </c>
      <c r="Y135" s="217">
        <f t="shared" si="61"/>
        <v>2.0321146693277692</v>
      </c>
      <c r="Z135" s="217"/>
      <c r="AA135" s="217"/>
      <c r="AB135" s="217"/>
      <c r="AC135" s="217">
        <f t="shared" si="64"/>
        <v>37.594121382563735</v>
      </c>
    </row>
    <row r="136" spans="1:45" ht="22.5">
      <c r="A136" s="206">
        <v>343</v>
      </c>
      <c r="B136" s="194" t="s">
        <v>402</v>
      </c>
      <c r="C136" s="200"/>
      <c r="D136" s="198">
        <v>15</v>
      </c>
      <c r="E136" s="198">
        <v>11</v>
      </c>
      <c r="F136" s="200"/>
      <c r="G136" s="200"/>
      <c r="H136" s="200"/>
      <c r="I136" s="198">
        <v>5</v>
      </c>
      <c r="J136" s="200"/>
      <c r="K136" s="200"/>
      <c r="L136" s="198">
        <v>31</v>
      </c>
      <c r="M136" s="200"/>
      <c r="N136" s="198">
        <v>41</v>
      </c>
      <c r="O136" s="200"/>
      <c r="Q136" s="219"/>
      <c r="R136" s="219">
        <f t="shared" si="54"/>
        <v>15.240860019958269</v>
      </c>
      <c r="S136" s="219">
        <f t="shared" si="55"/>
        <v>11.176630681302731</v>
      </c>
      <c r="T136" s="219"/>
      <c r="U136" s="219"/>
      <c r="V136" s="219"/>
      <c r="W136" s="216">
        <f t="shared" si="59"/>
        <v>5.0802866733194234</v>
      </c>
      <c r="X136" s="217"/>
      <c r="Y136" s="217"/>
      <c r="Z136" s="217">
        <f t="shared" si="62"/>
        <v>31.497777374580423</v>
      </c>
      <c r="AA136" s="217"/>
      <c r="AB136" s="217">
        <f t="shared" si="63"/>
        <v>41.658350721219271</v>
      </c>
      <c r="AC136" s="217"/>
    </row>
    <row r="137" spans="1:45" ht="22.5">
      <c r="A137" s="206">
        <v>398</v>
      </c>
      <c r="B137" s="194" t="s">
        <v>403</v>
      </c>
      <c r="C137" s="198">
        <v>36</v>
      </c>
      <c r="D137" s="198">
        <v>31</v>
      </c>
      <c r="E137" s="198">
        <v>11</v>
      </c>
      <c r="F137" s="226"/>
      <c r="G137" s="226"/>
      <c r="H137" s="229">
        <v>1</v>
      </c>
      <c r="I137" s="226"/>
      <c r="J137" s="229">
        <v>4</v>
      </c>
      <c r="K137" s="226"/>
      <c r="L137" s="229">
        <v>1</v>
      </c>
      <c r="M137" s="226"/>
      <c r="N137" s="229">
        <v>1</v>
      </c>
      <c r="O137" s="229">
        <v>10</v>
      </c>
      <c r="Q137" s="219">
        <f t="shared" si="53"/>
        <v>36.578064047899851</v>
      </c>
      <c r="R137" s="219">
        <f t="shared" si="54"/>
        <v>31.497777374580423</v>
      </c>
      <c r="S137" s="219">
        <f t="shared" si="55"/>
        <v>11.176630681302731</v>
      </c>
      <c r="T137" s="219"/>
      <c r="U137" s="219"/>
      <c r="V137" s="219">
        <f t="shared" si="58"/>
        <v>1.0160573346638846</v>
      </c>
      <c r="W137" s="216"/>
      <c r="X137" s="217">
        <f t="shared" si="60"/>
        <v>4.0642293386555384</v>
      </c>
      <c r="Y137" s="217"/>
      <c r="Z137" s="217">
        <f t="shared" si="62"/>
        <v>1.0160573346638846</v>
      </c>
      <c r="AA137" s="217"/>
      <c r="AB137" s="217">
        <f t="shared" si="63"/>
        <v>1.0160573346638846</v>
      </c>
      <c r="AC137" s="217">
        <f t="shared" si="64"/>
        <v>10.160573346638847</v>
      </c>
    </row>
    <row r="138" spans="1:45" ht="22.5">
      <c r="A138" s="206">
        <v>399</v>
      </c>
      <c r="B138" s="194" t="s">
        <v>404</v>
      </c>
      <c r="C138" s="198">
        <v>8</v>
      </c>
      <c r="D138" s="198">
        <v>9</v>
      </c>
      <c r="E138" s="198">
        <v>7</v>
      </c>
      <c r="F138" s="224">
        <v>5</v>
      </c>
      <c r="G138" s="224">
        <v>5</v>
      </c>
      <c r="H138" s="224">
        <v>1</v>
      </c>
      <c r="I138" s="224">
        <v>2</v>
      </c>
      <c r="J138" s="224">
        <v>3</v>
      </c>
      <c r="K138" s="224">
        <v>3</v>
      </c>
      <c r="L138" s="224">
        <v>3</v>
      </c>
      <c r="M138" s="227"/>
      <c r="N138" s="224">
        <v>5</v>
      </c>
      <c r="O138" s="224">
        <v>2</v>
      </c>
      <c r="Q138" s="219">
        <f t="shared" si="53"/>
        <v>8.1284586773110767</v>
      </c>
      <c r="R138" s="219">
        <f t="shared" si="54"/>
        <v>9.1445160119749627</v>
      </c>
      <c r="S138" s="219">
        <f t="shared" si="55"/>
        <v>7.1124013426471926</v>
      </c>
      <c r="T138" s="219">
        <f t="shared" si="56"/>
        <v>5.0802866733194234</v>
      </c>
      <c r="U138" s="219">
        <f t="shared" si="57"/>
        <v>5.0802866733194234</v>
      </c>
      <c r="V138" s="219">
        <f t="shared" si="58"/>
        <v>1.0160573346638846</v>
      </c>
      <c r="W138" s="216">
        <f t="shared" si="59"/>
        <v>2.0321146693277692</v>
      </c>
      <c r="X138" s="217">
        <f t="shared" si="60"/>
        <v>3.0481720039916538</v>
      </c>
      <c r="Y138" s="217">
        <f t="shared" si="61"/>
        <v>3.0481720039916538</v>
      </c>
      <c r="Z138" s="217">
        <f t="shared" si="62"/>
        <v>3.0481720039916538</v>
      </c>
      <c r="AA138" s="217"/>
      <c r="AB138" s="217">
        <f t="shared" si="63"/>
        <v>5.0802866733194234</v>
      </c>
      <c r="AC138" s="217">
        <f t="shared" si="64"/>
        <v>2.0321146693277692</v>
      </c>
    </row>
    <row r="139" spans="1:45">
      <c r="A139" s="199"/>
      <c r="B139" s="199"/>
      <c r="C139" s="200"/>
      <c r="D139" s="200"/>
      <c r="E139" s="200"/>
      <c r="F139" s="200"/>
      <c r="G139" s="200"/>
      <c r="H139" s="200"/>
      <c r="I139" s="200"/>
      <c r="J139" s="200"/>
      <c r="K139" s="200"/>
      <c r="L139" s="200"/>
      <c r="M139" s="200"/>
      <c r="N139" s="200"/>
      <c r="O139" s="200"/>
      <c r="Q139" s="219">
        <f t="shared" si="53"/>
        <v>0</v>
      </c>
      <c r="R139" s="219">
        <f t="shared" si="54"/>
        <v>0</v>
      </c>
      <c r="S139" s="219">
        <f t="shared" si="55"/>
        <v>0</v>
      </c>
      <c r="T139" s="219">
        <f t="shared" si="56"/>
        <v>0</v>
      </c>
      <c r="U139" s="219">
        <f t="shared" si="57"/>
        <v>0</v>
      </c>
      <c r="V139" s="219">
        <f t="shared" si="58"/>
        <v>0</v>
      </c>
      <c r="W139" s="216">
        <f t="shared" si="59"/>
        <v>0</v>
      </c>
      <c r="X139" s="217">
        <f t="shared" si="60"/>
        <v>0</v>
      </c>
      <c r="Y139" s="217">
        <f t="shared" si="61"/>
        <v>0</v>
      </c>
      <c r="Z139" s="217">
        <f t="shared" si="62"/>
        <v>0</v>
      </c>
      <c r="AA139" s="217"/>
      <c r="AB139" s="217">
        <f t="shared" si="63"/>
        <v>0</v>
      </c>
      <c r="AC139" s="217">
        <f t="shared" si="64"/>
        <v>0</v>
      </c>
    </row>
    <row r="140" spans="1:45">
      <c r="A140" s="630" t="s">
        <v>935</v>
      </c>
      <c r="B140" s="630"/>
      <c r="C140" s="198">
        <v>813</v>
      </c>
      <c r="D140" s="198">
        <v>792</v>
      </c>
      <c r="E140" s="198">
        <v>499</v>
      </c>
      <c r="F140" s="198">
        <v>221</v>
      </c>
      <c r="G140" s="198">
        <v>215</v>
      </c>
      <c r="H140" s="198">
        <v>121</v>
      </c>
      <c r="I140" s="198">
        <v>135</v>
      </c>
      <c r="J140" s="198">
        <v>113</v>
      </c>
      <c r="K140" s="198">
        <v>84</v>
      </c>
      <c r="L140" s="198">
        <v>382</v>
      </c>
      <c r="M140" s="198">
        <v>327</v>
      </c>
      <c r="N140" s="198">
        <v>343</v>
      </c>
      <c r="O140" s="198">
        <v>196</v>
      </c>
      <c r="Q140" s="219">
        <f t="shared" si="53"/>
        <v>826.05461308173824</v>
      </c>
      <c r="R140" s="219">
        <f t="shared" si="54"/>
        <v>804.71740905379659</v>
      </c>
      <c r="S140" s="219">
        <f t="shared" si="55"/>
        <v>507.01260999727845</v>
      </c>
      <c r="T140" s="219">
        <f t="shared" si="56"/>
        <v>224.54867096071851</v>
      </c>
      <c r="U140" s="219">
        <f t="shared" si="57"/>
        <v>218.45232695273521</v>
      </c>
      <c r="V140" s="219">
        <f t="shared" si="58"/>
        <v>122.94293749433004</v>
      </c>
      <c r="W140" s="216">
        <f t="shared" si="59"/>
        <v>137.16774017962442</v>
      </c>
      <c r="X140" s="217">
        <f t="shared" si="60"/>
        <v>114.81447881701897</v>
      </c>
      <c r="Y140" s="217">
        <f t="shared" si="61"/>
        <v>85.348816111766311</v>
      </c>
      <c r="Z140" s="217">
        <f t="shared" si="62"/>
        <v>388.13390184160392</v>
      </c>
      <c r="AA140" s="217">
        <f t="shared" si="65"/>
        <v>332.25074843509026</v>
      </c>
      <c r="AB140" s="217">
        <f t="shared" si="63"/>
        <v>348.50766578971246</v>
      </c>
      <c r="AC140" s="217">
        <f t="shared" si="64"/>
        <v>199.14723759412138</v>
      </c>
    </row>
    <row r="141" spans="1:45">
      <c r="A141" s="634"/>
      <c r="B141" s="634"/>
      <c r="C141" s="200"/>
      <c r="D141" s="200"/>
      <c r="E141" s="200"/>
      <c r="F141" s="200"/>
      <c r="G141" s="200"/>
      <c r="H141" s="200"/>
      <c r="I141" s="200"/>
      <c r="J141" s="200"/>
      <c r="K141" s="200"/>
      <c r="L141" s="200"/>
      <c r="M141" s="200"/>
      <c r="N141" s="200"/>
      <c r="O141" s="200"/>
      <c r="Q141" s="219"/>
      <c r="R141" s="219"/>
      <c r="S141" s="219"/>
      <c r="T141" s="219"/>
      <c r="U141" s="219"/>
      <c r="V141" s="219"/>
      <c r="W141" s="216"/>
      <c r="X141" s="217"/>
      <c r="Y141" s="217"/>
      <c r="Z141" s="217"/>
      <c r="AA141" s="217"/>
      <c r="AB141" s="217"/>
      <c r="AC141" s="217"/>
    </row>
    <row r="142" spans="1:45">
      <c r="A142" s="630" t="s">
        <v>936</v>
      </c>
      <c r="B142" s="630"/>
      <c r="C142" s="202" t="s">
        <v>834</v>
      </c>
      <c r="D142" s="202" t="s">
        <v>835</v>
      </c>
      <c r="E142" s="202" t="s">
        <v>836</v>
      </c>
      <c r="F142" s="202" t="s">
        <v>837</v>
      </c>
      <c r="G142" s="202" t="s">
        <v>838</v>
      </c>
      <c r="H142" s="202" t="s">
        <v>839</v>
      </c>
      <c r="I142" s="202" t="s">
        <v>840</v>
      </c>
      <c r="J142" s="202" t="s">
        <v>841</v>
      </c>
      <c r="K142" s="202" t="s">
        <v>842</v>
      </c>
      <c r="L142" s="202" t="s">
        <v>843</v>
      </c>
      <c r="M142" s="202" t="s">
        <v>844</v>
      </c>
      <c r="N142" s="202" t="s">
        <v>845</v>
      </c>
      <c r="O142" s="202" t="s">
        <v>846</v>
      </c>
      <c r="Q142" s="219"/>
      <c r="R142" s="219"/>
      <c r="S142" s="219"/>
      <c r="T142" s="219"/>
      <c r="U142" s="219"/>
      <c r="V142" s="219"/>
      <c r="W142" s="216"/>
      <c r="X142" s="217"/>
      <c r="Y142" s="217"/>
      <c r="Z142" s="217"/>
      <c r="AA142" s="217"/>
      <c r="AB142" s="217"/>
      <c r="AC142" s="217"/>
    </row>
    <row r="143" spans="1:45" ht="22.5">
      <c r="A143" s="207">
        <v>410</v>
      </c>
      <c r="B143" s="190" t="s">
        <v>405</v>
      </c>
      <c r="C143" s="208">
        <v>34</v>
      </c>
      <c r="D143" s="208">
        <v>31</v>
      </c>
      <c r="E143" s="200"/>
      <c r="F143" s="208">
        <v>1</v>
      </c>
      <c r="G143" s="200"/>
      <c r="H143" s="200"/>
      <c r="I143" s="200"/>
      <c r="J143" s="200"/>
      <c r="K143" s="200"/>
      <c r="L143" s="208">
        <v>17</v>
      </c>
      <c r="M143" s="200"/>
      <c r="N143" s="208">
        <v>24</v>
      </c>
      <c r="O143" s="208">
        <v>7</v>
      </c>
      <c r="Q143" s="219">
        <f t="shared" si="53"/>
        <v>34.545949378572075</v>
      </c>
      <c r="R143" s="219">
        <f t="shared" si="54"/>
        <v>31.497777374580423</v>
      </c>
      <c r="S143" s="219"/>
      <c r="T143" s="219">
        <f t="shared" si="56"/>
        <v>1.0160573346638846</v>
      </c>
      <c r="U143" s="219"/>
      <c r="V143" s="219"/>
      <c r="W143" s="216"/>
      <c r="X143" s="217"/>
      <c r="Y143" s="217"/>
      <c r="Z143" s="217">
        <f t="shared" si="62"/>
        <v>17.272974689286038</v>
      </c>
      <c r="AA143" s="217"/>
      <c r="AB143" s="217">
        <f t="shared" si="63"/>
        <v>24.38537603193323</v>
      </c>
      <c r="AC143" s="217">
        <f t="shared" si="64"/>
        <v>7.1124013426471926</v>
      </c>
    </row>
    <row r="144" spans="1:45" ht="22.5">
      <c r="A144" s="206">
        <v>420</v>
      </c>
      <c r="B144" s="194" t="s">
        <v>406</v>
      </c>
      <c r="C144" s="198">
        <v>16</v>
      </c>
      <c r="D144" s="198">
        <v>15</v>
      </c>
      <c r="E144" s="198">
        <v>10</v>
      </c>
      <c r="F144" s="198">
        <v>10</v>
      </c>
      <c r="G144" s="198">
        <v>2</v>
      </c>
      <c r="H144" s="198">
        <v>4</v>
      </c>
      <c r="I144" s="198">
        <v>7</v>
      </c>
      <c r="J144" s="198">
        <v>3</v>
      </c>
      <c r="K144" s="198">
        <v>6</v>
      </c>
      <c r="L144" s="198">
        <v>10</v>
      </c>
      <c r="M144" s="200"/>
      <c r="N144" s="198">
        <v>9</v>
      </c>
      <c r="O144" s="198">
        <v>8</v>
      </c>
      <c r="Q144" s="219">
        <f t="shared" si="53"/>
        <v>16.256917354622153</v>
      </c>
      <c r="R144" s="219">
        <f t="shared" si="54"/>
        <v>15.240860019958269</v>
      </c>
      <c r="S144" s="219">
        <f t="shared" si="55"/>
        <v>10.160573346638847</v>
      </c>
      <c r="T144" s="219">
        <f t="shared" si="56"/>
        <v>10.160573346638847</v>
      </c>
      <c r="U144" s="219">
        <f t="shared" si="57"/>
        <v>2.0321146693277692</v>
      </c>
      <c r="V144" s="219">
        <f t="shared" si="58"/>
        <v>4.0642293386555384</v>
      </c>
      <c r="W144" s="216">
        <f t="shared" si="59"/>
        <v>7.1124013426471926</v>
      </c>
      <c r="X144" s="217">
        <f t="shared" si="60"/>
        <v>3.0481720039916538</v>
      </c>
      <c r="Y144" s="217">
        <f t="shared" si="61"/>
        <v>6.0963440079833076</v>
      </c>
      <c r="Z144" s="217">
        <f t="shared" si="62"/>
        <v>10.160573346638847</v>
      </c>
      <c r="AA144" s="217"/>
      <c r="AB144" s="217">
        <f t="shared" si="63"/>
        <v>9.1445160119749627</v>
      </c>
      <c r="AC144" s="217">
        <f t="shared" si="64"/>
        <v>8.1284586773110767</v>
      </c>
    </row>
    <row r="145" spans="1:29" ht="33.75">
      <c r="A145" s="206">
        <v>430</v>
      </c>
      <c r="B145" s="194" t="s">
        <v>407</v>
      </c>
      <c r="C145" s="198">
        <v>51</v>
      </c>
      <c r="D145" s="198">
        <v>45</v>
      </c>
      <c r="E145" s="198">
        <v>42</v>
      </c>
      <c r="F145" s="198">
        <v>32</v>
      </c>
      <c r="G145" s="198">
        <v>44</v>
      </c>
      <c r="H145" s="198">
        <v>23</v>
      </c>
      <c r="I145" s="198">
        <v>15</v>
      </c>
      <c r="J145" s="198">
        <v>15</v>
      </c>
      <c r="K145" s="198">
        <v>16</v>
      </c>
      <c r="L145" s="198">
        <v>55</v>
      </c>
      <c r="M145" s="200"/>
      <c r="N145" s="198">
        <v>37</v>
      </c>
      <c r="O145" s="198">
        <v>14</v>
      </c>
      <c r="Q145" s="219">
        <f t="shared" si="53"/>
        <v>51.81892406785812</v>
      </c>
      <c r="R145" s="219">
        <f t="shared" si="54"/>
        <v>45.722580059874808</v>
      </c>
      <c r="S145" s="219">
        <f t="shared" si="55"/>
        <v>42.674408055883156</v>
      </c>
      <c r="T145" s="219">
        <f t="shared" si="56"/>
        <v>32.513834709244307</v>
      </c>
      <c r="U145" s="219">
        <f t="shared" si="57"/>
        <v>44.706522725210924</v>
      </c>
      <c r="V145" s="219">
        <f t="shared" si="58"/>
        <v>23.369318697269346</v>
      </c>
      <c r="W145" s="216">
        <f t="shared" si="59"/>
        <v>15.240860019958269</v>
      </c>
      <c r="X145" s="217">
        <f t="shared" si="60"/>
        <v>15.240860019958269</v>
      </c>
      <c r="Y145" s="217">
        <f t="shared" si="61"/>
        <v>16.256917354622153</v>
      </c>
      <c r="Z145" s="217">
        <f t="shared" si="62"/>
        <v>55.883153406513657</v>
      </c>
      <c r="AA145" s="217"/>
      <c r="AB145" s="217">
        <f t="shared" si="63"/>
        <v>37.594121382563735</v>
      </c>
      <c r="AC145" s="217">
        <f t="shared" si="64"/>
        <v>14.224802685294385</v>
      </c>
    </row>
    <row r="146" spans="1:29" ht="33.75">
      <c r="A146" s="206">
        <v>440</v>
      </c>
      <c r="B146" s="194" t="s">
        <v>408</v>
      </c>
      <c r="C146" s="198">
        <v>45</v>
      </c>
      <c r="D146" s="198">
        <v>47</v>
      </c>
      <c r="E146" s="198">
        <v>37</v>
      </c>
      <c r="F146" s="198">
        <v>5</v>
      </c>
      <c r="G146" s="198">
        <v>20</v>
      </c>
      <c r="H146" s="198">
        <v>14</v>
      </c>
      <c r="I146" s="198">
        <v>9</v>
      </c>
      <c r="J146" s="198">
        <v>1</v>
      </c>
      <c r="K146" s="198">
        <v>8</v>
      </c>
      <c r="L146" s="198">
        <v>27</v>
      </c>
      <c r="M146" s="200"/>
      <c r="N146" s="198">
        <v>30</v>
      </c>
      <c r="O146" s="198">
        <v>15</v>
      </c>
      <c r="Q146" s="219">
        <f t="shared" si="53"/>
        <v>45.722580059874808</v>
      </c>
      <c r="R146" s="219">
        <f t="shared" si="54"/>
        <v>47.754694729202576</v>
      </c>
      <c r="S146" s="219">
        <f t="shared" si="55"/>
        <v>37.594121382563735</v>
      </c>
      <c r="T146" s="219">
        <f t="shared" si="56"/>
        <v>5.0802866733194234</v>
      </c>
      <c r="U146" s="219">
        <f t="shared" si="57"/>
        <v>20.321146693277694</v>
      </c>
      <c r="V146" s="219">
        <f t="shared" si="58"/>
        <v>14.224802685294385</v>
      </c>
      <c r="W146" s="216">
        <f t="shared" si="59"/>
        <v>9.1445160119749627</v>
      </c>
      <c r="X146" s="217">
        <f t="shared" si="60"/>
        <v>1.0160573346638846</v>
      </c>
      <c r="Y146" s="217">
        <f t="shared" si="61"/>
        <v>8.1284586773110767</v>
      </c>
      <c r="Z146" s="217">
        <f t="shared" si="62"/>
        <v>27.433548035924886</v>
      </c>
      <c r="AA146" s="217"/>
      <c r="AB146" s="217">
        <f t="shared" si="63"/>
        <v>30.481720039916539</v>
      </c>
      <c r="AC146" s="217">
        <f t="shared" si="64"/>
        <v>15.240860019958269</v>
      </c>
    </row>
    <row r="147" spans="1:29" ht="22.5">
      <c r="A147" s="206">
        <v>450</v>
      </c>
      <c r="B147" s="194" t="s">
        <v>409</v>
      </c>
      <c r="C147" s="198">
        <v>23</v>
      </c>
      <c r="D147" s="198">
        <v>21</v>
      </c>
      <c r="E147" s="198">
        <v>57</v>
      </c>
      <c r="F147" s="200"/>
      <c r="G147" s="198">
        <v>47</v>
      </c>
      <c r="H147" s="198">
        <v>22</v>
      </c>
      <c r="I147" s="231">
        <v>21</v>
      </c>
      <c r="J147" s="200"/>
      <c r="K147" s="198">
        <v>6</v>
      </c>
      <c r="L147" s="198">
        <v>82</v>
      </c>
      <c r="M147" s="200"/>
      <c r="N147" s="198">
        <v>20</v>
      </c>
      <c r="O147" s="198">
        <v>12</v>
      </c>
      <c r="Q147" s="219">
        <f t="shared" si="53"/>
        <v>23.369318697269346</v>
      </c>
      <c r="R147" s="219">
        <f t="shared" si="54"/>
        <v>21.337204027941578</v>
      </c>
      <c r="S147" s="219">
        <f t="shared" si="55"/>
        <v>57.915268075841425</v>
      </c>
      <c r="T147" s="219"/>
      <c r="U147" s="219">
        <f t="shared" si="57"/>
        <v>47.754694729202576</v>
      </c>
      <c r="V147" s="219">
        <f t="shared" si="58"/>
        <v>22.353261362605462</v>
      </c>
      <c r="W147" s="216">
        <f t="shared" si="59"/>
        <v>21.337204027941578</v>
      </c>
      <c r="X147" s="217"/>
      <c r="Y147" s="217">
        <f t="shared" si="61"/>
        <v>6.0963440079833076</v>
      </c>
      <c r="Z147" s="217">
        <f t="shared" si="62"/>
        <v>83.316701442438543</v>
      </c>
      <c r="AA147" s="217"/>
      <c r="AB147" s="217">
        <f t="shared" si="63"/>
        <v>20.321146693277694</v>
      </c>
      <c r="AC147" s="217">
        <f t="shared" si="64"/>
        <v>12.192688015966615</v>
      </c>
    </row>
    <row r="148" spans="1:29" ht="33.75">
      <c r="A148" s="206">
        <v>460</v>
      </c>
      <c r="B148" s="194" t="s">
        <v>410</v>
      </c>
      <c r="C148" s="198">
        <v>75</v>
      </c>
      <c r="D148" s="198">
        <v>65</v>
      </c>
      <c r="E148" s="198">
        <v>80</v>
      </c>
      <c r="F148" s="200"/>
      <c r="G148" s="198">
        <v>75</v>
      </c>
      <c r="H148" s="198">
        <v>3</v>
      </c>
      <c r="I148" s="198">
        <v>85</v>
      </c>
      <c r="J148" s="200"/>
      <c r="K148" s="198">
        <v>43</v>
      </c>
      <c r="L148" s="198">
        <v>87</v>
      </c>
      <c r="M148" s="200"/>
      <c r="N148" s="198">
        <v>91</v>
      </c>
      <c r="O148" s="198">
        <v>30</v>
      </c>
      <c r="Q148" s="219">
        <f t="shared" si="53"/>
        <v>76.204300099791354</v>
      </c>
      <c r="R148" s="219">
        <f t="shared" si="54"/>
        <v>66.043726753152498</v>
      </c>
      <c r="S148" s="219">
        <f t="shared" si="55"/>
        <v>81.284586773110775</v>
      </c>
      <c r="T148" s="219"/>
      <c r="U148" s="219">
        <f t="shared" si="57"/>
        <v>76.204300099791354</v>
      </c>
      <c r="V148" s="219">
        <f t="shared" si="58"/>
        <v>3.0481720039916538</v>
      </c>
      <c r="W148" s="216">
        <f t="shared" si="59"/>
        <v>86.364873446430195</v>
      </c>
      <c r="X148" s="217"/>
      <c r="Y148" s="217">
        <f t="shared" si="61"/>
        <v>43.69046539054704</v>
      </c>
      <c r="Z148" s="217">
        <f t="shared" si="62"/>
        <v>88.396988115757964</v>
      </c>
      <c r="AA148" s="217"/>
      <c r="AB148" s="217">
        <f t="shared" si="63"/>
        <v>92.4612174544135</v>
      </c>
      <c r="AC148" s="217">
        <f t="shared" si="64"/>
        <v>30.481720039916539</v>
      </c>
    </row>
    <row r="149" spans="1:29" ht="22.5">
      <c r="A149" s="206">
        <v>470</v>
      </c>
      <c r="B149" s="194" t="s">
        <v>411</v>
      </c>
      <c r="C149" s="198">
        <v>26</v>
      </c>
      <c r="D149" s="198">
        <v>8</v>
      </c>
      <c r="E149" s="198">
        <v>4</v>
      </c>
      <c r="F149" s="198">
        <v>175</v>
      </c>
      <c r="G149" s="198">
        <v>2</v>
      </c>
      <c r="H149" s="198">
        <v>1</v>
      </c>
      <c r="I149" s="198">
        <v>21</v>
      </c>
      <c r="J149" s="198">
        <v>100</v>
      </c>
      <c r="K149" s="198">
        <v>1</v>
      </c>
      <c r="L149" s="198">
        <v>13</v>
      </c>
      <c r="M149" s="200"/>
      <c r="N149" s="198">
        <v>9</v>
      </c>
      <c r="O149" s="198">
        <v>6</v>
      </c>
      <c r="Q149" s="219">
        <f t="shared" si="53"/>
        <v>26.417490701261002</v>
      </c>
      <c r="R149" s="219">
        <f t="shared" si="54"/>
        <v>8.1284586773110767</v>
      </c>
      <c r="S149" s="219">
        <f t="shared" si="55"/>
        <v>4.0642293386555384</v>
      </c>
      <c r="T149" s="219">
        <f t="shared" si="56"/>
        <v>177.81003356617981</v>
      </c>
      <c r="U149" s="219">
        <f t="shared" si="57"/>
        <v>2.0321146693277692</v>
      </c>
      <c r="V149" s="219">
        <f t="shared" si="58"/>
        <v>1.0160573346638846</v>
      </c>
      <c r="W149" s="216">
        <f t="shared" si="59"/>
        <v>21.337204027941578</v>
      </c>
      <c r="X149" s="217">
        <f t="shared" si="60"/>
        <v>101.60573346638847</v>
      </c>
      <c r="Y149" s="217">
        <f t="shared" si="61"/>
        <v>1.0160573346638846</v>
      </c>
      <c r="Z149" s="217">
        <f t="shared" si="62"/>
        <v>13.208745350630501</v>
      </c>
      <c r="AA149" s="217"/>
      <c r="AB149" s="217">
        <f t="shared" si="63"/>
        <v>9.1445160119749627</v>
      </c>
      <c r="AC149" s="217">
        <f t="shared" si="64"/>
        <v>6.0963440079833076</v>
      </c>
    </row>
    <row r="150" spans="1:29">
      <c r="A150" s="206">
        <v>475</v>
      </c>
      <c r="B150" s="194" t="s">
        <v>412</v>
      </c>
      <c r="C150" s="198">
        <v>43</v>
      </c>
      <c r="D150" s="198">
        <v>27</v>
      </c>
      <c r="E150" s="198">
        <v>33</v>
      </c>
      <c r="F150" s="198">
        <v>29</v>
      </c>
      <c r="G150" s="198">
        <v>23</v>
      </c>
      <c r="H150" s="198">
        <v>14</v>
      </c>
      <c r="I150" s="198">
        <v>16</v>
      </c>
      <c r="J150" s="198">
        <v>11</v>
      </c>
      <c r="K150" s="198">
        <v>18</v>
      </c>
      <c r="L150" s="198">
        <v>37</v>
      </c>
      <c r="M150" s="200"/>
      <c r="N150" s="198">
        <v>38</v>
      </c>
      <c r="O150" s="198">
        <v>10</v>
      </c>
      <c r="Q150" s="219">
        <f t="shared" si="53"/>
        <v>43.69046539054704</v>
      </c>
      <c r="R150" s="219">
        <f t="shared" si="54"/>
        <v>27.433548035924886</v>
      </c>
      <c r="S150" s="219">
        <f t="shared" si="55"/>
        <v>33.529892043908191</v>
      </c>
      <c r="T150" s="219">
        <f t="shared" si="56"/>
        <v>29.465662705252655</v>
      </c>
      <c r="U150" s="219">
        <f t="shared" si="57"/>
        <v>23.369318697269346</v>
      </c>
      <c r="V150" s="219">
        <f t="shared" si="58"/>
        <v>14.224802685294385</v>
      </c>
      <c r="W150" s="216">
        <f t="shared" si="59"/>
        <v>16.256917354622153</v>
      </c>
      <c r="X150" s="217">
        <f t="shared" si="60"/>
        <v>11.176630681302731</v>
      </c>
      <c r="Y150" s="217">
        <f t="shared" si="61"/>
        <v>18.289032023949925</v>
      </c>
      <c r="Z150" s="217">
        <f t="shared" si="62"/>
        <v>37.594121382563735</v>
      </c>
      <c r="AA150" s="217"/>
      <c r="AB150" s="217">
        <f t="shared" si="63"/>
        <v>38.610178717227619</v>
      </c>
      <c r="AC150" s="217">
        <f t="shared" si="64"/>
        <v>10.160573346638847</v>
      </c>
    </row>
    <row r="151" spans="1:29" ht="22.5">
      <c r="A151" s="206">
        <v>480</v>
      </c>
      <c r="B151" s="194" t="s">
        <v>413</v>
      </c>
      <c r="C151" s="198">
        <v>83</v>
      </c>
      <c r="D151" s="198">
        <v>98</v>
      </c>
      <c r="E151" s="198">
        <v>140</v>
      </c>
      <c r="F151" s="229">
        <v>79</v>
      </c>
      <c r="G151" s="229">
        <v>119</v>
      </c>
      <c r="H151" s="229">
        <v>67</v>
      </c>
      <c r="I151" s="229">
        <v>24</v>
      </c>
      <c r="J151" s="229">
        <v>20</v>
      </c>
      <c r="K151" s="229">
        <v>20</v>
      </c>
      <c r="L151" s="229">
        <v>57</v>
      </c>
      <c r="M151" s="226"/>
      <c r="N151" s="229">
        <v>55</v>
      </c>
      <c r="O151" s="229">
        <v>17</v>
      </c>
      <c r="Q151" s="219">
        <f t="shared" si="53"/>
        <v>84.332758777102427</v>
      </c>
      <c r="R151" s="219">
        <f t="shared" si="54"/>
        <v>99.573618797060689</v>
      </c>
      <c r="S151" s="219">
        <f t="shared" si="55"/>
        <v>142.24802685294384</v>
      </c>
      <c r="T151" s="219">
        <f t="shared" si="56"/>
        <v>80.26852943844689</v>
      </c>
      <c r="U151" s="219">
        <f t="shared" si="57"/>
        <v>120.91082282500227</v>
      </c>
      <c r="V151" s="219">
        <f t="shared" si="58"/>
        <v>68.075841422480266</v>
      </c>
      <c r="W151" s="216">
        <f t="shared" si="59"/>
        <v>24.38537603193323</v>
      </c>
      <c r="X151" s="217">
        <f t="shared" si="60"/>
        <v>20.321146693277694</v>
      </c>
      <c r="Y151" s="217">
        <f t="shared" si="61"/>
        <v>20.321146693277694</v>
      </c>
      <c r="Z151" s="217">
        <f t="shared" si="62"/>
        <v>57.915268075841425</v>
      </c>
      <c r="AA151" s="217"/>
      <c r="AB151" s="217">
        <f t="shared" si="63"/>
        <v>55.883153406513657</v>
      </c>
      <c r="AC151" s="217">
        <f t="shared" si="64"/>
        <v>17.272974689286038</v>
      </c>
    </row>
    <row r="152" spans="1:29" ht="33.75">
      <c r="A152" s="206">
        <v>498</v>
      </c>
      <c r="B152" s="194" t="s">
        <v>416</v>
      </c>
      <c r="C152" s="198">
        <v>94</v>
      </c>
      <c r="D152" s="198">
        <v>98</v>
      </c>
      <c r="E152" s="198">
        <v>90</v>
      </c>
      <c r="F152" s="224">
        <v>19</v>
      </c>
      <c r="G152" s="227"/>
      <c r="H152" s="227"/>
      <c r="I152" s="227"/>
      <c r="J152" s="224">
        <v>98</v>
      </c>
      <c r="K152" s="227"/>
      <c r="L152" s="224">
        <v>87</v>
      </c>
      <c r="M152" s="227"/>
      <c r="N152" s="224">
        <v>90</v>
      </c>
      <c r="O152" s="224">
        <v>7</v>
      </c>
      <c r="Q152" s="219">
        <f t="shared" si="53"/>
        <v>95.509389458405153</v>
      </c>
      <c r="R152" s="219">
        <f t="shared" si="54"/>
        <v>99.573618797060689</v>
      </c>
      <c r="S152" s="219">
        <f t="shared" si="55"/>
        <v>91.445160119749616</v>
      </c>
      <c r="T152" s="219">
        <f t="shared" si="56"/>
        <v>19.305089358613809</v>
      </c>
      <c r="U152" s="219"/>
      <c r="V152" s="219"/>
      <c r="W152" s="216"/>
      <c r="X152" s="217">
        <f t="shared" si="60"/>
        <v>99.573618797060689</v>
      </c>
      <c r="Y152" s="217"/>
      <c r="Z152" s="217">
        <f t="shared" si="62"/>
        <v>88.396988115757964</v>
      </c>
      <c r="AA152" s="217"/>
      <c r="AB152" s="217">
        <f t="shared" si="63"/>
        <v>91.445160119749616</v>
      </c>
      <c r="AC152" s="217">
        <f t="shared" si="64"/>
        <v>7.1124013426471926</v>
      </c>
    </row>
    <row r="153" spans="1:29" ht="22.5">
      <c r="A153" s="206">
        <v>499</v>
      </c>
      <c r="B153" s="194" t="s">
        <v>417</v>
      </c>
      <c r="C153" s="198">
        <v>17</v>
      </c>
      <c r="D153" s="198">
        <v>16</v>
      </c>
      <c r="E153" s="198">
        <v>13</v>
      </c>
      <c r="F153" s="198">
        <v>12</v>
      </c>
      <c r="G153" s="198">
        <v>8</v>
      </c>
      <c r="H153" s="198">
        <v>3</v>
      </c>
      <c r="I153" s="198">
        <v>4</v>
      </c>
      <c r="J153" s="198">
        <v>3</v>
      </c>
      <c r="K153" s="198">
        <v>1</v>
      </c>
      <c r="L153" s="198">
        <v>3</v>
      </c>
      <c r="M153" s="200"/>
      <c r="N153" s="198">
        <v>12</v>
      </c>
      <c r="O153" s="198">
        <v>1</v>
      </c>
      <c r="Q153" s="219">
        <f t="shared" si="53"/>
        <v>17.272974689286038</v>
      </c>
      <c r="R153" s="219">
        <f t="shared" si="54"/>
        <v>16.256917354622153</v>
      </c>
      <c r="S153" s="219">
        <f t="shared" si="55"/>
        <v>13.208745350630501</v>
      </c>
      <c r="T153" s="219">
        <f t="shared" si="56"/>
        <v>12.192688015966615</v>
      </c>
      <c r="U153" s="219">
        <f t="shared" si="57"/>
        <v>8.1284586773110767</v>
      </c>
      <c r="V153" s="219">
        <f t="shared" si="58"/>
        <v>3.0481720039916538</v>
      </c>
      <c r="W153" s="216">
        <f t="shared" si="59"/>
        <v>4.0642293386555384</v>
      </c>
      <c r="X153" s="217">
        <f t="shared" si="60"/>
        <v>3.0481720039916538</v>
      </c>
      <c r="Y153" s="217">
        <f t="shared" si="61"/>
        <v>1.0160573346638846</v>
      </c>
      <c r="Z153" s="217">
        <f t="shared" si="62"/>
        <v>3.0481720039916538</v>
      </c>
      <c r="AA153" s="217"/>
      <c r="AB153" s="217">
        <f t="shared" si="63"/>
        <v>12.192688015966615</v>
      </c>
      <c r="AC153" s="217">
        <f t="shared" si="64"/>
        <v>1.0160573346638846</v>
      </c>
    </row>
    <row r="154" spans="1:29">
      <c r="A154" s="199"/>
      <c r="B154" s="199"/>
      <c r="C154" s="200"/>
      <c r="D154" s="200"/>
      <c r="E154" s="200"/>
      <c r="F154" s="200"/>
      <c r="G154" s="200"/>
      <c r="H154" s="200"/>
      <c r="I154" s="200"/>
      <c r="J154" s="200"/>
      <c r="K154" s="200"/>
      <c r="L154" s="200"/>
      <c r="M154" s="200"/>
      <c r="N154" s="200"/>
      <c r="O154" s="200"/>
      <c r="Q154" s="219">
        <f t="shared" si="53"/>
        <v>0</v>
      </c>
      <c r="R154" s="219">
        <f t="shared" si="54"/>
        <v>0</v>
      </c>
      <c r="S154" s="219">
        <f t="shared" si="55"/>
        <v>0</v>
      </c>
      <c r="T154" s="219">
        <f t="shared" si="56"/>
        <v>0</v>
      </c>
      <c r="U154" s="219">
        <f t="shared" si="57"/>
        <v>0</v>
      </c>
      <c r="V154" s="219">
        <f t="shared" si="58"/>
        <v>0</v>
      </c>
      <c r="W154" s="216">
        <f t="shared" si="59"/>
        <v>0</v>
      </c>
      <c r="X154" s="217">
        <f t="shared" si="60"/>
        <v>0</v>
      </c>
      <c r="Y154" s="217">
        <f t="shared" si="61"/>
        <v>0</v>
      </c>
      <c r="Z154" s="217">
        <f t="shared" si="62"/>
        <v>0</v>
      </c>
      <c r="AA154" s="217"/>
      <c r="AB154" s="217">
        <f t="shared" si="63"/>
        <v>0</v>
      </c>
      <c r="AC154" s="217">
        <f t="shared" si="64"/>
        <v>0</v>
      </c>
    </row>
    <row r="155" spans="1:29">
      <c r="A155" s="630" t="s">
        <v>937</v>
      </c>
      <c r="B155" s="630"/>
      <c r="C155" s="198">
        <v>507</v>
      </c>
      <c r="D155" s="198">
        <v>471</v>
      </c>
      <c r="E155" s="198">
        <v>506</v>
      </c>
      <c r="F155" s="198">
        <v>362</v>
      </c>
      <c r="G155" s="198">
        <v>340</v>
      </c>
      <c r="H155" s="198">
        <v>151</v>
      </c>
      <c r="I155" s="198">
        <v>203</v>
      </c>
      <c r="J155" s="198">
        <v>251</v>
      </c>
      <c r="K155" s="198">
        <v>119</v>
      </c>
      <c r="L155" s="198">
        <v>475</v>
      </c>
      <c r="M155" s="198">
        <v>434</v>
      </c>
      <c r="N155" s="198">
        <v>415</v>
      </c>
      <c r="O155" s="198">
        <v>127</v>
      </c>
      <c r="Q155" s="219">
        <f t="shared" si="53"/>
        <v>515.14106867458952</v>
      </c>
      <c r="R155" s="219">
        <f t="shared" si="54"/>
        <v>478.56300462668969</v>
      </c>
      <c r="S155" s="219">
        <f t="shared" si="55"/>
        <v>514.12501133992566</v>
      </c>
      <c r="T155" s="219">
        <f t="shared" si="56"/>
        <v>367.81275514832623</v>
      </c>
      <c r="U155" s="219">
        <f t="shared" si="57"/>
        <v>345.45949378572078</v>
      </c>
      <c r="V155" s="219">
        <f t="shared" si="58"/>
        <v>153.42465753424659</v>
      </c>
      <c r="W155" s="216">
        <f t="shared" si="59"/>
        <v>206.2596389367686</v>
      </c>
      <c r="X155" s="217">
        <f t="shared" si="60"/>
        <v>255.03039100063503</v>
      </c>
      <c r="Y155" s="217">
        <f t="shared" si="61"/>
        <v>120.91082282500227</v>
      </c>
      <c r="Z155" s="217">
        <f t="shared" si="62"/>
        <v>482.62723396534523</v>
      </c>
      <c r="AA155" s="217">
        <f t="shared" si="65"/>
        <v>440.96888324412595</v>
      </c>
      <c r="AB155" s="217">
        <f t="shared" si="63"/>
        <v>421.66379388551212</v>
      </c>
      <c r="AC155" s="217">
        <f t="shared" si="64"/>
        <v>129.03928150231334</v>
      </c>
    </row>
    <row r="156" spans="1:29">
      <c r="Q156" s="219"/>
      <c r="R156" s="219"/>
      <c r="S156" s="219"/>
      <c r="T156" s="219"/>
      <c r="U156" s="219"/>
      <c r="V156" s="219"/>
      <c r="W156" s="216"/>
      <c r="X156" s="217"/>
      <c r="Y156" s="217"/>
      <c r="Z156" s="217"/>
      <c r="AA156" s="217"/>
      <c r="AB156" s="217"/>
      <c r="AC156" s="217"/>
    </row>
    <row r="157" spans="1:29">
      <c r="A157" s="630" t="s">
        <v>938</v>
      </c>
      <c r="B157" s="630"/>
      <c r="C157" s="202" t="s">
        <v>835</v>
      </c>
      <c r="D157" s="202" t="s">
        <v>835</v>
      </c>
      <c r="E157" s="202" t="s">
        <v>836</v>
      </c>
      <c r="F157" s="202" t="s">
        <v>837</v>
      </c>
      <c r="G157" s="202" t="s">
        <v>838</v>
      </c>
      <c r="H157" s="202" t="s">
        <v>839</v>
      </c>
      <c r="I157" s="202" t="s">
        <v>840</v>
      </c>
      <c r="J157" s="202" t="s">
        <v>841</v>
      </c>
      <c r="K157" s="202" t="s">
        <v>842</v>
      </c>
      <c r="L157" s="202" t="s">
        <v>843</v>
      </c>
      <c r="M157" s="202" t="s">
        <v>844</v>
      </c>
      <c r="N157" s="202" t="s">
        <v>845</v>
      </c>
      <c r="O157" s="202" t="s">
        <v>846</v>
      </c>
      <c r="Q157" s="219"/>
      <c r="R157" s="219"/>
      <c r="S157" s="219"/>
      <c r="T157" s="219"/>
      <c r="U157" s="219"/>
      <c r="V157" s="219"/>
      <c r="W157" s="216"/>
      <c r="X157" s="217"/>
      <c r="Y157" s="217"/>
      <c r="Z157" s="217"/>
      <c r="AA157" s="217"/>
      <c r="AB157" s="217"/>
      <c r="AC157" s="217"/>
    </row>
    <row r="158" spans="1:29">
      <c r="A158" s="207">
        <v>511</v>
      </c>
      <c r="B158" s="190" t="s">
        <v>419</v>
      </c>
      <c r="C158" s="208">
        <v>16</v>
      </c>
      <c r="D158" s="208">
        <v>15</v>
      </c>
      <c r="E158" s="208">
        <v>17</v>
      </c>
      <c r="F158" s="208">
        <v>9</v>
      </c>
      <c r="G158" s="208">
        <v>7</v>
      </c>
      <c r="H158" s="208">
        <v>6</v>
      </c>
      <c r="I158" s="208">
        <v>5</v>
      </c>
      <c r="J158" s="208">
        <v>4</v>
      </c>
      <c r="K158" s="208">
        <v>3</v>
      </c>
      <c r="L158" s="208">
        <v>10</v>
      </c>
      <c r="M158" s="200"/>
      <c r="N158" s="208">
        <v>8</v>
      </c>
      <c r="O158" s="200"/>
      <c r="Q158" s="219">
        <f t="shared" si="53"/>
        <v>16.256917354622153</v>
      </c>
      <c r="R158" s="219">
        <f t="shared" si="54"/>
        <v>15.240860019958269</v>
      </c>
      <c r="S158" s="219">
        <f t="shared" si="55"/>
        <v>17.272974689286038</v>
      </c>
      <c r="T158" s="219">
        <f t="shared" si="56"/>
        <v>9.1445160119749627</v>
      </c>
      <c r="U158" s="219">
        <f t="shared" si="57"/>
        <v>7.1124013426471926</v>
      </c>
      <c r="V158" s="219">
        <f t="shared" si="58"/>
        <v>6.0963440079833076</v>
      </c>
      <c r="W158" s="216">
        <f t="shared" si="59"/>
        <v>5.0802866733194234</v>
      </c>
      <c r="X158" s="217">
        <f t="shared" si="60"/>
        <v>4.0642293386555384</v>
      </c>
      <c r="Y158" s="217">
        <f t="shared" si="61"/>
        <v>3.0481720039916538</v>
      </c>
      <c r="Z158" s="217">
        <f t="shared" si="62"/>
        <v>10.160573346638847</v>
      </c>
      <c r="AA158" s="217"/>
      <c r="AB158" s="217">
        <f t="shared" si="63"/>
        <v>8.1284586773110767</v>
      </c>
      <c r="AC158" s="217"/>
    </row>
    <row r="159" spans="1:29" ht="33.75">
      <c r="A159" s="206">
        <v>512</v>
      </c>
      <c r="B159" s="194" t="s">
        <v>420</v>
      </c>
      <c r="C159" s="198">
        <v>95</v>
      </c>
      <c r="D159" s="198">
        <v>103</v>
      </c>
      <c r="E159" s="198">
        <v>76</v>
      </c>
      <c r="F159" s="198">
        <v>59</v>
      </c>
      <c r="G159" s="198">
        <v>54</v>
      </c>
      <c r="H159" s="198">
        <v>44</v>
      </c>
      <c r="I159" s="198">
        <v>33</v>
      </c>
      <c r="J159" s="198">
        <v>30</v>
      </c>
      <c r="K159" s="198">
        <v>21</v>
      </c>
      <c r="L159" s="198">
        <v>80</v>
      </c>
      <c r="M159" s="200"/>
      <c r="N159" s="198">
        <v>88</v>
      </c>
      <c r="O159" s="198">
        <v>64</v>
      </c>
      <c r="Q159" s="219">
        <f t="shared" si="53"/>
        <v>96.525446793069037</v>
      </c>
      <c r="R159" s="219">
        <f t="shared" si="54"/>
        <v>104.65390547038012</v>
      </c>
      <c r="S159" s="219">
        <f t="shared" si="55"/>
        <v>77.220357434455238</v>
      </c>
      <c r="T159" s="219">
        <f t="shared" si="56"/>
        <v>59.947382745169193</v>
      </c>
      <c r="U159" s="219">
        <f t="shared" si="57"/>
        <v>54.867096071849772</v>
      </c>
      <c r="V159" s="219">
        <f t="shared" si="58"/>
        <v>44.706522725210924</v>
      </c>
      <c r="W159" s="216">
        <f t="shared" si="59"/>
        <v>33.529892043908191</v>
      </c>
      <c r="X159" s="217">
        <f t="shared" si="60"/>
        <v>30.481720039916539</v>
      </c>
      <c r="Y159" s="217">
        <f t="shared" si="61"/>
        <v>21.337204027941578</v>
      </c>
      <c r="Z159" s="217">
        <f t="shared" si="62"/>
        <v>81.284586773110775</v>
      </c>
      <c r="AA159" s="217"/>
      <c r="AB159" s="217">
        <f t="shared" si="63"/>
        <v>89.413045450421848</v>
      </c>
      <c r="AC159" s="217">
        <f t="shared" si="64"/>
        <v>65.027669418488614</v>
      </c>
    </row>
    <row r="160" spans="1:29" ht="22.5">
      <c r="A160" s="206">
        <v>513</v>
      </c>
      <c r="B160" s="194" t="s">
        <v>421</v>
      </c>
      <c r="C160" s="198">
        <v>98</v>
      </c>
      <c r="D160" s="198">
        <v>52</v>
      </c>
      <c r="E160" s="198">
        <v>19</v>
      </c>
      <c r="F160" s="198">
        <v>18</v>
      </c>
      <c r="G160" s="198">
        <v>21</v>
      </c>
      <c r="H160" s="198">
        <v>4</v>
      </c>
      <c r="I160" s="198">
        <v>4</v>
      </c>
      <c r="J160" s="198">
        <v>1</v>
      </c>
      <c r="K160" s="198">
        <v>2</v>
      </c>
      <c r="L160" s="198">
        <v>4</v>
      </c>
      <c r="M160" s="200"/>
      <c r="N160" s="198">
        <v>5</v>
      </c>
      <c r="O160" s="198">
        <v>6</v>
      </c>
      <c r="Q160" s="219">
        <f t="shared" si="53"/>
        <v>99.573618797060689</v>
      </c>
      <c r="R160" s="219">
        <f t="shared" si="54"/>
        <v>52.834981402522004</v>
      </c>
      <c r="S160" s="219">
        <f t="shared" si="55"/>
        <v>19.305089358613809</v>
      </c>
      <c r="T160" s="219">
        <f t="shared" si="56"/>
        <v>18.289032023949925</v>
      </c>
      <c r="U160" s="219">
        <f t="shared" si="57"/>
        <v>21.337204027941578</v>
      </c>
      <c r="V160" s="219">
        <f t="shared" si="58"/>
        <v>4.0642293386555384</v>
      </c>
      <c r="W160" s="216">
        <f t="shared" si="59"/>
        <v>4.0642293386555384</v>
      </c>
      <c r="X160" s="217">
        <f t="shared" si="60"/>
        <v>1.0160573346638846</v>
      </c>
      <c r="Y160" s="217">
        <f t="shared" si="61"/>
        <v>2.0321146693277692</v>
      </c>
      <c r="Z160" s="217">
        <f t="shared" si="62"/>
        <v>4.0642293386555384</v>
      </c>
      <c r="AA160" s="217"/>
      <c r="AB160" s="217">
        <f t="shared" si="63"/>
        <v>5.0802866733194234</v>
      </c>
      <c r="AC160" s="217">
        <f t="shared" si="64"/>
        <v>6.0963440079833076</v>
      </c>
    </row>
    <row r="161" spans="1:29" ht="22.5">
      <c r="A161" s="206">
        <v>514</v>
      </c>
      <c r="B161" s="194" t="s">
        <v>422</v>
      </c>
      <c r="C161" s="198">
        <v>76</v>
      </c>
      <c r="D161" s="198">
        <v>64</v>
      </c>
      <c r="E161" s="198">
        <v>43</v>
      </c>
      <c r="F161" s="198">
        <v>31</v>
      </c>
      <c r="G161" s="198">
        <v>37</v>
      </c>
      <c r="H161" s="198">
        <v>17</v>
      </c>
      <c r="I161" s="198">
        <v>15</v>
      </c>
      <c r="J161" s="198">
        <v>18</v>
      </c>
      <c r="K161" s="198">
        <v>6</v>
      </c>
      <c r="L161" s="198">
        <v>118</v>
      </c>
      <c r="M161" s="200"/>
      <c r="N161" s="198">
        <v>120</v>
      </c>
      <c r="O161" s="198">
        <v>26</v>
      </c>
      <c r="Q161" s="219">
        <f t="shared" si="53"/>
        <v>77.220357434455238</v>
      </c>
      <c r="R161" s="219">
        <f t="shared" si="54"/>
        <v>65.027669418488614</v>
      </c>
      <c r="S161" s="219">
        <f t="shared" si="55"/>
        <v>43.69046539054704</v>
      </c>
      <c r="T161" s="219">
        <f t="shared" si="56"/>
        <v>31.497777374580423</v>
      </c>
      <c r="U161" s="219">
        <f t="shared" si="57"/>
        <v>37.594121382563735</v>
      </c>
      <c r="V161" s="219">
        <f t="shared" si="58"/>
        <v>17.272974689286038</v>
      </c>
      <c r="W161" s="216">
        <f t="shared" si="59"/>
        <v>15.240860019958269</v>
      </c>
      <c r="X161" s="217">
        <f t="shared" si="60"/>
        <v>18.289032023949925</v>
      </c>
      <c r="Y161" s="217">
        <f t="shared" si="61"/>
        <v>6.0963440079833076</v>
      </c>
      <c r="Z161" s="217">
        <f t="shared" si="62"/>
        <v>119.89476549033839</v>
      </c>
      <c r="AA161" s="217"/>
      <c r="AB161" s="217">
        <f t="shared" si="63"/>
        <v>121.92688015966615</v>
      </c>
      <c r="AC161" s="217">
        <f t="shared" si="64"/>
        <v>26.417490701261002</v>
      </c>
    </row>
    <row r="162" spans="1:29">
      <c r="A162" s="206">
        <v>516</v>
      </c>
      <c r="B162" s="194" t="s">
        <v>423</v>
      </c>
      <c r="C162" s="198">
        <v>3</v>
      </c>
      <c r="D162" s="198">
        <v>3</v>
      </c>
      <c r="E162" s="198">
        <v>17</v>
      </c>
      <c r="F162" s="198">
        <v>13</v>
      </c>
      <c r="G162" s="198">
        <v>10</v>
      </c>
      <c r="H162" s="198">
        <v>13</v>
      </c>
      <c r="I162" s="198">
        <v>3</v>
      </c>
      <c r="J162" s="198">
        <v>2</v>
      </c>
      <c r="K162" s="198">
        <v>11</v>
      </c>
      <c r="L162" s="198">
        <v>3</v>
      </c>
      <c r="M162" s="200"/>
      <c r="N162" s="198">
        <v>3</v>
      </c>
      <c r="O162" s="198">
        <v>2</v>
      </c>
      <c r="Q162" s="219">
        <f t="shared" si="53"/>
        <v>3.0481720039916538</v>
      </c>
      <c r="R162" s="219">
        <f t="shared" si="54"/>
        <v>3.0481720039916538</v>
      </c>
      <c r="S162" s="219">
        <f t="shared" si="55"/>
        <v>17.272974689286038</v>
      </c>
      <c r="T162" s="219">
        <f t="shared" si="56"/>
        <v>13.208745350630501</v>
      </c>
      <c r="U162" s="219">
        <f t="shared" si="57"/>
        <v>10.160573346638847</v>
      </c>
      <c r="V162" s="219">
        <f t="shared" si="58"/>
        <v>13.208745350630501</v>
      </c>
      <c r="W162" s="216">
        <f t="shared" si="59"/>
        <v>3.0481720039916538</v>
      </c>
      <c r="X162" s="217">
        <f t="shared" si="60"/>
        <v>2.0321146693277692</v>
      </c>
      <c r="Y162" s="217">
        <f t="shared" si="61"/>
        <v>11.176630681302731</v>
      </c>
      <c r="Z162" s="217">
        <f t="shared" si="62"/>
        <v>3.0481720039916538</v>
      </c>
      <c r="AA162" s="217"/>
      <c r="AB162" s="217">
        <f t="shared" si="63"/>
        <v>3.0481720039916538</v>
      </c>
      <c r="AC162" s="217">
        <f t="shared" si="64"/>
        <v>2.0321146693277692</v>
      </c>
    </row>
    <row r="163" spans="1:29" ht="22.5">
      <c r="A163" s="206">
        <v>517</v>
      </c>
      <c r="B163" s="194" t="s">
        <v>424</v>
      </c>
      <c r="C163" s="198">
        <v>22</v>
      </c>
      <c r="D163" s="198">
        <v>16</v>
      </c>
      <c r="E163" s="200"/>
      <c r="F163" s="200"/>
      <c r="G163" s="200"/>
      <c r="H163" s="200"/>
      <c r="I163" s="200"/>
      <c r="J163" s="198">
        <v>4</v>
      </c>
      <c r="K163" s="200"/>
      <c r="L163" s="198">
        <v>41</v>
      </c>
      <c r="M163" s="200"/>
      <c r="N163" s="198">
        <v>25</v>
      </c>
      <c r="O163" s="198">
        <v>12</v>
      </c>
      <c r="Q163" s="219">
        <f t="shared" si="53"/>
        <v>22.353261362605462</v>
      </c>
      <c r="R163" s="219">
        <f t="shared" si="54"/>
        <v>16.256917354622153</v>
      </c>
      <c r="S163" s="219"/>
      <c r="T163" s="219"/>
      <c r="U163" s="219"/>
      <c r="V163" s="219"/>
      <c r="W163" s="216"/>
      <c r="X163" s="217">
        <f t="shared" si="60"/>
        <v>4.0642293386555384</v>
      </c>
      <c r="Y163" s="217"/>
      <c r="Z163" s="217">
        <f t="shared" si="62"/>
        <v>41.658350721219271</v>
      </c>
      <c r="AA163" s="217"/>
      <c r="AB163" s="217">
        <f t="shared" si="63"/>
        <v>25.401433366597118</v>
      </c>
      <c r="AC163" s="217">
        <f t="shared" si="64"/>
        <v>12.192688015966615</v>
      </c>
    </row>
    <row r="164" spans="1:29">
      <c r="A164" s="206">
        <v>521</v>
      </c>
      <c r="B164" s="194" t="s">
        <v>426</v>
      </c>
      <c r="C164" s="198">
        <v>89</v>
      </c>
      <c r="D164" s="198">
        <v>50</v>
      </c>
      <c r="E164" s="198">
        <v>33</v>
      </c>
      <c r="F164" s="198">
        <v>48</v>
      </c>
      <c r="G164" s="198">
        <v>47</v>
      </c>
      <c r="H164" s="198">
        <v>23</v>
      </c>
      <c r="I164" s="198">
        <v>23</v>
      </c>
      <c r="J164" s="198">
        <v>17</v>
      </c>
      <c r="K164" s="198">
        <v>14</v>
      </c>
      <c r="L164" s="198">
        <v>98</v>
      </c>
      <c r="M164" s="200"/>
      <c r="N164" s="198">
        <v>92</v>
      </c>
      <c r="O164" s="198">
        <v>38</v>
      </c>
      <c r="Q164" s="219">
        <f t="shared" si="53"/>
        <v>90.429102785085732</v>
      </c>
      <c r="R164" s="219">
        <f t="shared" si="54"/>
        <v>50.802866733194236</v>
      </c>
      <c r="S164" s="219">
        <f t="shared" si="55"/>
        <v>33.529892043908191</v>
      </c>
      <c r="T164" s="219">
        <f t="shared" si="56"/>
        <v>48.77075206386646</v>
      </c>
      <c r="U164" s="219">
        <f t="shared" si="57"/>
        <v>47.754694729202576</v>
      </c>
      <c r="V164" s="219">
        <f t="shared" si="58"/>
        <v>23.369318697269346</v>
      </c>
      <c r="W164" s="216">
        <f t="shared" si="59"/>
        <v>23.369318697269346</v>
      </c>
      <c r="X164" s="217">
        <f t="shared" si="60"/>
        <v>17.272974689286038</v>
      </c>
      <c r="Y164" s="217">
        <f t="shared" si="61"/>
        <v>14.224802685294385</v>
      </c>
      <c r="Z164" s="217">
        <f t="shared" si="62"/>
        <v>99.573618797060689</v>
      </c>
      <c r="AA164" s="217"/>
      <c r="AB164" s="217">
        <f t="shared" si="63"/>
        <v>93.477274789077384</v>
      </c>
      <c r="AC164" s="217">
        <f t="shared" si="64"/>
        <v>38.610178717227619</v>
      </c>
    </row>
    <row r="165" spans="1:29" ht="22.5">
      <c r="A165" s="206">
        <v>522</v>
      </c>
      <c r="B165" s="194" t="s">
        <v>427</v>
      </c>
      <c r="C165" s="198">
        <v>3</v>
      </c>
      <c r="D165" s="198">
        <v>6</v>
      </c>
      <c r="E165" s="198">
        <v>6</v>
      </c>
      <c r="F165" s="198">
        <v>11</v>
      </c>
      <c r="G165" s="198">
        <v>11</v>
      </c>
      <c r="H165" s="198">
        <v>4</v>
      </c>
      <c r="I165" s="198">
        <v>3</v>
      </c>
      <c r="J165" s="198">
        <v>1</v>
      </c>
      <c r="K165" s="198">
        <v>1</v>
      </c>
      <c r="L165" s="198">
        <v>13</v>
      </c>
      <c r="M165" s="200"/>
      <c r="N165" s="198">
        <v>12</v>
      </c>
      <c r="O165" s="198">
        <v>2</v>
      </c>
      <c r="Q165" s="219">
        <f t="shared" si="53"/>
        <v>3.0481720039916538</v>
      </c>
      <c r="R165" s="219">
        <f t="shared" si="54"/>
        <v>6.0963440079833076</v>
      </c>
      <c r="S165" s="219">
        <f t="shared" si="55"/>
        <v>6.0963440079833076</v>
      </c>
      <c r="T165" s="219">
        <f t="shared" si="56"/>
        <v>11.176630681302731</v>
      </c>
      <c r="U165" s="219">
        <f t="shared" si="57"/>
        <v>11.176630681302731</v>
      </c>
      <c r="V165" s="219">
        <f t="shared" si="58"/>
        <v>4.0642293386555384</v>
      </c>
      <c r="W165" s="216">
        <f t="shared" si="59"/>
        <v>3.0481720039916538</v>
      </c>
      <c r="X165" s="217">
        <f t="shared" si="60"/>
        <v>1.0160573346638846</v>
      </c>
      <c r="Y165" s="217">
        <f t="shared" si="61"/>
        <v>1.0160573346638846</v>
      </c>
      <c r="Z165" s="217">
        <f t="shared" si="62"/>
        <v>13.208745350630501</v>
      </c>
      <c r="AA165" s="217"/>
      <c r="AB165" s="217">
        <f t="shared" si="63"/>
        <v>12.192688015966615</v>
      </c>
      <c r="AC165" s="217">
        <f t="shared" si="64"/>
        <v>2.0321146693277692</v>
      </c>
    </row>
    <row r="166" spans="1:29" ht="22.5">
      <c r="A166" s="206">
        <v>523</v>
      </c>
      <c r="B166" s="194" t="s">
        <v>428</v>
      </c>
      <c r="C166" s="198">
        <v>3</v>
      </c>
      <c r="D166" s="198">
        <v>3</v>
      </c>
      <c r="E166" s="198">
        <v>3</v>
      </c>
      <c r="F166" s="200"/>
      <c r="G166" s="198">
        <v>2</v>
      </c>
      <c r="H166" s="200"/>
      <c r="I166" s="198">
        <v>1</v>
      </c>
      <c r="J166" s="198">
        <v>1</v>
      </c>
      <c r="K166" s="198">
        <v>2</v>
      </c>
      <c r="L166" s="198">
        <v>3</v>
      </c>
      <c r="M166" s="200"/>
      <c r="N166" s="202">
        <v>3</v>
      </c>
      <c r="O166" s="198">
        <v>1</v>
      </c>
      <c r="Q166" s="219">
        <f t="shared" si="53"/>
        <v>3.0481720039916538</v>
      </c>
      <c r="R166" s="219">
        <f t="shared" si="54"/>
        <v>3.0481720039916538</v>
      </c>
      <c r="S166" s="219">
        <f t="shared" si="55"/>
        <v>3.0481720039916538</v>
      </c>
      <c r="T166" s="219"/>
      <c r="U166" s="219">
        <f t="shared" si="57"/>
        <v>2.0321146693277692</v>
      </c>
      <c r="V166" s="219"/>
      <c r="W166" s="216">
        <f t="shared" si="59"/>
        <v>1.0160573346638846</v>
      </c>
      <c r="X166" s="217">
        <f t="shared" si="60"/>
        <v>1.0160573346638846</v>
      </c>
      <c r="Y166" s="217">
        <f t="shared" si="61"/>
        <v>2.0321146693277692</v>
      </c>
      <c r="Z166" s="217">
        <f t="shared" si="62"/>
        <v>3.0481720039916538</v>
      </c>
      <c r="AA166" s="217"/>
      <c r="AB166" s="217">
        <f t="shared" si="63"/>
        <v>3.0481720039916538</v>
      </c>
      <c r="AC166" s="217">
        <f t="shared" si="64"/>
        <v>1.0160573346638846</v>
      </c>
    </row>
    <row r="167" spans="1:29" ht="33.75">
      <c r="A167" s="206">
        <v>524</v>
      </c>
      <c r="B167" s="194" t="s">
        <v>429</v>
      </c>
      <c r="C167" s="198">
        <v>80</v>
      </c>
      <c r="D167" s="198">
        <v>26</v>
      </c>
      <c r="E167" s="198">
        <v>3</v>
      </c>
      <c r="F167" s="198">
        <v>4</v>
      </c>
      <c r="G167" s="200"/>
      <c r="H167" s="200"/>
      <c r="I167" s="200"/>
      <c r="J167" s="200"/>
      <c r="K167" s="200"/>
      <c r="L167" s="198">
        <v>1</v>
      </c>
      <c r="M167" s="200"/>
      <c r="N167" s="198">
        <v>2</v>
      </c>
      <c r="O167" s="200"/>
      <c r="Q167" s="219">
        <f t="shared" si="53"/>
        <v>81.284586773110775</v>
      </c>
      <c r="R167" s="219">
        <f t="shared" si="54"/>
        <v>26.417490701261002</v>
      </c>
      <c r="S167" s="219">
        <f t="shared" si="55"/>
        <v>3.0481720039916538</v>
      </c>
      <c r="T167" s="219">
        <f t="shared" si="56"/>
        <v>4.0642293386555384</v>
      </c>
      <c r="U167" s="219"/>
      <c r="V167" s="219"/>
      <c r="W167" s="216"/>
      <c r="X167" s="217"/>
      <c r="Y167" s="217"/>
      <c r="Z167" s="217">
        <f t="shared" si="62"/>
        <v>1.0160573346638846</v>
      </c>
      <c r="AA167" s="217"/>
      <c r="AB167" s="217">
        <f t="shared" si="63"/>
        <v>2.0321146693277692</v>
      </c>
      <c r="AC167" s="217"/>
    </row>
    <row r="168" spans="1:29" ht="22.5">
      <c r="A168" s="206">
        <v>526</v>
      </c>
      <c r="B168" s="194" t="s">
        <v>430</v>
      </c>
      <c r="C168" s="198">
        <v>10</v>
      </c>
      <c r="D168" s="198">
        <v>3</v>
      </c>
      <c r="E168" s="198">
        <v>3</v>
      </c>
      <c r="F168" s="198">
        <v>1</v>
      </c>
      <c r="G168" s="198">
        <v>1</v>
      </c>
      <c r="H168" s="198">
        <v>8</v>
      </c>
      <c r="I168" s="198">
        <v>1</v>
      </c>
      <c r="J168" s="198">
        <v>5</v>
      </c>
      <c r="K168" s="198">
        <v>4</v>
      </c>
      <c r="L168" s="198">
        <v>2</v>
      </c>
      <c r="M168" s="200"/>
      <c r="N168" s="198">
        <v>27</v>
      </c>
      <c r="O168" s="198">
        <v>1</v>
      </c>
      <c r="Q168" s="219">
        <f t="shared" si="53"/>
        <v>10.160573346638847</v>
      </c>
      <c r="R168" s="219">
        <f t="shared" si="54"/>
        <v>3.0481720039916538</v>
      </c>
      <c r="S168" s="219">
        <f t="shared" si="55"/>
        <v>3.0481720039916538</v>
      </c>
      <c r="T168" s="219">
        <f t="shared" si="56"/>
        <v>1.0160573346638846</v>
      </c>
      <c r="U168" s="219">
        <f t="shared" si="57"/>
        <v>1.0160573346638846</v>
      </c>
      <c r="V168" s="219">
        <f t="shared" si="58"/>
        <v>8.1284586773110767</v>
      </c>
      <c r="W168" s="216">
        <f t="shared" si="59"/>
        <v>1.0160573346638846</v>
      </c>
      <c r="X168" s="217">
        <f t="shared" si="60"/>
        <v>5.0802866733194234</v>
      </c>
      <c r="Y168" s="217">
        <f t="shared" si="61"/>
        <v>4.0642293386555384</v>
      </c>
      <c r="Z168" s="217">
        <f t="shared" si="62"/>
        <v>2.0321146693277692</v>
      </c>
      <c r="AA168" s="217"/>
      <c r="AB168" s="217">
        <f t="shared" si="63"/>
        <v>27.433548035924886</v>
      </c>
      <c r="AC168" s="217">
        <f t="shared" si="64"/>
        <v>1.0160573346638846</v>
      </c>
    </row>
    <row r="169" spans="1:29" ht="22.5">
      <c r="A169" s="206">
        <v>528</v>
      </c>
      <c r="B169" s="194" t="s">
        <v>431</v>
      </c>
      <c r="C169" s="198">
        <v>8</v>
      </c>
      <c r="D169" s="198">
        <v>7</v>
      </c>
      <c r="E169" s="198">
        <v>4</v>
      </c>
      <c r="F169" s="198">
        <v>17</v>
      </c>
      <c r="G169" s="198">
        <v>1</v>
      </c>
      <c r="H169" s="198">
        <v>9</v>
      </c>
      <c r="I169" s="198">
        <v>9</v>
      </c>
      <c r="J169" s="198">
        <v>4</v>
      </c>
      <c r="K169" s="200"/>
      <c r="L169" s="198">
        <v>39</v>
      </c>
      <c r="M169" s="200"/>
      <c r="N169" s="198">
        <v>16</v>
      </c>
      <c r="O169" s="198">
        <v>18</v>
      </c>
      <c r="Q169" s="219">
        <f t="shared" si="53"/>
        <v>8.1284586773110767</v>
      </c>
      <c r="R169" s="219">
        <f t="shared" si="54"/>
        <v>7.1124013426471926</v>
      </c>
      <c r="S169" s="219">
        <f t="shared" si="55"/>
        <v>4.0642293386555384</v>
      </c>
      <c r="T169" s="219">
        <f t="shared" si="56"/>
        <v>17.272974689286038</v>
      </c>
      <c r="U169" s="219">
        <f t="shared" si="57"/>
        <v>1.0160573346638846</v>
      </c>
      <c r="V169" s="219">
        <f t="shared" si="58"/>
        <v>9.1445160119749627</v>
      </c>
      <c r="W169" s="216">
        <f t="shared" si="59"/>
        <v>9.1445160119749627</v>
      </c>
      <c r="X169" s="217">
        <f t="shared" si="60"/>
        <v>4.0642293386555384</v>
      </c>
      <c r="Y169" s="217"/>
      <c r="Z169" s="217">
        <f t="shared" si="62"/>
        <v>39.626236051891503</v>
      </c>
      <c r="AA169" s="217"/>
      <c r="AB169" s="217">
        <f t="shared" si="63"/>
        <v>16.256917354622153</v>
      </c>
      <c r="AC169" s="217">
        <f t="shared" si="64"/>
        <v>18.289032023949925</v>
      </c>
    </row>
    <row r="170" spans="1:29" ht="22.5">
      <c r="A170" s="206">
        <v>529</v>
      </c>
      <c r="B170" s="194" t="s">
        <v>432</v>
      </c>
      <c r="C170" s="198">
        <v>31</v>
      </c>
      <c r="D170" s="198">
        <v>24</v>
      </c>
      <c r="E170" s="198">
        <v>20</v>
      </c>
      <c r="F170" s="198">
        <v>2</v>
      </c>
      <c r="G170" s="198">
        <v>16</v>
      </c>
      <c r="H170" s="200"/>
      <c r="I170" s="200"/>
      <c r="J170" s="198">
        <v>1</v>
      </c>
      <c r="K170" s="198">
        <v>8</v>
      </c>
      <c r="L170" s="198">
        <v>20</v>
      </c>
      <c r="M170" s="200"/>
      <c r="N170" s="198">
        <v>10</v>
      </c>
      <c r="O170" s="198">
        <v>17</v>
      </c>
      <c r="Q170" s="219">
        <f t="shared" si="53"/>
        <v>31.497777374580423</v>
      </c>
      <c r="R170" s="219">
        <f t="shared" si="54"/>
        <v>24.38537603193323</v>
      </c>
      <c r="S170" s="219">
        <f t="shared" si="55"/>
        <v>20.321146693277694</v>
      </c>
      <c r="T170" s="219">
        <f t="shared" si="56"/>
        <v>2.0321146693277692</v>
      </c>
      <c r="U170" s="219">
        <f t="shared" si="57"/>
        <v>16.256917354622153</v>
      </c>
      <c r="V170" s="219"/>
      <c r="W170" s="216"/>
      <c r="X170" s="217">
        <f t="shared" si="60"/>
        <v>1.0160573346638846</v>
      </c>
      <c r="Y170" s="217">
        <f t="shared" si="61"/>
        <v>8.1284586773110767</v>
      </c>
      <c r="Z170" s="217">
        <f t="shared" si="62"/>
        <v>20.321146693277694</v>
      </c>
      <c r="AA170" s="217"/>
      <c r="AB170" s="217">
        <f t="shared" si="63"/>
        <v>10.160573346638847</v>
      </c>
      <c r="AC170" s="217">
        <f t="shared" si="64"/>
        <v>17.272974689286038</v>
      </c>
    </row>
    <row r="171" spans="1:29" ht="22.5">
      <c r="A171" s="206">
        <v>531</v>
      </c>
      <c r="B171" s="194" t="s">
        <v>433</v>
      </c>
      <c r="C171" s="198">
        <v>19</v>
      </c>
      <c r="D171" s="198">
        <v>17</v>
      </c>
      <c r="E171" s="198">
        <v>20</v>
      </c>
      <c r="F171" s="198">
        <v>10</v>
      </c>
      <c r="G171" s="198">
        <v>10</v>
      </c>
      <c r="H171" s="198">
        <v>14</v>
      </c>
      <c r="I171" s="198">
        <v>11</v>
      </c>
      <c r="J171" s="198">
        <v>9</v>
      </c>
      <c r="K171" s="198">
        <v>5</v>
      </c>
      <c r="L171" s="198">
        <v>12</v>
      </c>
      <c r="M171" s="200"/>
      <c r="N171" s="198">
        <v>13</v>
      </c>
      <c r="O171" s="198">
        <v>6</v>
      </c>
      <c r="Q171" s="219">
        <f t="shared" si="53"/>
        <v>19.305089358613809</v>
      </c>
      <c r="R171" s="219">
        <f t="shared" si="54"/>
        <v>17.272974689286038</v>
      </c>
      <c r="S171" s="219">
        <f t="shared" si="55"/>
        <v>20.321146693277694</v>
      </c>
      <c r="T171" s="219">
        <f t="shared" si="56"/>
        <v>10.160573346638847</v>
      </c>
      <c r="U171" s="219">
        <f t="shared" si="57"/>
        <v>10.160573346638847</v>
      </c>
      <c r="V171" s="219">
        <f t="shared" si="58"/>
        <v>14.224802685294385</v>
      </c>
      <c r="W171" s="216">
        <f t="shared" si="59"/>
        <v>11.176630681302731</v>
      </c>
      <c r="X171" s="217">
        <f t="shared" si="60"/>
        <v>9.1445160119749627</v>
      </c>
      <c r="Y171" s="217">
        <f t="shared" si="61"/>
        <v>5.0802866733194234</v>
      </c>
      <c r="Z171" s="217">
        <f t="shared" si="62"/>
        <v>12.192688015966615</v>
      </c>
      <c r="AA171" s="217"/>
      <c r="AB171" s="217">
        <f t="shared" si="63"/>
        <v>13.208745350630501</v>
      </c>
      <c r="AC171" s="217">
        <f t="shared" si="64"/>
        <v>6.0963440079833076</v>
      </c>
    </row>
    <row r="172" spans="1:29" ht="22.5">
      <c r="A172" s="206">
        <v>532</v>
      </c>
      <c r="B172" s="194" t="s">
        <v>434</v>
      </c>
      <c r="C172" s="198">
        <v>14</v>
      </c>
      <c r="D172" s="198">
        <v>17</v>
      </c>
      <c r="E172" s="200"/>
      <c r="F172" s="198">
        <v>1</v>
      </c>
      <c r="G172" s="200"/>
      <c r="H172" s="200"/>
      <c r="I172" s="200"/>
      <c r="J172" s="200"/>
      <c r="K172" s="198">
        <v>4</v>
      </c>
      <c r="L172" s="198">
        <v>28</v>
      </c>
      <c r="M172" s="200"/>
      <c r="N172" s="198">
        <v>14</v>
      </c>
      <c r="O172" s="198">
        <v>7</v>
      </c>
      <c r="Q172" s="219">
        <f t="shared" si="53"/>
        <v>14.224802685294385</v>
      </c>
      <c r="R172" s="219">
        <f t="shared" si="54"/>
        <v>17.272974689286038</v>
      </c>
      <c r="S172" s="219"/>
      <c r="T172" s="219">
        <f t="shared" si="56"/>
        <v>1.0160573346638846</v>
      </c>
      <c r="U172" s="219"/>
      <c r="V172" s="219"/>
      <c r="W172" s="216"/>
      <c r="X172" s="217"/>
      <c r="Y172" s="217">
        <f t="shared" si="61"/>
        <v>4.0642293386555384</v>
      </c>
      <c r="Z172" s="217">
        <f t="shared" si="62"/>
        <v>28.44960537058877</v>
      </c>
      <c r="AA172" s="217"/>
      <c r="AB172" s="217">
        <f t="shared" si="63"/>
        <v>14.224802685294385</v>
      </c>
      <c r="AC172" s="217">
        <f t="shared" si="64"/>
        <v>7.1124013426471926</v>
      </c>
    </row>
    <row r="173" spans="1:29" ht="22.5">
      <c r="A173" s="206">
        <v>533</v>
      </c>
      <c r="B173" s="194" t="s">
        <v>435</v>
      </c>
      <c r="C173" s="198">
        <v>17</v>
      </c>
      <c r="D173" s="198">
        <v>16</v>
      </c>
      <c r="E173" s="198">
        <v>7</v>
      </c>
      <c r="F173" s="198">
        <v>9</v>
      </c>
      <c r="G173" s="198">
        <v>9</v>
      </c>
      <c r="H173" s="198">
        <v>9</v>
      </c>
      <c r="I173" s="198">
        <v>6</v>
      </c>
      <c r="J173" s="198">
        <v>3</v>
      </c>
      <c r="K173" s="198">
        <v>6</v>
      </c>
      <c r="L173" s="198">
        <v>12</v>
      </c>
      <c r="M173" s="200"/>
      <c r="N173" s="198">
        <v>24</v>
      </c>
      <c r="O173" s="198">
        <v>11</v>
      </c>
      <c r="Q173" s="219">
        <f t="shared" si="53"/>
        <v>17.272974689286038</v>
      </c>
      <c r="R173" s="219">
        <f t="shared" si="54"/>
        <v>16.256917354622153</v>
      </c>
      <c r="S173" s="219">
        <f t="shared" si="55"/>
        <v>7.1124013426471926</v>
      </c>
      <c r="T173" s="219">
        <f t="shared" si="56"/>
        <v>9.1445160119749627</v>
      </c>
      <c r="U173" s="219">
        <f t="shared" si="57"/>
        <v>9.1445160119749627</v>
      </c>
      <c r="V173" s="219">
        <f t="shared" si="58"/>
        <v>9.1445160119749627</v>
      </c>
      <c r="W173" s="216">
        <f t="shared" si="59"/>
        <v>6.0963440079833076</v>
      </c>
      <c r="X173" s="217">
        <f t="shared" si="60"/>
        <v>3.0481720039916538</v>
      </c>
      <c r="Y173" s="217">
        <f t="shared" si="61"/>
        <v>6.0963440079833076</v>
      </c>
      <c r="Z173" s="217">
        <f t="shared" si="62"/>
        <v>12.192688015966615</v>
      </c>
      <c r="AA173" s="217"/>
      <c r="AB173" s="217">
        <f t="shared" si="63"/>
        <v>24.38537603193323</v>
      </c>
      <c r="AC173" s="217">
        <f t="shared" si="64"/>
        <v>11.176630681302731</v>
      </c>
    </row>
    <row r="174" spans="1:29" ht="33.75">
      <c r="A174" s="206">
        <v>534</v>
      </c>
      <c r="B174" s="194" t="s">
        <v>436</v>
      </c>
      <c r="C174" s="198">
        <v>93</v>
      </c>
      <c r="D174" s="198">
        <v>94</v>
      </c>
      <c r="E174" s="198">
        <v>41</v>
      </c>
      <c r="F174" s="198">
        <v>52</v>
      </c>
      <c r="G174" s="198">
        <v>90</v>
      </c>
      <c r="H174" s="198">
        <v>66</v>
      </c>
      <c r="I174" s="198">
        <v>25</v>
      </c>
      <c r="J174" s="198">
        <v>34</v>
      </c>
      <c r="K174" s="198">
        <v>14</v>
      </c>
      <c r="L174" s="198">
        <v>23</v>
      </c>
      <c r="M174" s="200"/>
      <c r="N174" s="200"/>
      <c r="O174" s="198">
        <v>1</v>
      </c>
      <c r="Q174" s="219">
        <f t="shared" si="53"/>
        <v>94.493332123741268</v>
      </c>
      <c r="R174" s="219">
        <f t="shared" si="54"/>
        <v>95.509389458405153</v>
      </c>
      <c r="S174" s="219">
        <f t="shared" si="55"/>
        <v>41.658350721219271</v>
      </c>
      <c r="T174" s="219">
        <f t="shared" si="56"/>
        <v>52.834981402522004</v>
      </c>
      <c r="U174" s="219">
        <f t="shared" si="57"/>
        <v>91.445160119749616</v>
      </c>
      <c r="V174" s="219">
        <f t="shared" si="58"/>
        <v>67.059784087816382</v>
      </c>
      <c r="W174" s="216">
        <f t="shared" si="59"/>
        <v>25.401433366597118</v>
      </c>
      <c r="X174" s="217">
        <f t="shared" si="60"/>
        <v>34.545949378572075</v>
      </c>
      <c r="Y174" s="217">
        <f t="shared" si="61"/>
        <v>14.224802685294385</v>
      </c>
      <c r="Z174" s="217">
        <f t="shared" si="62"/>
        <v>23.369318697269346</v>
      </c>
      <c r="AA174" s="217"/>
      <c r="AB174" s="217"/>
      <c r="AC174" s="217">
        <f t="shared" si="64"/>
        <v>1.0160573346638846</v>
      </c>
    </row>
    <row r="175" spans="1:29" ht="33.75">
      <c r="A175" s="206">
        <v>535</v>
      </c>
      <c r="B175" s="194" t="s">
        <v>437</v>
      </c>
      <c r="C175" s="198">
        <v>1</v>
      </c>
      <c r="D175" s="198">
        <v>4</v>
      </c>
      <c r="E175" s="198">
        <v>2</v>
      </c>
      <c r="F175" s="198">
        <v>43</v>
      </c>
      <c r="G175" s="198">
        <v>20</v>
      </c>
      <c r="H175" s="198">
        <v>16</v>
      </c>
      <c r="I175" s="198">
        <v>23</v>
      </c>
      <c r="J175" s="200"/>
      <c r="K175" s="198">
        <v>6</v>
      </c>
      <c r="L175" s="200"/>
      <c r="M175" s="200"/>
      <c r="N175" s="200"/>
      <c r="O175" s="200"/>
      <c r="Q175" s="219">
        <f t="shared" si="53"/>
        <v>1.0160573346638846</v>
      </c>
      <c r="R175" s="219">
        <f t="shared" si="54"/>
        <v>4.0642293386555384</v>
      </c>
      <c r="S175" s="219">
        <f t="shared" si="55"/>
        <v>2.0321146693277692</v>
      </c>
      <c r="T175" s="219">
        <f t="shared" si="56"/>
        <v>43.69046539054704</v>
      </c>
      <c r="U175" s="219">
        <f t="shared" si="57"/>
        <v>20.321146693277694</v>
      </c>
      <c r="V175" s="219">
        <f t="shared" si="58"/>
        <v>16.256917354622153</v>
      </c>
      <c r="W175" s="216">
        <f t="shared" si="59"/>
        <v>23.369318697269346</v>
      </c>
      <c r="X175" s="217"/>
      <c r="Y175" s="217">
        <f t="shared" si="61"/>
        <v>6.0963440079833076</v>
      </c>
      <c r="Z175" s="217"/>
      <c r="AA175" s="217"/>
      <c r="AB175" s="217"/>
      <c r="AC175" s="217"/>
    </row>
    <row r="176" spans="1:29" ht="33.75">
      <c r="A176" s="206">
        <v>540</v>
      </c>
      <c r="B176" s="194" t="s">
        <v>439</v>
      </c>
      <c r="C176" s="209">
        <v>-12</v>
      </c>
      <c r="D176" s="209">
        <v>-6</v>
      </c>
      <c r="E176" s="209">
        <v>-5</v>
      </c>
      <c r="F176" s="209">
        <v>-69</v>
      </c>
      <c r="G176" s="209">
        <v>-57</v>
      </c>
      <c r="H176" s="209">
        <v>-25</v>
      </c>
      <c r="I176" s="209">
        <v>-44</v>
      </c>
      <c r="J176" s="209">
        <v>-21</v>
      </c>
      <c r="K176" s="209">
        <v>-26</v>
      </c>
      <c r="L176" s="209">
        <v>-56</v>
      </c>
      <c r="M176" s="200"/>
      <c r="N176" s="209">
        <v>-56</v>
      </c>
      <c r="O176" s="209">
        <v>-40</v>
      </c>
      <c r="Q176" s="219">
        <f>-C176*2240/2204.6</f>
        <v>12.192688015966615</v>
      </c>
      <c r="R176" s="219">
        <f t="shared" ref="R176:AC176" si="70">-D176*2240/2204.6</f>
        <v>6.0963440079833076</v>
      </c>
      <c r="S176" s="219">
        <f t="shared" si="70"/>
        <v>5.0802866733194234</v>
      </c>
      <c r="T176" s="219">
        <f t="shared" si="70"/>
        <v>70.107956091808035</v>
      </c>
      <c r="U176" s="219">
        <f t="shared" si="70"/>
        <v>57.915268075841425</v>
      </c>
      <c r="V176" s="219">
        <f t="shared" si="70"/>
        <v>25.401433366597118</v>
      </c>
      <c r="W176" s="216">
        <f t="shared" si="70"/>
        <v>44.706522725210924</v>
      </c>
      <c r="X176" s="217">
        <f t="shared" si="70"/>
        <v>21.337204027941578</v>
      </c>
      <c r="Y176" s="217">
        <f t="shared" si="70"/>
        <v>26.417490701261002</v>
      </c>
      <c r="Z176" s="217">
        <f t="shared" si="70"/>
        <v>56.899210741177541</v>
      </c>
      <c r="AA176" s="217"/>
      <c r="AB176" s="217">
        <f t="shared" si="70"/>
        <v>56.899210741177541</v>
      </c>
      <c r="AC176" s="217">
        <f t="shared" si="70"/>
        <v>40.642293386555387</v>
      </c>
    </row>
    <row r="177" spans="1:29" ht="22.5">
      <c r="A177" s="206">
        <v>541</v>
      </c>
      <c r="B177" s="194" t="s">
        <v>440</v>
      </c>
      <c r="C177" s="200"/>
      <c r="D177" s="200"/>
      <c r="E177" s="200"/>
      <c r="F177" s="198">
        <v>60</v>
      </c>
      <c r="G177" s="198">
        <v>49</v>
      </c>
      <c r="H177" s="198">
        <v>23</v>
      </c>
      <c r="I177" s="198">
        <v>37</v>
      </c>
      <c r="J177" s="198">
        <v>19</v>
      </c>
      <c r="K177" s="198">
        <v>20</v>
      </c>
      <c r="L177" s="198">
        <v>50</v>
      </c>
      <c r="M177" s="200"/>
      <c r="N177" s="198">
        <v>50</v>
      </c>
      <c r="O177" s="198">
        <v>36</v>
      </c>
      <c r="Q177" s="219"/>
      <c r="R177" s="219"/>
      <c r="S177" s="219"/>
      <c r="T177" s="219">
        <f t="shared" si="56"/>
        <v>60.963440079833077</v>
      </c>
      <c r="U177" s="219">
        <f t="shared" si="57"/>
        <v>49.786809398530345</v>
      </c>
      <c r="V177" s="219">
        <f t="shared" si="58"/>
        <v>23.369318697269346</v>
      </c>
      <c r="W177" s="216">
        <f t="shared" si="59"/>
        <v>37.594121382563735</v>
      </c>
      <c r="X177" s="217">
        <f t="shared" si="60"/>
        <v>19.305089358613809</v>
      </c>
      <c r="Y177" s="217">
        <f t="shared" si="61"/>
        <v>20.321146693277694</v>
      </c>
      <c r="Z177" s="217">
        <f t="shared" si="62"/>
        <v>50.802866733194236</v>
      </c>
      <c r="AA177" s="217"/>
      <c r="AB177" s="217">
        <f t="shared" si="63"/>
        <v>50.802866733194236</v>
      </c>
      <c r="AC177" s="217">
        <f t="shared" si="64"/>
        <v>36.578064047899851</v>
      </c>
    </row>
    <row r="178" spans="1:29">
      <c r="A178" s="206">
        <v>542</v>
      </c>
      <c r="B178" s="194" t="s">
        <v>441</v>
      </c>
      <c r="C178" s="198">
        <v>12</v>
      </c>
      <c r="D178" s="198">
        <v>6</v>
      </c>
      <c r="E178" s="198">
        <v>5</v>
      </c>
      <c r="F178" s="198">
        <v>1</v>
      </c>
      <c r="G178" s="198">
        <v>1</v>
      </c>
      <c r="H178" s="200"/>
      <c r="I178" s="198">
        <v>3</v>
      </c>
      <c r="J178" s="198">
        <v>2</v>
      </c>
      <c r="K178" s="198">
        <v>1</v>
      </c>
      <c r="L178" s="198">
        <v>5</v>
      </c>
      <c r="M178" s="200"/>
      <c r="N178" s="198">
        <v>4</v>
      </c>
      <c r="O178" s="198">
        <v>5</v>
      </c>
      <c r="Q178" s="219">
        <f t="shared" si="53"/>
        <v>12.192688015966615</v>
      </c>
      <c r="R178" s="219">
        <f t="shared" si="54"/>
        <v>6.0963440079833076</v>
      </c>
      <c r="S178" s="219">
        <f t="shared" si="55"/>
        <v>5.0802866733194234</v>
      </c>
      <c r="T178" s="219">
        <f t="shared" si="56"/>
        <v>1.0160573346638846</v>
      </c>
      <c r="U178" s="219">
        <f t="shared" si="57"/>
        <v>1.0160573346638846</v>
      </c>
      <c r="V178" s="219"/>
      <c r="W178" s="216">
        <f t="shared" si="59"/>
        <v>3.0481720039916538</v>
      </c>
      <c r="X178" s="217">
        <f t="shared" si="60"/>
        <v>2.0321146693277692</v>
      </c>
      <c r="Y178" s="217">
        <f t="shared" si="61"/>
        <v>1.0160573346638846</v>
      </c>
      <c r="Z178" s="217">
        <f t="shared" si="62"/>
        <v>5.0802866733194234</v>
      </c>
      <c r="AA178" s="217"/>
      <c r="AB178" s="217">
        <f t="shared" si="63"/>
        <v>4.0642293386555384</v>
      </c>
      <c r="AC178" s="217">
        <f t="shared" si="64"/>
        <v>5.0802866733194234</v>
      </c>
    </row>
    <row r="179" spans="1:29" ht="22.5">
      <c r="A179" s="206">
        <v>545</v>
      </c>
      <c r="B179" s="194" t="s">
        <v>442</v>
      </c>
      <c r="C179" s="200"/>
      <c r="D179" s="200"/>
      <c r="E179" s="200"/>
      <c r="F179" s="198">
        <v>8</v>
      </c>
      <c r="G179" s="198">
        <v>7</v>
      </c>
      <c r="H179" s="198">
        <v>2</v>
      </c>
      <c r="I179" s="198">
        <v>3</v>
      </c>
      <c r="J179" s="200"/>
      <c r="K179" s="198">
        <v>4</v>
      </c>
      <c r="L179" s="200"/>
      <c r="M179" s="200"/>
      <c r="N179" s="198">
        <v>1</v>
      </c>
      <c r="O179" s="200"/>
      <c r="Q179" s="219"/>
      <c r="R179" s="219"/>
      <c r="S179" s="219"/>
      <c r="T179" s="219">
        <f t="shared" si="56"/>
        <v>8.1284586773110767</v>
      </c>
      <c r="U179" s="219">
        <f t="shared" si="57"/>
        <v>7.1124013426471926</v>
      </c>
      <c r="V179" s="219">
        <f t="shared" si="58"/>
        <v>2.0321146693277692</v>
      </c>
      <c r="W179" s="216">
        <f t="shared" si="59"/>
        <v>3.0481720039916538</v>
      </c>
      <c r="X179" s="217"/>
      <c r="Y179" s="217">
        <f t="shared" si="61"/>
        <v>4.0642293386555384</v>
      </c>
      <c r="Z179" s="217"/>
      <c r="AA179" s="217"/>
      <c r="AB179" s="217">
        <f t="shared" si="63"/>
        <v>1.0160573346638846</v>
      </c>
      <c r="AC179" s="217"/>
    </row>
    <row r="180" spans="1:29" ht="22.5">
      <c r="A180" s="206">
        <v>551</v>
      </c>
      <c r="B180" s="194" t="s">
        <v>444</v>
      </c>
      <c r="C180" s="198">
        <v>37</v>
      </c>
      <c r="D180" s="198">
        <v>30</v>
      </c>
      <c r="E180" s="198">
        <v>20</v>
      </c>
      <c r="F180" s="198">
        <v>10</v>
      </c>
      <c r="G180" s="198">
        <v>18</v>
      </c>
      <c r="H180" s="198">
        <v>8</v>
      </c>
      <c r="I180" s="198">
        <v>11</v>
      </c>
      <c r="J180" s="198">
        <v>15</v>
      </c>
      <c r="K180" s="198">
        <v>6</v>
      </c>
      <c r="L180" s="198">
        <v>59</v>
      </c>
      <c r="M180" s="200"/>
      <c r="N180" s="198">
        <v>58</v>
      </c>
      <c r="O180" s="198">
        <v>34</v>
      </c>
      <c r="Q180" s="219">
        <f t="shared" ref="Q180:Q242" si="71">C180*2240/2204.6</f>
        <v>37.594121382563735</v>
      </c>
      <c r="R180" s="219">
        <f t="shared" ref="R180:R242" si="72">D180*2240/2204.6</f>
        <v>30.481720039916539</v>
      </c>
      <c r="S180" s="219">
        <f t="shared" ref="S180:S242" si="73">E180*2240/2204.6</f>
        <v>20.321146693277694</v>
      </c>
      <c r="T180" s="219">
        <f t="shared" ref="T180:T242" si="74">F180*2240/2204.6</f>
        <v>10.160573346638847</v>
      </c>
      <c r="U180" s="219">
        <f t="shared" ref="U180:U242" si="75">G180*2240/2204.6</f>
        <v>18.289032023949925</v>
      </c>
      <c r="V180" s="219">
        <f t="shared" ref="V180:V242" si="76">H180*2240/2204.6</f>
        <v>8.1284586773110767</v>
      </c>
      <c r="W180" s="216">
        <f t="shared" ref="W180:W242" si="77">I180*2240/2204.6</f>
        <v>11.176630681302731</v>
      </c>
      <c r="X180" s="217">
        <f t="shared" ref="X180:X240" si="78">J180*2240/2204.6</f>
        <v>15.240860019958269</v>
      </c>
      <c r="Y180" s="217">
        <f t="shared" ref="Y180:Y242" si="79">K180*2240/2204.6</f>
        <v>6.0963440079833076</v>
      </c>
      <c r="Z180" s="217">
        <f t="shared" ref="Z180:Z242" si="80">L180*2240/2204.6</f>
        <v>59.947382745169193</v>
      </c>
      <c r="AA180" s="217"/>
      <c r="AB180" s="217">
        <f t="shared" ref="AB180:AB242" si="81">N180*2240/2204.6</f>
        <v>58.931325410505309</v>
      </c>
      <c r="AC180" s="217">
        <f t="shared" ref="AC180:AC243" si="82">O180*2240/2204.6</f>
        <v>34.545949378572075</v>
      </c>
    </row>
    <row r="181" spans="1:29" ht="22.5">
      <c r="A181" s="206">
        <v>552</v>
      </c>
      <c r="B181" s="194" t="s">
        <v>445</v>
      </c>
      <c r="C181" s="200"/>
      <c r="D181" s="200"/>
      <c r="E181" s="198">
        <v>3</v>
      </c>
      <c r="F181" s="198">
        <v>5</v>
      </c>
      <c r="G181" s="200"/>
      <c r="H181" s="200"/>
      <c r="I181" s="198">
        <v>1</v>
      </c>
      <c r="J181" s="200"/>
      <c r="K181" s="200"/>
      <c r="L181" s="200"/>
      <c r="M181" s="200"/>
      <c r="N181" s="200"/>
      <c r="O181" s="200"/>
      <c r="Q181" s="219"/>
      <c r="R181" s="219"/>
      <c r="S181" s="219">
        <f t="shared" si="73"/>
        <v>3.0481720039916538</v>
      </c>
      <c r="T181" s="219">
        <f t="shared" si="74"/>
        <v>5.0802866733194234</v>
      </c>
      <c r="U181" s="219"/>
      <c r="V181" s="219"/>
      <c r="W181" s="216">
        <f t="shared" si="77"/>
        <v>1.0160573346638846</v>
      </c>
      <c r="X181" s="217"/>
      <c r="Y181" s="217"/>
      <c r="Z181" s="217"/>
      <c r="AA181" s="217"/>
      <c r="AB181" s="217"/>
      <c r="AC181" s="217"/>
    </row>
    <row r="182" spans="1:29">
      <c r="A182" s="206">
        <v>553</v>
      </c>
      <c r="B182" s="194" t="s">
        <v>446</v>
      </c>
      <c r="C182" s="200"/>
      <c r="D182" s="198">
        <v>1</v>
      </c>
      <c r="E182" s="200"/>
      <c r="F182" s="200"/>
      <c r="G182" s="200"/>
      <c r="H182" s="200"/>
      <c r="I182" s="198">
        <v>1</v>
      </c>
      <c r="J182" s="200"/>
      <c r="K182" s="200"/>
      <c r="L182" s="200"/>
      <c r="M182" s="200"/>
      <c r="N182" s="200"/>
      <c r="O182" s="198">
        <v>1</v>
      </c>
      <c r="Q182" s="219"/>
      <c r="R182" s="219">
        <f t="shared" si="72"/>
        <v>1.0160573346638846</v>
      </c>
      <c r="S182" s="219"/>
      <c r="T182" s="219"/>
      <c r="U182" s="219"/>
      <c r="V182" s="219"/>
      <c r="W182" s="216">
        <f t="shared" si="77"/>
        <v>1.0160573346638846</v>
      </c>
      <c r="X182" s="217"/>
      <c r="Y182" s="217"/>
      <c r="Z182" s="217"/>
      <c r="AA182" s="217"/>
      <c r="AB182" s="217"/>
      <c r="AC182" s="217">
        <f t="shared" si="82"/>
        <v>1.0160573346638846</v>
      </c>
    </row>
    <row r="183" spans="1:29" ht="22.5">
      <c r="A183" s="206">
        <v>554</v>
      </c>
      <c r="B183" s="194" t="s">
        <v>447</v>
      </c>
      <c r="C183" s="200"/>
      <c r="D183" s="198">
        <v>26</v>
      </c>
      <c r="E183" s="200"/>
      <c r="F183" s="198">
        <v>1</v>
      </c>
      <c r="G183" s="200"/>
      <c r="H183" s="200"/>
      <c r="I183" s="198">
        <v>0</v>
      </c>
      <c r="J183" s="200"/>
      <c r="K183" s="200"/>
      <c r="L183" s="200"/>
      <c r="M183" s="200"/>
      <c r="N183" s="200"/>
      <c r="O183" s="200"/>
      <c r="Q183" s="219"/>
      <c r="R183" s="219">
        <f t="shared" si="72"/>
        <v>26.417490701261002</v>
      </c>
      <c r="S183" s="219"/>
      <c r="T183" s="219">
        <f t="shared" si="74"/>
        <v>1.0160573346638846</v>
      </c>
      <c r="U183" s="219"/>
      <c r="V183" s="219"/>
      <c r="W183" s="216"/>
      <c r="X183" s="217"/>
      <c r="Y183" s="217"/>
      <c r="Z183" s="217"/>
      <c r="AA183" s="217"/>
      <c r="AB183" s="217"/>
      <c r="AC183" s="217"/>
    </row>
    <row r="184" spans="1:29" ht="33.75">
      <c r="A184" s="206">
        <v>555</v>
      </c>
      <c r="B184" s="194" t="s">
        <v>448</v>
      </c>
      <c r="C184" s="198">
        <v>18</v>
      </c>
      <c r="D184" s="198">
        <v>8</v>
      </c>
      <c r="E184" s="198">
        <v>10</v>
      </c>
      <c r="F184" s="198">
        <v>11</v>
      </c>
      <c r="G184" s="198">
        <v>11</v>
      </c>
      <c r="H184" s="198">
        <v>5</v>
      </c>
      <c r="I184" s="198">
        <v>7</v>
      </c>
      <c r="J184" s="198">
        <v>10</v>
      </c>
      <c r="K184" s="198">
        <v>3</v>
      </c>
      <c r="L184" s="198">
        <v>28</v>
      </c>
      <c r="M184" s="200"/>
      <c r="N184" s="198">
        <v>30</v>
      </c>
      <c r="O184" s="198">
        <v>17</v>
      </c>
      <c r="Q184" s="219">
        <f t="shared" si="71"/>
        <v>18.289032023949925</v>
      </c>
      <c r="R184" s="219">
        <f t="shared" si="72"/>
        <v>8.1284586773110767</v>
      </c>
      <c r="S184" s="219">
        <f t="shared" si="73"/>
        <v>10.160573346638847</v>
      </c>
      <c r="T184" s="219">
        <f t="shared" si="74"/>
        <v>11.176630681302731</v>
      </c>
      <c r="U184" s="219">
        <f t="shared" si="75"/>
        <v>11.176630681302731</v>
      </c>
      <c r="V184" s="219">
        <f t="shared" si="76"/>
        <v>5.0802866733194234</v>
      </c>
      <c r="W184" s="216">
        <f t="shared" si="77"/>
        <v>7.1124013426471926</v>
      </c>
      <c r="X184" s="217">
        <f t="shared" si="78"/>
        <v>10.160573346638847</v>
      </c>
      <c r="Y184" s="217">
        <f t="shared" si="79"/>
        <v>3.0481720039916538</v>
      </c>
      <c r="Z184" s="217">
        <f t="shared" si="80"/>
        <v>28.44960537058877</v>
      </c>
      <c r="AA184" s="217"/>
      <c r="AB184" s="217">
        <f t="shared" si="81"/>
        <v>30.481720039916539</v>
      </c>
      <c r="AC184" s="217">
        <f t="shared" si="82"/>
        <v>17.272974689286038</v>
      </c>
    </row>
    <row r="185" spans="1:29">
      <c r="A185" s="206">
        <v>556</v>
      </c>
      <c r="B185" s="194" t="s">
        <v>449</v>
      </c>
      <c r="C185" s="200"/>
      <c r="D185" s="198">
        <v>3</v>
      </c>
      <c r="E185" s="198">
        <v>25</v>
      </c>
      <c r="F185" s="200"/>
      <c r="G185" s="200"/>
      <c r="H185" s="200"/>
      <c r="I185" s="200"/>
      <c r="J185" s="200"/>
      <c r="K185" s="200"/>
      <c r="L185" s="200"/>
      <c r="M185" s="200"/>
      <c r="N185" s="200"/>
      <c r="O185" s="200"/>
      <c r="Q185" s="219"/>
      <c r="R185" s="219">
        <f t="shared" si="72"/>
        <v>3.0481720039916538</v>
      </c>
      <c r="S185" s="219">
        <f t="shared" si="73"/>
        <v>25.401433366597118</v>
      </c>
      <c r="T185" s="219"/>
      <c r="U185" s="219"/>
      <c r="V185" s="219"/>
      <c r="W185" s="216"/>
      <c r="X185" s="217"/>
      <c r="Y185" s="217"/>
      <c r="Z185" s="217"/>
      <c r="AA185" s="217"/>
      <c r="AB185" s="217"/>
      <c r="AC185" s="217"/>
    </row>
    <row r="186" spans="1:29" ht="22.5">
      <c r="A186" s="206">
        <v>558</v>
      </c>
      <c r="B186" s="194" t="s">
        <v>450</v>
      </c>
      <c r="C186" s="198">
        <v>14</v>
      </c>
      <c r="D186" s="198">
        <v>20</v>
      </c>
      <c r="E186" s="200"/>
      <c r="F186" s="200"/>
      <c r="G186" s="200"/>
      <c r="H186" s="200"/>
      <c r="I186" s="200"/>
      <c r="J186" s="200"/>
      <c r="K186" s="200"/>
      <c r="L186" s="200"/>
      <c r="M186" s="200"/>
      <c r="N186" s="198">
        <v>5</v>
      </c>
      <c r="O186" s="200"/>
      <c r="Q186" s="219">
        <f t="shared" si="71"/>
        <v>14.224802685294385</v>
      </c>
      <c r="R186" s="219">
        <f t="shared" si="72"/>
        <v>20.321146693277694</v>
      </c>
      <c r="S186" s="219"/>
      <c r="T186" s="219"/>
      <c r="U186" s="219"/>
      <c r="V186" s="219"/>
      <c r="W186" s="216"/>
      <c r="X186" s="217"/>
      <c r="Y186" s="217"/>
      <c r="Z186" s="217"/>
      <c r="AA186" s="217"/>
      <c r="AB186" s="217">
        <f t="shared" si="81"/>
        <v>5.0802866733194234</v>
      </c>
      <c r="AC186" s="217">
        <f t="shared" si="82"/>
        <v>0</v>
      </c>
    </row>
    <row r="187" spans="1:29">
      <c r="A187" s="206">
        <v>561</v>
      </c>
      <c r="B187" s="194" t="s">
        <v>452</v>
      </c>
      <c r="C187" s="198">
        <v>33</v>
      </c>
      <c r="D187" s="198">
        <v>36</v>
      </c>
      <c r="E187" s="198">
        <v>33</v>
      </c>
      <c r="F187" s="198">
        <v>13</v>
      </c>
      <c r="G187" s="198">
        <v>13</v>
      </c>
      <c r="H187" s="198">
        <v>10</v>
      </c>
      <c r="I187" s="198">
        <v>36</v>
      </c>
      <c r="J187" s="198">
        <v>10</v>
      </c>
      <c r="K187" s="198">
        <v>6</v>
      </c>
      <c r="L187" s="198">
        <v>25</v>
      </c>
      <c r="M187" s="200"/>
      <c r="N187" s="198">
        <v>27</v>
      </c>
      <c r="O187" s="198">
        <v>12</v>
      </c>
      <c r="Q187" s="219">
        <f t="shared" si="71"/>
        <v>33.529892043908191</v>
      </c>
      <c r="R187" s="219">
        <f t="shared" si="72"/>
        <v>36.578064047899851</v>
      </c>
      <c r="S187" s="219">
        <f t="shared" si="73"/>
        <v>33.529892043908191</v>
      </c>
      <c r="T187" s="219">
        <f t="shared" si="74"/>
        <v>13.208745350630501</v>
      </c>
      <c r="U187" s="219">
        <f t="shared" si="75"/>
        <v>13.208745350630501</v>
      </c>
      <c r="V187" s="219">
        <f t="shared" si="76"/>
        <v>10.160573346638847</v>
      </c>
      <c r="W187" s="216">
        <f t="shared" si="77"/>
        <v>36.578064047899851</v>
      </c>
      <c r="X187" s="217">
        <f t="shared" si="78"/>
        <v>10.160573346638847</v>
      </c>
      <c r="Y187" s="217">
        <f t="shared" si="79"/>
        <v>6.0963440079833076</v>
      </c>
      <c r="Z187" s="217">
        <f t="shared" si="80"/>
        <v>25.401433366597118</v>
      </c>
      <c r="AA187" s="217"/>
      <c r="AB187" s="217">
        <f t="shared" si="81"/>
        <v>27.433548035924886</v>
      </c>
      <c r="AC187" s="217">
        <f t="shared" si="82"/>
        <v>12.192688015966615</v>
      </c>
    </row>
    <row r="188" spans="1:29">
      <c r="A188" s="206">
        <v>562</v>
      </c>
      <c r="B188" s="194" t="s">
        <v>453</v>
      </c>
      <c r="C188" s="198">
        <v>67</v>
      </c>
      <c r="D188" s="198">
        <v>56</v>
      </c>
      <c r="E188" s="198">
        <v>65</v>
      </c>
      <c r="F188" s="198">
        <v>37</v>
      </c>
      <c r="G188" s="198">
        <v>38</v>
      </c>
      <c r="H188" s="198">
        <v>21</v>
      </c>
      <c r="I188" s="198">
        <v>25</v>
      </c>
      <c r="J188" s="198">
        <v>38</v>
      </c>
      <c r="K188" s="198">
        <v>24</v>
      </c>
      <c r="L188" s="198">
        <v>45</v>
      </c>
      <c r="M188" s="200"/>
      <c r="N188" s="198">
        <v>49</v>
      </c>
      <c r="O188" s="198">
        <v>31</v>
      </c>
      <c r="Q188" s="219">
        <f t="shared" si="71"/>
        <v>68.075841422480266</v>
      </c>
      <c r="R188" s="219">
        <f t="shared" si="72"/>
        <v>56.899210741177541</v>
      </c>
      <c r="S188" s="219">
        <f t="shared" si="73"/>
        <v>66.043726753152498</v>
      </c>
      <c r="T188" s="219">
        <f t="shared" si="74"/>
        <v>37.594121382563735</v>
      </c>
      <c r="U188" s="219">
        <f t="shared" si="75"/>
        <v>38.610178717227619</v>
      </c>
      <c r="V188" s="219">
        <f t="shared" si="76"/>
        <v>21.337204027941578</v>
      </c>
      <c r="W188" s="216">
        <f t="shared" si="77"/>
        <v>25.401433366597118</v>
      </c>
      <c r="X188" s="217">
        <f t="shared" si="78"/>
        <v>38.610178717227619</v>
      </c>
      <c r="Y188" s="217">
        <f t="shared" si="79"/>
        <v>24.38537603193323</v>
      </c>
      <c r="Z188" s="217">
        <f t="shared" si="80"/>
        <v>45.722580059874808</v>
      </c>
      <c r="AA188" s="217"/>
      <c r="AB188" s="217">
        <f t="shared" si="81"/>
        <v>49.786809398530345</v>
      </c>
      <c r="AC188" s="217">
        <f t="shared" si="82"/>
        <v>31.497777374580423</v>
      </c>
    </row>
    <row r="189" spans="1:29">
      <c r="A189" s="206">
        <v>565</v>
      </c>
      <c r="B189" s="194" t="s">
        <v>454</v>
      </c>
      <c r="C189" s="200"/>
      <c r="D189" s="200"/>
      <c r="E189" s="200"/>
      <c r="F189" s="200"/>
      <c r="G189" s="200"/>
      <c r="H189" s="200"/>
      <c r="I189" s="200"/>
      <c r="J189" s="198">
        <v>18</v>
      </c>
      <c r="K189" s="198">
        <v>19</v>
      </c>
      <c r="L189" s="200"/>
      <c r="M189" s="200"/>
      <c r="N189" s="200"/>
      <c r="O189" s="198">
        <v>30</v>
      </c>
      <c r="Q189" s="219"/>
      <c r="R189" s="219"/>
      <c r="S189" s="219"/>
      <c r="T189" s="219"/>
      <c r="U189" s="219"/>
      <c r="V189" s="219"/>
      <c r="W189" s="216"/>
      <c r="X189" s="217">
        <f t="shared" si="78"/>
        <v>18.289032023949925</v>
      </c>
      <c r="Y189" s="217">
        <f t="shared" si="79"/>
        <v>19.305089358613809</v>
      </c>
      <c r="Z189" s="217"/>
      <c r="AA189" s="217"/>
      <c r="AB189" s="217"/>
      <c r="AC189" s="217">
        <f t="shared" si="82"/>
        <v>30.481720039916539</v>
      </c>
    </row>
    <row r="190" spans="1:29" ht="22.5">
      <c r="A190" s="206">
        <v>571</v>
      </c>
      <c r="B190" s="194" t="s">
        <v>457</v>
      </c>
      <c r="C190" s="198">
        <v>14</v>
      </c>
      <c r="D190" s="198">
        <v>31</v>
      </c>
      <c r="E190" s="200"/>
      <c r="F190" s="200"/>
      <c r="G190" s="200"/>
      <c r="H190" s="200"/>
      <c r="I190" s="200"/>
      <c r="J190" s="200"/>
      <c r="K190" s="200"/>
      <c r="L190" s="198">
        <v>23</v>
      </c>
      <c r="M190" s="200"/>
      <c r="N190" s="198">
        <v>21</v>
      </c>
      <c r="O190" s="200"/>
      <c r="Q190" s="219">
        <f t="shared" si="71"/>
        <v>14.224802685294385</v>
      </c>
      <c r="R190" s="219">
        <f t="shared" si="72"/>
        <v>31.497777374580423</v>
      </c>
      <c r="S190" s="219"/>
      <c r="T190" s="219"/>
      <c r="U190" s="219"/>
      <c r="V190" s="219"/>
      <c r="W190" s="216"/>
      <c r="X190" s="217"/>
      <c r="Y190" s="217"/>
      <c r="Z190" s="217">
        <f t="shared" si="80"/>
        <v>23.369318697269346</v>
      </c>
      <c r="AA190" s="217"/>
      <c r="AB190" s="217">
        <f t="shared" si="81"/>
        <v>21.337204027941578</v>
      </c>
      <c r="AC190" s="217"/>
    </row>
    <row r="191" spans="1:29" ht="22.5">
      <c r="A191" s="206">
        <v>572</v>
      </c>
      <c r="B191" s="194" t="s">
        <v>458</v>
      </c>
      <c r="C191" s="198">
        <v>12</v>
      </c>
      <c r="D191" s="198">
        <v>9</v>
      </c>
      <c r="E191" s="198">
        <v>14</v>
      </c>
      <c r="F191" s="198">
        <v>5</v>
      </c>
      <c r="G191" s="198">
        <v>7</v>
      </c>
      <c r="H191" s="198">
        <v>1</v>
      </c>
      <c r="I191" s="198">
        <v>15</v>
      </c>
      <c r="J191" s="200"/>
      <c r="K191" s="198">
        <v>4</v>
      </c>
      <c r="L191" s="198">
        <v>6</v>
      </c>
      <c r="M191" s="200"/>
      <c r="N191" s="198">
        <v>12</v>
      </c>
      <c r="O191" s="198">
        <v>7</v>
      </c>
      <c r="Q191" s="219">
        <f t="shared" si="71"/>
        <v>12.192688015966615</v>
      </c>
      <c r="R191" s="219">
        <f t="shared" si="72"/>
        <v>9.1445160119749627</v>
      </c>
      <c r="S191" s="219">
        <f t="shared" si="73"/>
        <v>14.224802685294385</v>
      </c>
      <c r="T191" s="219">
        <f t="shared" si="74"/>
        <v>5.0802866733194234</v>
      </c>
      <c r="U191" s="219">
        <f t="shared" si="75"/>
        <v>7.1124013426471926</v>
      </c>
      <c r="V191" s="219">
        <f t="shared" si="76"/>
        <v>1.0160573346638846</v>
      </c>
      <c r="W191" s="216">
        <f t="shared" si="77"/>
        <v>15.240860019958269</v>
      </c>
      <c r="X191" s="217"/>
      <c r="Y191" s="217">
        <f t="shared" si="79"/>
        <v>4.0642293386555384</v>
      </c>
      <c r="Z191" s="217">
        <f t="shared" si="80"/>
        <v>6.0963440079833076</v>
      </c>
      <c r="AA191" s="217"/>
      <c r="AB191" s="217">
        <f t="shared" si="81"/>
        <v>12.192688015966615</v>
      </c>
      <c r="AC191" s="217">
        <f t="shared" si="82"/>
        <v>7.1124013426471926</v>
      </c>
    </row>
    <row r="192" spans="1:29" ht="33.75">
      <c r="A192" s="206">
        <v>581</v>
      </c>
      <c r="B192" s="194" t="s">
        <v>460</v>
      </c>
      <c r="C192" s="198">
        <v>71</v>
      </c>
      <c r="D192" s="198">
        <v>69</v>
      </c>
      <c r="E192" s="198">
        <v>52</v>
      </c>
      <c r="F192" s="198">
        <v>49</v>
      </c>
      <c r="G192" s="198">
        <v>47</v>
      </c>
      <c r="H192" s="198">
        <v>36</v>
      </c>
      <c r="I192" s="198">
        <v>35</v>
      </c>
      <c r="J192" s="198">
        <v>31</v>
      </c>
      <c r="K192" s="198">
        <v>31</v>
      </c>
      <c r="L192" s="198">
        <v>62</v>
      </c>
      <c r="M192" s="200"/>
      <c r="N192" s="198">
        <v>65</v>
      </c>
      <c r="O192" s="198">
        <v>23</v>
      </c>
      <c r="Q192" s="219">
        <f t="shared" si="71"/>
        <v>72.140070761135803</v>
      </c>
      <c r="R192" s="219">
        <f t="shared" si="72"/>
        <v>70.107956091808035</v>
      </c>
      <c r="S192" s="219">
        <f t="shared" si="73"/>
        <v>52.834981402522004</v>
      </c>
      <c r="T192" s="219">
        <f t="shared" si="74"/>
        <v>49.786809398530345</v>
      </c>
      <c r="U192" s="219">
        <f t="shared" si="75"/>
        <v>47.754694729202576</v>
      </c>
      <c r="V192" s="219">
        <f t="shared" si="76"/>
        <v>36.578064047899851</v>
      </c>
      <c r="W192" s="216">
        <f t="shared" si="77"/>
        <v>35.562006713235959</v>
      </c>
      <c r="X192" s="217">
        <f t="shared" si="78"/>
        <v>31.497777374580423</v>
      </c>
      <c r="Y192" s="217">
        <f t="shared" si="79"/>
        <v>31.497777374580423</v>
      </c>
      <c r="Z192" s="217">
        <f t="shared" si="80"/>
        <v>62.995554749160846</v>
      </c>
      <c r="AA192" s="217"/>
      <c r="AB192" s="217">
        <f t="shared" si="81"/>
        <v>66.043726753152498</v>
      </c>
      <c r="AC192" s="217">
        <f t="shared" si="82"/>
        <v>23.369318697269346</v>
      </c>
    </row>
    <row r="193" spans="1:29" ht="33.75">
      <c r="A193" s="206">
        <v>582</v>
      </c>
      <c r="B193" s="194" t="s">
        <v>461</v>
      </c>
      <c r="C193" s="198">
        <v>15</v>
      </c>
      <c r="D193" s="198">
        <v>4</v>
      </c>
      <c r="E193" s="198">
        <v>16</v>
      </c>
      <c r="F193" s="198">
        <v>10</v>
      </c>
      <c r="G193" s="198">
        <v>12</v>
      </c>
      <c r="H193" s="198">
        <v>8</v>
      </c>
      <c r="I193" s="198">
        <v>4</v>
      </c>
      <c r="J193" s="198">
        <v>8</v>
      </c>
      <c r="K193" s="198">
        <v>14</v>
      </c>
      <c r="L193" s="198">
        <v>22</v>
      </c>
      <c r="M193" s="200"/>
      <c r="N193" s="198">
        <v>13</v>
      </c>
      <c r="O193" s="198">
        <v>11</v>
      </c>
      <c r="Q193" s="219">
        <f t="shared" si="71"/>
        <v>15.240860019958269</v>
      </c>
      <c r="R193" s="219">
        <f t="shared" si="72"/>
        <v>4.0642293386555384</v>
      </c>
      <c r="S193" s="219">
        <f t="shared" si="73"/>
        <v>16.256917354622153</v>
      </c>
      <c r="T193" s="219">
        <f t="shared" si="74"/>
        <v>10.160573346638847</v>
      </c>
      <c r="U193" s="219">
        <f t="shared" si="75"/>
        <v>12.192688015966615</v>
      </c>
      <c r="V193" s="219">
        <f t="shared" si="76"/>
        <v>8.1284586773110767</v>
      </c>
      <c r="W193" s="216">
        <f t="shared" si="77"/>
        <v>4.0642293386555384</v>
      </c>
      <c r="X193" s="217">
        <f t="shared" si="78"/>
        <v>8.1284586773110767</v>
      </c>
      <c r="Y193" s="217">
        <f t="shared" si="79"/>
        <v>14.224802685294385</v>
      </c>
      <c r="Z193" s="217">
        <f t="shared" si="80"/>
        <v>22.353261362605462</v>
      </c>
      <c r="AA193" s="217"/>
      <c r="AB193" s="217">
        <f t="shared" si="81"/>
        <v>13.208745350630501</v>
      </c>
      <c r="AC193" s="217">
        <f t="shared" si="82"/>
        <v>11.176630681302731</v>
      </c>
    </row>
    <row r="194" spans="1:29" ht="33.75">
      <c r="A194" s="206">
        <v>583</v>
      </c>
      <c r="B194" s="194" t="s">
        <v>462</v>
      </c>
      <c r="C194" s="198">
        <v>61</v>
      </c>
      <c r="D194" s="198">
        <v>75</v>
      </c>
      <c r="E194" s="198">
        <v>45</v>
      </c>
      <c r="F194" s="198">
        <v>42</v>
      </c>
      <c r="G194" s="198">
        <v>31</v>
      </c>
      <c r="H194" s="198">
        <v>21</v>
      </c>
      <c r="I194" s="198">
        <v>24</v>
      </c>
      <c r="J194" s="198">
        <v>22</v>
      </c>
      <c r="K194" s="198">
        <v>21</v>
      </c>
      <c r="L194" s="198">
        <v>28</v>
      </c>
      <c r="M194" s="200"/>
      <c r="N194" s="198">
        <v>29</v>
      </c>
      <c r="O194" s="198">
        <v>12</v>
      </c>
      <c r="Q194" s="219">
        <f t="shared" si="71"/>
        <v>61.979497414496961</v>
      </c>
      <c r="R194" s="219">
        <f t="shared" si="72"/>
        <v>76.204300099791354</v>
      </c>
      <c r="S194" s="219">
        <f t="shared" si="73"/>
        <v>45.722580059874808</v>
      </c>
      <c r="T194" s="219">
        <f t="shared" si="74"/>
        <v>42.674408055883156</v>
      </c>
      <c r="U194" s="219">
        <f t="shared" si="75"/>
        <v>31.497777374580423</v>
      </c>
      <c r="V194" s="219">
        <f t="shared" si="76"/>
        <v>21.337204027941578</v>
      </c>
      <c r="W194" s="216">
        <f t="shared" si="77"/>
        <v>24.38537603193323</v>
      </c>
      <c r="X194" s="217">
        <f t="shared" si="78"/>
        <v>22.353261362605462</v>
      </c>
      <c r="Y194" s="217">
        <f t="shared" si="79"/>
        <v>21.337204027941578</v>
      </c>
      <c r="Z194" s="217">
        <f t="shared" si="80"/>
        <v>28.44960537058877</v>
      </c>
      <c r="AA194" s="217"/>
      <c r="AB194" s="217">
        <f t="shared" si="81"/>
        <v>29.465662705252655</v>
      </c>
      <c r="AC194" s="217">
        <f t="shared" si="82"/>
        <v>12.192688015966615</v>
      </c>
    </row>
    <row r="195" spans="1:29" ht="22.5">
      <c r="A195" s="206">
        <v>586</v>
      </c>
      <c r="B195" s="194" t="s">
        <v>463</v>
      </c>
      <c r="C195" s="198">
        <v>30</v>
      </c>
      <c r="D195" s="198">
        <v>1</v>
      </c>
      <c r="E195" s="198">
        <v>4</v>
      </c>
      <c r="F195" s="198">
        <v>1</v>
      </c>
      <c r="G195" s="200"/>
      <c r="H195" s="200"/>
      <c r="I195" s="200"/>
      <c r="J195" s="198">
        <v>11</v>
      </c>
      <c r="K195" s="200"/>
      <c r="L195" s="198">
        <v>26</v>
      </c>
      <c r="M195" s="200"/>
      <c r="N195" s="198">
        <v>4</v>
      </c>
      <c r="O195" s="198">
        <v>12</v>
      </c>
      <c r="Q195" s="219">
        <f t="shared" si="71"/>
        <v>30.481720039916539</v>
      </c>
      <c r="R195" s="219">
        <f t="shared" si="72"/>
        <v>1.0160573346638846</v>
      </c>
      <c r="S195" s="219">
        <f t="shared" si="73"/>
        <v>4.0642293386555384</v>
      </c>
      <c r="T195" s="219">
        <f t="shared" si="74"/>
        <v>1.0160573346638846</v>
      </c>
      <c r="U195" s="219"/>
      <c r="V195" s="219"/>
      <c r="W195" s="216"/>
      <c r="X195" s="217">
        <f t="shared" si="78"/>
        <v>11.176630681302731</v>
      </c>
      <c r="Y195" s="217"/>
      <c r="Z195" s="217">
        <f t="shared" si="80"/>
        <v>26.417490701261002</v>
      </c>
      <c r="AA195" s="217"/>
      <c r="AB195" s="217">
        <f t="shared" si="81"/>
        <v>4.0642293386555384</v>
      </c>
      <c r="AC195" s="217">
        <f t="shared" si="82"/>
        <v>12.192688015966615</v>
      </c>
    </row>
    <row r="196" spans="1:29" ht="33.75">
      <c r="A196" s="206">
        <v>593</v>
      </c>
      <c r="B196" s="194" t="s">
        <v>465</v>
      </c>
      <c r="C196" s="200"/>
      <c r="D196" s="200"/>
      <c r="E196" s="200"/>
      <c r="F196" s="200"/>
      <c r="G196" s="200"/>
      <c r="H196" s="200"/>
      <c r="I196" s="200"/>
      <c r="J196" s="200"/>
      <c r="K196" s="200"/>
      <c r="L196" s="200"/>
      <c r="M196" s="200"/>
      <c r="N196" s="198">
        <v>8</v>
      </c>
      <c r="O196" s="198">
        <v>7</v>
      </c>
      <c r="Q196" s="219">
        <f t="shared" si="71"/>
        <v>0</v>
      </c>
      <c r="R196" s="219">
        <f t="shared" si="72"/>
        <v>0</v>
      </c>
      <c r="S196" s="219">
        <f t="shared" si="73"/>
        <v>0</v>
      </c>
      <c r="T196" s="219">
        <f t="shared" si="74"/>
        <v>0</v>
      </c>
      <c r="U196" s="219">
        <f t="shared" si="75"/>
        <v>0</v>
      </c>
      <c r="V196" s="219">
        <f t="shared" si="76"/>
        <v>0</v>
      </c>
      <c r="W196" s="216">
        <f t="shared" si="77"/>
        <v>0</v>
      </c>
      <c r="X196" s="217">
        <f t="shared" si="78"/>
        <v>0</v>
      </c>
      <c r="Y196" s="217">
        <f t="shared" si="79"/>
        <v>0</v>
      </c>
      <c r="Z196" s="217">
        <f t="shared" si="80"/>
        <v>0</v>
      </c>
      <c r="AA196" s="217"/>
      <c r="AB196" s="217">
        <f t="shared" si="81"/>
        <v>8.1284586773110767</v>
      </c>
      <c r="AC196" s="217">
        <f t="shared" si="82"/>
        <v>7.1124013426471926</v>
      </c>
    </row>
    <row r="197" spans="1:29" ht="33.75">
      <c r="A197" s="206">
        <v>598</v>
      </c>
      <c r="B197" s="194" t="s">
        <v>466</v>
      </c>
      <c r="C197" s="198">
        <v>105</v>
      </c>
      <c r="D197" s="198">
        <v>76</v>
      </c>
      <c r="E197" s="198">
        <v>36</v>
      </c>
      <c r="F197" s="198">
        <v>35</v>
      </c>
      <c r="G197" s="198">
        <v>37</v>
      </c>
      <c r="H197" s="198">
        <v>6</v>
      </c>
      <c r="I197" s="198">
        <v>16</v>
      </c>
      <c r="J197" s="198">
        <v>14</v>
      </c>
      <c r="K197" s="198">
        <v>9</v>
      </c>
      <c r="L197" s="198">
        <v>86</v>
      </c>
      <c r="M197" s="200"/>
      <c r="N197" s="198">
        <v>94</v>
      </c>
      <c r="O197" s="198">
        <v>32</v>
      </c>
      <c r="Q197" s="219">
        <f t="shared" si="71"/>
        <v>106.68602013970789</v>
      </c>
      <c r="R197" s="219">
        <f t="shared" si="72"/>
        <v>77.220357434455238</v>
      </c>
      <c r="S197" s="219">
        <f t="shared" si="73"/>
        <v>36.578064047899851</v>
      </c>
      <c r="T197" s="219">
        <f t="shared" si="74"/>
        <v>35.562006713235959</v>
      </c>
      <c r="U197" s="219">
        <f t="shared" si="75"/>
        <v>37.594121382563735</v>
      </c>
      <c r="V197" s="219">
        <f t="shared" si="76"/>
        <v>6.0963440079833076</v>
      </c>
      <c r="W197" s="216">
        <f t="shared" si="77"/>
        <v>16.256917354622153</v>
      </c>
      <c r="X197" s="217">
        <f t="shared" si="78"/>
        <v>14.224802685294385</v>
      </c>
      <c r="Y197" s="217">
        <f t="shared" si="79"/>
        <v>9.1445160119749627</v>
      </c>
      <c r="Z197" s="217">
        <f t="shared" si="80"/>
        <v>87.380930781094079</v>
      </c>
      <c r="AA197" s="217"/>
      <c r="AB197" s="217">
        <f t="shared" si="81"/>
        <v>95.509389458405153</v>
      </c>
      <c r="AC197" s="217">
        <f t="shared" si="82"/>
        <v>32.513834709244307</v>
      </c>
    </row>
    <row r="198" spans="1:29" ht="22.5">
      <c r="A198" s="206">
        <v>599</v>
      </c>
      <c r="B198" s="194" t="s">
        <v>467</v>
      </c>
      <c r="C198" s="198">
        <v>14</v>
      </c>
      <c r="D198" s="198">
        <v>9</v>
      </c>
      <c r="E198" s="198">
        <v>7</v>
      </c>
      <c r="F198" s="198">
        <v>3</v>
      </c>
      <c r="G198" s="198">
        <v>3</v>
      </c>
      <c r="H198" s="200"/>
      <c r="I198" s="198">
        <v>2</v>
      </c>
      <c r="J198" s="198">
        <v>7</v>
      </c>
      <c r="K198" s="198">
        <v>2</v>
      </c>
      <c r="L198" s="198">
        <v>11</v>
      </c>
      <c r="M198" s="200"/>
      <c r="N198" s="198">
        <v>5</v>
      </c>
      <c r="O198" s="198">
        <v>3</v>
      </c>
      <c r="Q198" s="219">
        <f t="shared" si="71"/>
        <v>14.224802685294385</v>
      </c>
      <c r="R198" s="219">
        <f t="shared" si="72"/>
        <v>9.1445160119749627</v>
      </c>
      <c r="S198" s="219">
        <f t="shared" si="73"/>
        <v>7.1124013426471926</v>
      </c>
      <c r="T198" s="219">
        <f t="shared" si="74"/>
        <v>3.0481720039916538</v>
      </c>
      <c r="U198" s="219">
        <f t="shared" si="75"/>
        <v>3.0481720039916538</v>
      </c>
      <c r="V198" s="219"/>
      <c r="W198" s="216">
        <f t="shared" si="77"/>
        <v>2.0321146693277692</v>
      </c>
      <c r="X198" s="217">
        <f t="shared" si="78"/>
        <v>7.1124013426471926</v>
      </c>
      <c r="Y198" s="217">
        <f t="shared" si="79"/>
        <v>2.0321146693277692</v>
      </c>
      <c r="Z198" s="217">
        <f t="shared" si="80"/>
        <v>11.176630681302731</v>
      </c>
      <c r="AA198" s="217"/>
      <c r="AB198" s="217">
        <f t="shared" si="81"/>
        <v>5.0802866733194234</v>
      </c>
      <c r="AC198" s="217">
        <f t="shared" si="82"/>
        <v>3.0481720039916538</v>
      </c>
    </row>
    <row r="199" spans="1:29">
      <c r="A199" s="199"/>
      <c r="B199" s="199"/>
      <c r="C199" s="200"/>
      <c r="D199" s="200"/>
      <c r="E199" s="200"/>
      <c r="F199" s="200"/>
      <c r="G199" s="200"/>
      <c r="H199" s="200"/>
      <c r="I199" s="200"/>
      <c r="J199" s="200"/>
      <c r="K199" s="200"/>
      <c r="L199" s="200"/>
      <c r="M199" s="200"/>
      <c r="N199" s="200"/>
      <c r="O199" s="200"/>
      <c r="Q199" s="219">
        <f t="shared" si="71"/>
        <v>0</v>
      </c>
      <c r="R199" s="219">
        <f t="shared" si="72"/>
        <v>0</v>
      </c>
      <c r="S199" s="219">
        <f t="shared" si="73"/>
        <v>0</v>
      </c>
      <c r="T199" s="219">
        <f t="shared" si="74"/>
        <v>0</v>
      </c>
      <c r="U199" s="219">
        <f t="shared" si="75"/>
        <v>0</v>
      </c>
      <c r="V199" s="219">
        <f t="shared" si="76"/>
        <v>0</v>
      </c>
      <c r="W199" s="216">
        <f t="shared" si="77"/>
        <v>0</v>
      </c>
      <c r="X199" s="217">
        <f t="shared" si="78"/>
        <v>0</v>
      </c>
      <c r="Y199" s="217">
        <f t="shared" si="79"/>
        <v>0</v>
      </c>
      <c r="Z199" s="217">
        <f t="shared" si="80"/>
        <v>0</v>
      </c>
      <c r="AA199" s="217"/>
      <c r="AB199" s="217">
        <f t="shared" si="81"/>
        <v>0</v>
      </c>
      <c r="AC199" s="217">
        <f t="shared" si="82"/>
        <v>0</v>
      </c>
    </row>
    <row r="200" spans="1:29">
      <c r="A200" s="630" t="s">
        <v>939</v>
      </c>
      <c r="B200" s="630"/>
      <c r="C200" s="201">
        <v>1181</v>
      </c>
      <c r="D200" s="198">
        <v>960</v>
      </c>
      <c r="E200" s="198">
        <v>649</v>
      </c>
      <c r="F200" s="198">
        <v>619</v>
      </c>
      <c r="G200" s="198">
        <v>610</v>
      </c>
      <c r="H200" s="198">
        <v>374</v>
      </c>
      <c r="I200" s="198">
        <v>382</v>
      </c>
      <c r="J200" s="198">
        <v>339</v>
      </c>
      <c r="K200" s="198">
        <v>271</v>
      </c>
      <c r="L200" s="198">
        <v>983</v>
      </c>
      <c r="M200" s="198">
        <v>848</v>
      </c>
      <c r="N200" s="198">
        <v>937</v>
      </c>
      <c r="O200" s="198">
        <v>493</v>
      </c>
      <c r="Q200" s="219">
        <f t="shared" si="71"/>
        <v>1199.9637122380477</v>
      </c>
      <c r="R200" s="219">
        <f t="shared" si="72"/>
        <v>975.41504127732924</v>
      </c>
      <c r="S200" s="219">
        <f t="shared" si="73"/>
        <v>659.42121019686113</v>
      </c>
      <c r="T200" s="219">
        <f t="shared" si="74"/>
        <v>628.93949015694454</v>
      </c>
      <c r="U200" s="219">
        <f t="shared" si="75"/>
        <v>619.79497414496961</v>
      </c>
      <c r="V200" s="219">
        <f t="shared" si="76"/>
        <v>380.00544316429284</v>
      </c>
      <c r="W200" s="216">
        <f t="shared" si="77"/>
        <v>388.13390184160392</v>
      </c>
      <c r="X200" s="217">
        <f t="shared" si="78"/>
        <v>344.44343645105687</v>
      </c>
      <c r="Y200" s="217">
        <f t="shared" si="79"/>
        <v>275.35153769391275</v>
      </c>
      <c r="Z200" s="217">
        <f t="shared" si="80"/>
        <v>998.7843599745986</v>
      </c>
      <c r="AA200" s="217">
        <f t="shared" ref="AA200:AA236" si="83">M200*2240/2204.6</f>
        <v>861.61661979497421</v>
      </c>
      <c r="AB200" s="217">
        <f t="shared" si="81"/>
        <v>952.04572258005987</v>
      </c>
      <c r="AC200" s="217">
        <f t="shared" si="82"/>
        <v>500.91626598929514</v>
      </c>
    </row>
    <row r="201" spans="1:29">
      <c r="Q201" s="219"/>
      <c r="R201" s="219"/>
      <c r="S201" s="219"/>
      <c r="T201" s="219"/>
      <c r="U201" s="219"/>
      <c r="V201" s="219"/>
      <c r="W201" s="216"/>
      <c r="X201" s="217"/>
      <c r="Y201" s="217"/>
      <c r="Z201" s="217"/>
      <c r="AA201" s="217"/>
      <c r="AB201" s="217"/>
      <c r="AC201" s="217"/>
    </row>
    <row r="202" spans="1:29">
      <c r="A202" s="630" t="s">
        <v>940</v>
      </c>
      <c r="B202" s="630"/>
      <c r="C202" s="202" t="s">
        <v>834</v>
      </c>
      <c r="D202" s="202" t="s">
        <v>835</v>
      </c>
      <c r="E202" s="202" t="s">
        <v>836</v>
      </c>
      <c r="F202" s="202" t="s">
        <v>837</v>
      </c>
      <c r="G202" s="202" t="s">
        <v>838</v>
      </c>
      <c r="H202" s="202" t="s">
        <v>839</v>
      </c>
      <c r="I202" s="202" t="s">
        <v>840</v>
      </c>
      <c r="J202" s="202" t="s">
        <v>841</v>
      </c>
      <c r="K202" s="202" t="s">
        <v>842</v>
      </c>
      <c r="L202" s="202" t="s">
        <v>843</v>
      </c>
      <c r="M202" s="202" t="s">
        <v>844</v>
      </c>
      <c r="N202" s="202" t="s">
        <v>845</v>
      </c>
      <c r="O202" s="202" t="s">
        <v>846</v>
      </c>
      <c r="Q202" s="219"/>
      <c r="R202" s="219"/>
      <c r="S202" s="219"/>
      <c r="T202" s="219"/>
      <c r="U202" s="219"/>
      <c r="V202" s="219"/>
      <c r="W202" s="216"/>
      <c r="X202" s="217"/>
      <c r="Y202" s="217"/>
      <c r="Z202" s="217"/>
      <c r="AA202" s="217"/>
      <c r="AB202" s="217"/>
      <c r="AC202" s="217"/>
    </row>
    <row r="203" spans="1:29">
      <c r="A203" s="207">
        <v>610</v>
      </c>
      <c r="B203" s="190" t="s">
        <v>468</v>
      </c>
      <c r="C203" s="198">
        <v>24</v>
      </c>
      <c r="D203" s="208">
        <v>30</v>
      </c>
      <c r="E203" s="198">
        <v>16</v>
      </c>
      <c r="F203" s="198">
        <v>22</v>
      </c>
      <c r="G203" s="198">
        <v>10</v>
      </c>
      <c r="H203" s="198">
        <v>12</v>
      </c>
      <c r="I203" s="198">
        <v>13</v>
      </c>
      <c r="J203" s="198">
        <v>7</v>
      </c>
      <c r="K203" s="198">
        <v>6</v>
      </c>
      <c r="L203" s="198">
        <v>12</v>
      </c>
      <c r="M203" s="198">
        <v>15</v>
      </c>
      <c r="N203" s="198">
        <v>14</v>
      </c>
      <c r="O203" s="198">
        <v>10</v>
      </c>
      <c r="Q203" s="219">
        <f t="shared" si="71"/>
        <v>24.38537603193323</v>
      </c>
      <c r="R203" s="219">
        <f t="shared" si="72"/>
        <v>30.481720039916539</v>
      </c>
      <c r="S203" s="219">
        <f t="shared" si="73"/>
        <v>16.256917354622153</v>
      </c>
      <c r="T203" s="219">
        <f t="shared" si="74"/>
        <v>22.353261362605462</v>
      </c>
      <c r="U203" s="219">
        <f t="shared" si="75"/>
        <v>10.160573346638847</v>
      </c>
      <c r="V203" s="219">
        <f t="shared" si="76"/>
        <v>12.192688015966615</v>
      </c>
      <c r="W203" s="216">
        <f t="shared" si="77"/>
        <v>13.208745350630501</v>
      </c>
      <c r="X203" s="217">
        <f t="shared" si="78"/>
        <v>7.1124013426471926</v>
      </c>
      <c r="Y203" s="217">
        <f t="shared" si="79"/>
        <v>6.0963440079833076</v>
      </c>
      <c r="Z203" s="217">
        <f t="shared" si="80"/>
        <v>12.192688015966615</v>
      </c>
      <c r="AA203" s="217">
        <f t="shared" si="83"/>
        <v>15.240860019958269</v>
      </c>
      <c r="AB203" s="217">
        <f t="shared" si="81"/>
        <v>14.224802685294385</v>
      </c>
      <c r="AC203" s="217">
        <f t="shared" si="82"/>
        <v>10.160573346638847</v>
      </c>
    </row>
    <row r="204" spans="1:29" ht="22.5">
      <c r="A204" s="206">
        <v>621</v>
      </c>
      <c r="B204" s="194" t="s">
        <v>470</v>
      </c>
      <c r="C204" s="198">
        <v>111</v>
      </c>
      <c r="D204" s="198">
        <v>55</v>
      </c>
      <c r="E204" s="198">
        <v>29</v>
      </c>
      <c r="F204" s="198">
        <v>34</v>
      </c>
      <c r="G204" s="198">
        <v>31</v>
      </c>
      <c r="H204" s="198">
        <v>14</v>
      </c>
      <c r="I204" s="198">
        <v>13</v>
      </c>
      <c r="J204" s="198">
        <v>12</v>
      </c>
      <c r="K204" s="198">
        <v>7</v>
      </c>
      <c r="L204" s="198">
        <v>38</v>
      </c>
      <c r="M204" s="198">
        <v>41</v>
      </c>
      <c r="N204" s="198">
        <v>36</v>
      </c>
      <c r="O204" s="198">
        <v>19</v>
      </c>
      <c r="Q204" s="219">
        <f t="shared" si="71"/>
        <v>112.7823641476912</v>
      </c>
      <c r="R204" s="219">
        <f t="shared" si="72"/>
        <v>55.883153406513657</v>
      </c>
      <c r="S204" s="219">
        <f t="shared" si="73"/>
        <v>29.465662705252655</v>
      </c>
      <c r="T204" s="219">
        <f t="shared" si="74"/>
        <v>34.545949378572075</v>
      </c>
      <c r="U204" s="219">
        <f t="shared" si="75"/>
        <v>31.497777374580423</v>
      </c>
      <c r="V204" s="219">
        <f t="shared" si="76"/>
        <v>14.224802685294385</v>
      </c>
      <c r="W204" s="216">
        <f t="shared" si="77"/>
        <v>13.208745350630501</v>
      </c>
      <c r="X204" s="217">
        <f t="shared" si="78"/>
        <v>12.192688015966615</v>
      </c>
      <c r="Y204" s="217">
        <f t="shared" si="79"/>
        <v>7.1124013426471926</v>
      </c>
      <c r="Z204" s="217">
        <f t="shared" si="80"/>
        <v>38.610178717227619</v>
      </c>
      <c r="AA204" s="217">
        <f t="shared" si="83"/>
        <v>41.658350721219271</v>
      </c>
      <c r="AB204" s="217">
        <f t="shared" si="81"/>
        <v>36.578064047899851</v>
      </c>
      <c r="AC204" s="217">
        <f t="shared" si="82"/>
        <v>19.305089358613809</v>
      </c>
    </row>
    <row r="205" spans="1:29" ht="22.5">
      <c r="A205" s="206">
        <v>622</v>
      </c>
      <c r="B205" s="194" t="s">
        <v>471</v>
      </c>
      <c r="C205" s="198">
        <v>109</v>
      </c>
      <c r="D205" s="198">
        <v>86</v>
      </c>
      <c r="E205" s="198">
        <v>19</v>
      </c>
      <c r="F205" s="198">
        <v>25</v>
      </c>
      <c r="G205" s="198">
        <v>22</v>
      </c>
      <c r="H205" s="198">
        <v>31</v>
      </c>
      <c r="I205" s="198">
        <v>21</v>
      </c>
      <c r="J205" s="198">
        <v>12</v>
      </c>
      <c r="K205" s="198">
        <v>12</v>
      </c>
      <c r="L205" s="198">
        <v>48</v>
      </c>
      <c r="M205" s="198">
        <v>78</v>
      </c>
      <c r="N205" s="198">
        <v>50</v>
      </c>
      <c r="O205" s="198">
        <v>36</v>
      </c>
      <c r="Q205" s="219">
        <f t="shared" si="71"/>
        <v>110.75024947836343</v>
      </c>
      <c r="R205" s="219">
        <f t="shared" si="72"/>
        <v>87.380930781094079</v>
      </c>
      <c r="S205" s="219">
        <f t="shared" si="73"/>
        <v>19.305089358613809</v>
      </c>
      <c r="T205" s="219">
        <f t="shared" si="74"/>
        <v>25.401433366597118</v>
      </c>
      <c r="U205" s="219">
        <f t="shared" si="75"/>
        <v>22.353261362605462</v>
      </c>
      <c r="V205" s="219">
        <f t="shared" si="76"/>
        <v>31.497777374580423</v>
      </c>
      <c r="W205" s="216">
        <f t="shared" si="77"/>
        <v>21.337204027941578</v>
      </c>
      <c r="X205" s="217">
        <f t="shared" si="78"/>
        <v>12.192688015966615</v>
      </c>
      <c r="Y205" s="217">
        <f t="shared" si="79"/>
        <v>12.192688015966615</v>
      </c>
      <c r="Z205" s="217">
        <f t="shared" si="80"/>
        <v>48.77075206386646</v>
      </c>
      <c r="AA205" s="217">
        <f t="shared" si="83"/>
        <v>79.252472103783006</v>
      </c>
      <c r="AB205" s="217">
        <f t="shared" si="81"/>
        <v>50.802866733194236</v>
      </c>
      <c r="AC205" s="217">
        <f t="shared" si="82"/>
        <v>36.578064047899851</v>
      </c>
    </row>
    <row r="206" spans="1:29">
      <c r="A206" s="206">
        <v>623</v>
      </c>
      <c r="B206" s="194" t="s">
        <v>472</v>
      </c>
      <c r="C206" s="198">
        <v>9</v>
      </c>
      <c r="D206" s="198">
        <v>12</v>
      </c>
      <c r="E206" s="198">
        <v>36</v>
      </c>
      <c r="F206" s="198">
        <v>7</v>
      </c>
      <c r="G206" s="198">
        <v>6</v>
      </c>
      <c r="H206" s="198">
        <v>7</v>
      </c>
      <c r="I206" s="198">
        <v>7</v>
      </c>
      <c r="J206" s="198">
        <v>5</v>
      </c>
      <c r="K206" s="198">
        <v>5</v>
      </c>
      <c r="L206" s="198">
        <v>11</v>
      </c>
      <c r="M206" s="198">
        <v>9</v>
      </c>
      <c r="N206" s="198">
        <v>12</v>
      </c>
      <c r="O206" s="198">
        <v>7</v>
      </c>
      <c r="Q206" s="219">
        <f t="shared" si="71"/>
        <v>9.1445160119749627</v>
      </c>
      <c r="R206" s="219">
        <f t="shared" si="72"/>
        <v>12.192688015966615</v>
      </c>
      <c r="S206" s="219">
        <f t="shared" si="73"/>
        <v>36.578064047899851</v>
      </c>
      <c r="T206" s="219">
        <f t="shared" si="74"/>
        <v>7.1124013426471926</v>
      </c>
      <c r="U206" s="219">
        <f t="shared" si="75"/>
        <v>6.0963440079833076</v>
      </c>
      <c r="V206" s="219">
        <f t="shared" si="76"/>
        <v>7.1124013426471926</v>
      </c>
      <c r="W206" s="216">
        <f t="shared" si="77"/>
        <v>7.1124013426471926</v>
      </c>
      <c r="X206" s="217">
        <f t="shared" si="78"/>
        <v>5.0802866733194234</v>
      </c>
      <c r="Y206" s="217">
        <f t="shared" si="79"/>
        <v>5.0802866733194234</v>
      </c>
      <c r="Z206" s="217">
        <f t="shared" si="80"/>
        <v>11.176630681302731</v>
      </c>
      <c r="AA206" s="217">
        <f t="shared" si="83"/>
        <v>9.1445160119749627</v>
      </c>
      <c r="AB206" s="217">
        <f t="shared" si="81"/>
        <v>12.192688015966615</v>
      </c>
      <c r="AC206" s="217">
        <f t="shared" si="82"/>
        <v>7.1124013426471926</v>
      </c>
    </row>
    <row r="207" spans="1:29" ht="22.5">
      <c r="A207" s="206">
        <v>624</v>
      </c>
      <c r="B207" s="194" t="s">
        <v>473</v>
      </c>
      <c r="C207" s="198">
        <v>10</v>
      </c>
      <c r="D207" s="198">
        <v>10</v>
      </c>
      <c r="E207" s="198">
        <v>3</v>
      </c>
      <c r="F207" s="198">
        <v>5</v>
      </c>
      <c r="G207" s="198">
        <v>6</v>
      </c>
      <c r="H207" s="198">
        <v>8</v>
      </c>
      <c r="I207" s="198">
        <v>4</v>
      </c>
      <c r="J207" s="198">
        <v>4</v>
      </c>
      <c r="K207" s="198">
        <v>2</v>
      </c>
      <c r="L207" s="198">
        <v>7</v>
      </c>
      <c r="M207" s="198">
        <v>8</v>
      </c>
      <c r="N207" s="198">
        <v>6</v>
      </c>
      <c r="O207" s="198">
        <v>5</v>
      </c>
      <c r="Q207" s="219">
        <f t="shared" si="71"/>
        <v>10.160573346638847</v>
      </c>
      <c r="R207" s="219">
        <f t="shared" si="72"/>
        <v>10.160573346638847</v>
      </c>
      <c r="S207" s="219">
        <f t="shared" si="73"/>
        <v>3.0481720039916538</v>
      </c>
      <c r="T207" s="219">
        <f t="shared" si="74"/>
        <v>5.0802866733194234</v>
      </c>
      <c r="U207" s="219">
        <f t="shared" si="75"/>
        <v>6.0963440079833076</v>
      </c>
      <c r="V207" s="219">
        <f t="shared" si="76"/>
        <v>8.1284586773110767</v>
      </c>
      <c r="W207" s="216">
        <f t="shared" si="77"/>
        <v>4.0642293386555384</v>
      </c>
      <c r="X207" s="217">
        <f t="shared" si="78"/>
        <v>4.0642293386555384</v>
      </c>
      <c r="Y207" s="217">
        <f t="shared" si="79"/>
        <v>2.0321146693277692</v>
      </c>
      <c r="Z207" s="217">
        <f t="shared" si="80"/>
        <v>7.1124013426471926</v>
      </c>
      <c r="AA207" s="217">
        <f t="shared" si="83"/>
        <v>8.1284586773110767</v>
      </c>
      <c r="AB207" s="217">
        <f t="shared" si="81"/>
        <v>6.0963440079833076</v>
      </c>
      <c r="AC207" s="217">
        <f t="shared" si="82"/>
        <v>5.0802866733194234</v>
      </c>
    </row>
    <row r="208" spans="1:29" ht="22.5">
      <c r="A208" s="206">
        <v>625</v>
      </c>
      <c r="B208" s="194" t="s">
        <v>474</v>
      </c>
      <c r="C208" s="198">
        <v>2</v>
      </c>
      <c r="D208" s="198">
        <v>2</v>
      </c>
      <c r="E208" s="198">
        <v>2</v>
      </c>
      <c r="F208" s="198">
        <v>1</v>
      </c>
      <c r="G208" s="198">
        <v>1</v>
      </c>
      <c r="H208" s="198">
        <v>2</v>
      </c>
      <c r="I208" s="198">
        <v>1</v>
      </c>
      <c r="J208" s="198">
        <v>1</v>
      </c>
      <c r="K208" s="198">
        <v>2</v>
      </c>
      <c r="L208" s="198">
        <v>1</v>
      </c>
      <c r="M208" s="198">
        <v>2</v>
      </c>
      <c r="N208" s="198">
        <v>2</v>
      </c>
      <c r="O208" s="198">
        <v>1</v>
      </c>
      <c r="Q208" s="219">
        <f t="shared" si="71"/>
        <v>2.0321146693277692</v>
      </c>
      <c r="R208" s="219">
        <f t="shared" si="72"/>
        <v>2.0321146693277692</v>
      </c>
      <c r="S208" s="219">
        <f t="shared" si="73"/>
        <v>2.0321146693277692</v>
      </c>
      <c r="T208" s="219">
        <f t="shared" si="74"/>
        <v>1.0160573346638846</v>
      </c>
      <c r="U208" s="219">
        <f t="shared" si="75"/>
        <v>1.0160573346638846</v>
      </c>
      <c r="V208" s="219">
        <f t="shared" si="76"/>
        <v>2.0321146693277692</v>
      </c>
      <c r="W208" s="216">
        <f t="shared" si="77"/>
        <v>1.0160573346638846</v>
      </c>
      <c r="X208" s="217">
        <f t="shared" si="78"/>
        <v>1.0160573346638846</v>
      </c>
      <c r="Y208" s="217">
        <f t="shared" si="79"/>
        <v>2.0321146693277692</v>
      </c>
      <c r="Z208" s="217">
        <f t="shared" si="80"/>
        <v>1.0160573346638846</v>
      </c>
      <c r="AA208" s="217">
        <f t="shared" si="83"/>
        <v>2.0321146693277692</v>
      </c>
      <c r="AB208" s="217">
        <f t="shared" si="81"/>
        <v>2.0321146693277692</v>
      </c>
      <c r="AC208" s="217">
        <f t="shared" si="82"/>
        <v>1.0160573346638846</v>
      </c>
    </row>
    <row r="209" spans="1:29">
      <c r="A209" s="206">
        <v>631</v>
      </c>
      <c r="B209" s="194" t="s">
        <v>476</v>
      </c>
      <c r="C209" s="198">
        <v>64</v>
      </c>
      <c r="D209" s="198">
        <v>58</v>
      </c>
      <c r="E209" s="198">
        <v>63</v>
      </c>
      <c r="F209" s="198">
        <v>49</v>
      </c>
      <c r="G209" s="198">
        <v>46</v>
      </c>
      <c r="H209" s="198">
        <v>67</v>
      </c>
      <c r="I209" s="198">
        <v>19</v>
      </c>
      <c r="J209" s="198">
        <v>30</v>
      </c>
      <c r="K209" s="198">
        <v>20</v>
      </c>
      <c r="L209" s="198">
        <v>76</v>
      </c>
      <c r="M209" s="198">
        <v>65</v>
      </c>
      <c r="N209" s="198">
        <v>50</v>
      </c>
      <c r="O209" s="198">
        <v>18</v>
      </c>
      <c r="Q209" s="219">
        <f t="shared" si="71"/>
        <v>65.027669418488614</v>
      </c>
      <c r="R209" s="219">
        <f t="shared" si="72"/>
        <v>58.931325410505309</v>
      </c>
      <c r="S209" s="219">
        <f t="shared" si="73"/>
        <v>64.01161208382473</v>
      </c>
      <c r="T209" s="219">
        <f t="shared" si="74"/>
        <v>49.786809398530345</v>
      </c>
      <c r="U209" s="219">
        <f t="shared" si="75"/>
        <v>46.738637394538692</v>
      </c>
      <c r="V209" s="219">
        <f t="shared" si="76"/>
        <v>68.075841422480266</v>
      </c>
      <c r="W209" s="216">
        <f t="shared" si="77"/>
        <v>19.305089358613809</v>
      </c>
      <c r="X209" s="217">
        <f t="shared" si="78"/>
        <v>30.481720039916539</v>
      </c>
      <c r="Y209" s="217">
        <f t="shared" si="79"/>
        <v>20.321146693277694</v>
      </c>
      <c r="Z209" s="217">
        <f t="shared" si="80"/>
        <v>77.220357434455238</v>
      </c>
      <c r="AA209" s="217">
        <f t="shared" si="83"/>
        <v>66.043726753152498</v>
      </c>
      <c r="AB209" s="217">
        <f t="shared" si="81"/>
        <v>50.802866733194236</v>
      </c>
      <c r="AC209" s="217">
        <f t="shared" si="82"/>
        <v>18.289032023949925</v>
      </c>
    </row>
    <row r="210" spans="1:29" ht="22.5">
      <c r="A210" s="206">
        <v>633</v>
      </c>
      <c r="B210" s="194" t="s">
        <v>477</v>
      </c>
      <c r="C210" s="198">
        <v>2</v>
      </c>
      <c r="D210" s="200"/>
      <c r="E210" s="200"/>
      <c r="F210" s="198">
        <v>2</v>
      </c>
      <c r="G210" s="198">
        <v>1</v>
      </c>
      <c r="H210" s="200"/>
      <c r="I210" s="198">
        <v>1</v>
      </c>
      <c r="J210" s="198">
        <v>1</v>
      </c>
      <c r="K210" s="198">
        <v>1</v>
      </c>
      <c r="L210" s="198">
        <v>13</v>
      </c>
      <c r="M210" s="198">
        <v>13</v>
      </c>
      <c r="N210" s="198">
        <v>4</v>
      </c>
      <c r="O210" s="198">
        <v>2</v>
      </c>
      <c r="Q210" s="219">
        <f t="shared" si="71"/>
        <v>2.0321146693277692</v>
      </c>
      <c r="R210" s="219"/>
      <c r="S210" s="219"/>
      <c r="T210" s="219">
        <f t="shared" si="74"/>
        <v>2.0321146693277692</v>
      </c>
      <c r="U210" s="219">
        <f t="shared" si="75"/>
        <v>1.0160573346638846</v>
      </c>
      <c r="V210" s="219"/>
      <c r="W210" s="216">
        <f t="shared" si="77"/>
        <v>1.0160573346638846</v>
      </c>
      <c r="X210" s="217">
        <f t="shared" si="78"/>
        <v>1.0160573346638846</v>
      </c>
      <c r="Y210" s="217">
        <f t="shared" si="79"/>
        <v>1.0160573346638846</v>
      </c>
      <c r="Z210" s="217">
        <f t="shared" si="80"/>
        <v>13.208745350630501</v>
      </c>
      <c r="AA210" s="217">
        <f t="shared" si="83"/>
        <v>13.208745350630501</v>
      </c>
      <c r="AB210" s="217">
        <f t="shared" si="81"/>
        <v>4.0642293386555384</v>
      </c>
      <c r="AC210" s="217">
        <f t="shared" si="82"/>
        <v>2.0321146693277692</v>
      </c>
    </row>
    <row r="211" spans="1:29">
      <c r="A211" s="206">
        <v>634</v>
      </c>
      <c r="B211" s="194" t="s">
        <v>478</v>
      </c>
      <c r="C211" s="198">
        <v>49</v>
      </c>
      <c r="D211" s="198">
        <v>48</v>
      </c>
      <c r="E211" s="198">
        <v>41</v>
      </c>
      <c r="F211" s="198">
        <v>22</v>
      </c>
      <c r="G211" s="198">
        <v>17</v>
      </c>
      <c r="H211" s="198">
        <v>11</v>
      </c>
      <c r="I211" s="198">
        <v>18</v>
      </c>
      <c r="J211" s="198">
        <v>18</v>
      </c>
      <c r="K211" s="198">
        <v>17</v>
      </c>
      <c r="L211" s="198">
        <v>48</v>
      </c>
      <c r="M211" s="198">
        <v>51</v>
      </c>
      <c r="N211" s="198">
        <v>56</v>
      </c>
      <c r="O211" s="198">
        <v>16</v>
      </c>
      <c r="Q211" s="219">
        <f t="shared" si="71"/>
        <v>49.786809398530345</v>
      </c>
      <c r="R211" s="219">
        <f t="shared" si="72"/>
        <v>48.77075206386646</v>
      </c>
      <c r="S211" s="219">
        <f t="shared" si="73"/>
        <v>41.658350721219271</v>
      </c>
      <c r="T211" s="219">
        <f t="shared" si="74"/>
        <v>22.353261362605462</v>
      </c>
      <c r="U211" s="219">
        <f t="shared" si="75"/>
        <v>17.272974689286038</v>
      </c>
      <c r="V211" s="219">
        <f t="shared" si="76"/>
        <v>11.176630681302731</v>
      </c>
      <c r="W211" s="216">
        <f t="shared" si="77"/>
        <v>18.289032023949925</v>
      </c>
      <c r="X211" s="217">
        <f t="shared" si="78"/>
        <v>18.289032023949925</v>
      </c>
      <c r="Y211" s="217">
        <f t="shared" si="79"/>
        <v>17.272974689286038</v>
      </c>
      <c r="Z211" s="217">
        <f t="shared" si="80"/>
        <v>48.77075206386646</v>
      </c>
      <c r="AA211" s="217">
        <f t="shared" si="83"/>
        <v>51.81892406785812</v>
      </c>
      <c r="AB211" s="217">
        <f t="shared" si="81"/>
        <v>56.899210741177541</v>
      </c>
      <c r="AC211" s="217">
        <f t="shared" si="82"/>
        <v>16.256917354622153</v>
      </c>
    </row>
    <row r="212" spans="1:29" ht="33.75">
      <c r="A212" s="194" t="s">
        <v>479</v>
      </c>
      <c r="B212" s="194" t="s">
        <v>480</v>
      </c>
      <c r="C212" s="198">
        <v>155</v>
      </c>
      <c r="D212" s="198">
        <v>116</v>
      </c>
      <c r="E212" s="198">
        <v>96</v>
      </c>
      <c r="F212" s="198">
        <v>87</v>
      </c>
      <c r="G212" s="198">
        <v>60</v>
      </c>
      <c r="H212" s="198">
        <v>50</v>
      </c>
      <c r="I212" s="198">
        <v>68</v>
      </c>
      <c r="J212" s="198">
        <v>23</v>
      </c>
      <c r="K212" s="198">
        <v>15</v>
      </c>
      <c r="L212" s="198">
        <v>114</v>
      </c>
      <c r="M212" s="198">
        <v>142</v>
      </c>
      <c r="N212" s="198">
        <v>87</v>
      </c>
      <c r="O212" s="198">
        <v>68</v>
      </c>
      <c r="Q212" s="219">
        <f t="shared" si="71"/>
        <v>157.48888687290213</v>
      </c>
      <c r="R212" s="219">
        <f t="shared" si="72"/>
        <v>117.86265082101062</v>
      </c>
      <c r="S212" s="219">
        <f t="shared" si="73"/>
        <v>97.541504127732921</v>
      </c>
      <c r="T212" s="219">
        <f t="shared" si="74"/>
        <v>88.396988115757964</v>
      </c>
      <c r="U212" s="219">
        <f t="shared" si="75"/>
        <v>60.963440079833077</v>
      </c>
      <c r="V212" s="219">
        <f t="shared" si="76"/>
        <v>50.802866733194236</v>
      </c>
      <c r="W212" s="216">
        <f t="shared" si="77"/>
        <v>69.091898757144151</v>
      </c>
      <c r="X212" s="217">
        <f t="shared" si="78"/>
        <v>23.369318697269346</v>
      </c>
      <c r="Y212" s="217">
        <f t="shared" si="79"/>
        <v>15.240860019958269</v>
      </c>
      <c r="Z212" s="217">
        <f t="shared" si="80"/>
        <v>115.83053615168285</v>
      </c>
      <c r="AA212" s="217">
        <f t="shared" si="83"/>
        <v>144.28014152227161</v>
      </c>
      <c r="AB212" s="217">
        <f t="shared" si="81"/>
        <v>88.396988115757964</v>
      </c>
      <c r="AC212" s="217">
        <f t="shared" si="82"/>
        <v>69.091898757144151</v>
      </c>
    </row>
    <row r="213" spans="1:29" ht="22.5">
      <c r="A213" s="206">
        <v>638</v>
      </c>
      <c r="B213" s="194" t="s">
        <v>481</v>
      </c>
      <c r="C213" s="198">
        <v>9</v>
      </c>
      <c r="D213" s="198">
        <v>14</v>
      </c>
      <c r="E213" s="200"/>
      <c r="F213" s="200"/>
      <c r="G213" s="200"/>
      <c r="H213" s="200"/>
      <c r="I213" s="198">
        <v>2</v>
      </c>
      <c r="J213" s="198">
        <v>5</v>
      </c>
      <c r="K213" s="200"/>
      <c r="L213" s="198">
        <v>8</v>
      </c>
      <c r="M213" s="198">
        <v>10</v>
      </c>
      <c r="N213" s="198">
        <v>8</v>
      </c>
      <c r="O213" s="198">
        <v>6</v>
      </c>
      <c r="Q213" s="219">
        <f t="shared" si="71"/>
        <v>9.1445160119749627</v>
      </c>
      <c r="R213" s="219">
        <f t="shared" si="72"/>
        <v>14.224802685294385</v>
      </c>
      <c r="S213" s="219"/>
      <c r="T213" s="219"/>
      <c r="U213" s="219"/>
      <c r="V213" s="219"/>
      <c r="W213" s="216">
        <f t="shared" si="77"/>
        <v>2.0321146693277692</v>
      </c>
      <c r="X213" s="217">
        <f t="shared" si="78"/>
        <v>5.0802866733194234</v>
      </c>
      <c r="Y213" s="217"/>
      <c r="Z213" s="217">
        <f t="shared" si="80"/>
        <v>8.1284586773110767</v>
      </c>
      <c r="AA213" s="217">
        <f t="shared" si="83"/>
        <v>10.160573346638847</v>
      </c>
      <c r="AB213" s="217">
        <f t="shared" si="81"/>
        <v>8.1284586773110767</v>
      </c>
      <c r="AC213" s="217">
        <f t="shared" si="82"/>
        <v>6.0963440079833076</v>
      </c>
    </row>
    <row r="214" spans="1:29" ht="22.5">
      <c r="A214" s="206">
        <v>639</v>
      </c>
      <c r="B214" s="194" t="s">
        <v>941</v>
      </c>
      <c r="C214" s="198">
        <v>4</v>
      </c>
      <c r="D214" s="198">
        <v>4</v>
      </c>
      <c r="E214" s="200"/>
      <c r="F214" s="200"/>
      <c r="G214" s="200"/>
      <c r="H214" s="200"/>
      <c r="I214" s="200"/>
      <c r="J214" s="200"/>
      <c r="K214" s="200"/>
      <c r="L214" s="200"/>
      <c r="M214" s="200"/>
      <c r="N214" s="200"/>
      <c r="O214" s="200"/>
      <c r="Q214" s="219">
        <f t="shared" si="71"/>
        <v>4.0642293386555384</v>
      </c>
      <c r="R214" s="219">
        <f t="shared" si="72"/>
        <v>4.0642293386555384</v>
      </c>
      <c r="S214" s="219"/>
      <c r="T214" s="219"/>
      <c r="U214" s="219"/>
      <c r="V214" s="219"/>
      <c r="W214" s="216"/>
      <c r="X214" s="217"/>
      <c r="Y214" s="217"/>
      <c r="Z214" s="217"/>
      <c r="AA214" s="217"/>
      <c r="AB214" s="217"/>
      <c r="AC214" s="217"/>
    </row>
    <row r="215" spans="1:29" ht="33.75">
      <c r="A215" s="206">
        <v>641</v>
      </c>
      <c r="B215" s="194" t="s">
        <v>483</v>
      </c>
      <c r="C215" s="198">
        <v>12</v>
      </c>
      <c r="D215" s="198">
        <v>14</v>
      </c>
      <c r="E215" s="198">
        <v>12</v>
      </c>
      <c r="F215" s="198">
        <v>5</v>
      </c>
      <c r="G215" s="198">
        <v>12</v>
      </c>
      <c r="H215" s="198">
        <v>8</v>
      </c>
      <c r="I215" s="198">
        <v>8</v>
      </c>
      <c r="J215" s="198">
        <v>6</v>
      </c>
      <c r="K215" s="198">
        <v>6</v>
      </c>
      <c r="L215" s="198">
        <v>9</v>
      </c>
      <c r="M215" s="198">
        <v>12</v>
      </c>
      <c r="N215" s="198">
        <v>10</v>
      </c>
      <c r="O215" s="198">
        <v>7</v>
      </c>
      <c r="Q215" s="219">
        <f t="shared" si="71"/>
        <v>12.192688015966615</v>
      </c>
      <c r="R215" s="219">
        <f t="shared" si="72"/>
        <v>14.224802685294385</v>
      </c>
      <c r="S215" s="219">
        <f t="shared" si="73"/>
        <v>12.192688015966615</v>
      </c>
      <c r="T215" s="219">
        <f t="shared" si="74"/>
        <v>5.0802866733194234</v>
      </c>
      <c r="U215" s="219">
        <f t="shared" si="75"/>
        <v>12.192688015966615</v>
      </c>
      <c r="V215" s="219">
        <f t="shared" si="76"/>
        <v>8.1284586773110767</v>
      </c>
      <c r="W215" s="216">
        <f t="shared" si="77"/>
        <v>8.1284586773110767</v>
      </c>
      <c r="X215" s="217">
        <f t="shared" si="78"/>
        <v>6.0963440079833076</v>
      </c>
      <c r="Y215" s="217">
        <f t="shared" si="79"/>
        <v>6.0963440079833076</v>
      </c>
      <c r="Z215" s="217">
        <f t="shared" si="80"/>
        <v>9.1445160119749627</v>
      </c>
      <c r="AA215" s="217">
        <f t="shared" si="83"/>
        <v>12.192688015966615</v>
      </c>
      <c r="AB215" s="217">
        <f t="shared" si="81"/>
        <v>10.160573346638847</v>
      </c>
      <c r="AC215" s="217">
        <f t="shared" si="82"/>
        <v>7.1124013426471926</v>
      </c>
    </row>
    <row r="216" spans="1:29" ht="33.75">
      <c r="A216" s="206">
        <v>642</v>
      </c>
      <c r="B216" s="194" t="s">
        <v>484</v>
      </c>
      <c r="C216" s="198">
        <v>7</v>
      </c>
      <c r="D216" s="198">
        <v>8</v>
      </c>
      <c r="E216" s="198">
        <v>4</v>
      </c>
      <c r="F216" s="198">
        <v>6</v>
      </c>
      <c r="G216" s="198">
        <v>3</v>
      </c>
      <c r="H216" s="198">
        <v>2</v>
      </c>
      <c r="I216" s="198">
        <v>2</v>
      </c>
      <c r="J216" s="198">
        <v>2</v>
      </c>
      <c r="K216" s="198">
        <v>1</v>
      </c>
      <c r="L216" s="198">
        <v>8</v>
      </c>
      <c r="M216" s="198">
        <v>5</v>
      </c>
      <c r="N216" s="198">
        <v>4</v>
      </c>
      <c r="O216" s="198">
        <v>3</v>
      </c>
      <c r="Q216" s="219">
        <f t="shared" si="71"/>
        <v>7.1124013426471926</v>
      </c>
      <c r="R216" s="219">
        <f t="shared" si="72"/>
        <v>8.1284586773110767</v>
      </c>
      <c r="S216" s="219">
        <f t="shared" si="73"/>
        <v>4.0642293386555384</v>
      </c>
      <c r="T216" s="219">
        <f t="shared" si="74"/>
        <v>6.0963440079833076</v>
      </c>
      <c r="U216" s="219">
        <f t="shared" si="75"/>
        <v>3.0481720039916538</v>
      </c>
      <c r="V216" s="219">
        <f t="shared" si="76"/>
        <v>2.0321146693277692</v>
      </c>
      <c r="W216" s="216">
        <f t="shared" si="77"/>
        <v>2.0321146693277692</v>
      </c>
      <c r="X216" s="217">
        <f t="shared" si="78"/>
        <v>2.0321146693277692</v>
      </c>
      <c r="Y216" s="217">
        <f t="shared" si="79"/>
        <v>1.0160573346638846</v>
      </c>
      <c r="Z216" s="217">
        <f t="shared" si="80"/>
        <v>8.1284586773110767</v>
      </c>
      <c r="AA216" s="217">
        <f t="shared" si="83"/>
        <v>5.0802866733194234</v>
      </c>
      <c r="AB216" s="217">
        <f t="shared" si="81"/>
        <v>4.0642293386555384</v>
      </c>
      <c r="AC216" s="217">
        <f t="shared" si="82"/>
        <v>3.0481720039916538</v>
      </c>
    </row>
    <row r="217" spans="1:29" ht="33.75">
      <c r="A217" s="206">
        <v>643</v>
      </c>
      <c r="B217" s="194" t="s">
        <v>485</v>
      </c>
      <c r="C217" s="198">
        <v>48</v>
      </c>
      <c r="D217" s="198">
        <v>33</v>
      </c>
      <c r="E217" s="198">
        <v>27</v>
      </c>
      <c r="F217" s="198">
        <v>26</v>
      </c>
      <c r="G217" s="198">
        <v>22</v>
      </c>
      <c r="H217" s="198">
        <v>13</v>
      </c>
      <c r="I217" s="198">
        <v>13</v>
      </c>
      <c r="J217" s="198">
        <v>12</v>
      </c>
      <c r="K217" s="198">
        <v>9</v>
      </c>
      <c r="L217" s="198">
        <v>29</v>
      </c>
      <c r="M217" s="198">
        <v>43</v>
      </c>
      <c r="N217" s="198">
        <v>33</v>
      </c>
      <c r="O217" s="198">
        <v>19</v>
      </c>
      <c r="Q217" s="219">
        <f t="shared" si="71"/>
        <v>48.77075206386646</v>
      </c>
      <c r="R217" s="219">
        <f t="shared" si="72"/>
        <v>33.529892043908191</v>
      </c>
      <c r="S217" s="219">
        <f t="shared" si="73"/>
        <v>27.433548035924886</v>
      </c>
      <c r="T217" s="219">
        <f t="shared" si="74"/>
        <v>26.417490701261002</v>
      </c>
      <c r="U217" s="219">
        <f t="shared" si="75"/>
        <v>22.353261362605462</v>
      </c>
      <c r="V217" s="219">
        <f t="shared" si="76"/>
        <v>13.208745350630501</v>
      </c>
      <c r="W217" s="216">
        <f t="shared" si="77"/>
        <v>13.208745350630501</v>
      </c>
      <c r="X217" s="217">
        <f t="shared" si="78"/>
        <v>12.192688015966615</v>
      </c>
      <c r="Y217" s="217">
        <f t="shared" si="79"/>
        <v>9.1445160119749627</v>
      </c>
      <c r="Z217" s="217">
        <f t="shared" si="80"/>
        <v>29.465662705252655</v>
      </c>
      <c r="AA217" s="217">
        <f t="shared" si="83"/>
        <v>43.69046539054704</v>
      </c>
      <c r="AB217" s="217">
        <f t="shared" si="81"/>
        <v>33.529892043908191</v>
      </c>
      <c r="AC217" s="217">
        <f t="shared" si="82"/>
        <v>19.305089358613809</v>
      </c>
    </row>
    <row r="218" spans="1:29" ht="22.5">
      <c r="A218" s="206">
        <v>644</v>
      </c>
      <c r="B218" s="194" t="s">
        <v>486</v>
      </c>
      <c r="C218" s="198">
        <v>14</v>
      </c>
      <c r="D218" s="198">
        <v>30</v>
      </c>
      <c r="E218" s="198">
        <v>3</v>
      </c>
      <c r="F218" s="198">
        <v>20</v>
      </c>
      <c r="G218" s="198">
        <v>16</v>
      </c>
      <c r="H218" s="198">
        <v>3</v>
      </c>
      <c r="I218" s="198">
        <v>2</v>
      </c>
      <c r="J218" s="198">
        <v>4</v>
      </c>
      <c r="K218" s="198">
        <v>1</v>
      </c>
      <c r="L218" s="198">
        <v>3</v>
      </c>
      <c r="M218" s="198">
        <v>4</v>
      </c>
      <c r="N218" s="198">
        <v>3</v>
      </c>
      <c r="O218" s="198">
        <v>2</v>
      </c>
      <c r="Q218" s="219">
        <f t="shared" si="71"/>
        <v>14.224802685294385</v>
      </c>
      <c r="R218" s="219">
        <f t="shared" si="72"/>
        <v>30.481720039916539</v>
      </c>
      <c r="S218" s="219">
        <f t="shared" si="73"/>
        <v>3.0481720039916538</v>
      </c>
      <c r="T218" s="219">
        <f t="shared" si="74"/>
        <v>20.321146693277694</v>
      </c>
      <c r="U218" s="219">
        <f t="shared" si="75"/>
        <v>16.256917354622153</v>
      </c>
      <c r="V218" s="219">
        <f t="shared" si="76"/>
        <v>3.0481720039916538</v>
      </c>
      <c r="W218" s="216">
        <f t="shared" si="77"/>
        <v>2.0321146693277692</v>
      </c>
      <c r="X218" s="217">
        <f t="shared" si="78"/>
        <v>4.0642293386555384</v>
      </c>
      <c r="Y218" s="217">
        <f t="shared" si="79"/>
        <v>1.0160573346638846</v>
      </c>
      <c r="Z218" s="217">
        <f t="shared" si="80"/>
        <v>3.0481720039916538</v>
      </c>
      <c r="AA218" s="217">
        <f t="shared" si="83"/>
        <v>4.0642293386555384</v>
      </c>
      <c r="AB218" s="217">
        <f t="shared" si="81"/>
        <v>3.0481720039916538</v>
      </c>
      <c r="AC218" s="217">
        <f t="shared" si="82"/>
        <v>2.0321146693277692</v>
      </c>
    </row>
    <row r="219" spans="1:29" ht="22.5">
      <c r="A219" s="206">
        <v>645</v>
      </c>
      <c r="B219" s="194" t="s">
        <v>487</v>
      </c>
      <c r="C219" s="198">
        <v>9</v>
      </c>
      <c r="D219" s="198">
        <v>3</v>
      </c>
      <c r="E219" s="200"/>
      <c r="F219" s="198">
        <v>2</v>
      </c>
      <c r="G219" s="200"/>
      <c r="H219" s="200"/>
      <c r="I219" s="198">
        <v>2</v>
      </c>
      <c r="J219" s="200"/>
      <c r="K219" s="198">
        <v>1</v>
      </c>
      <c r="L219" s="198">
        <v>1</v>
      </c>
      <c r="M219" s="200"/>
      <c r="N219" s="200"/>
      <c r="O219" s="200"/>
      <c r="Q219" s="219">
        <f t="shared" si="71"/>
        <v>9.1445160119749627</v>
      </c>
      <c r="R219" s="219">
        <f t="shared" si="72"/>
        <v>3.0481720039916538</v>
      </c>
      <c r="S219" s="219"/>
      <c r="T219" s="219">
        <f t="shared" si="74"/>
        <v>2.0321146693277692</v>
      </c>
      <c r="U219" s="219"/>
      <c r="V219" s="219"/>
      <c r="W219" s="216">
        <f t="shared" si="77"/>
        <v>2.0321146693277692</v>
      </c>
      <c r="X219" s="217"/>
      <c r="Y219" s="217">
        <f t="shared" si="79"/>
        <v>1.0160573346638846</v>
      </c>
      <c r="Z219" s="217">
        <f t="shared" si="80"/>
        <v>1.0160573346638846</v>
      </c>
      <c r="AA219" s="217"/>
      <c r="AB219" s="217"/>
      <c r="AC219" s="217"/>
    </row>
    <row r="220" spans="1:29" ht="22.5">
      <c r="A220" s="206">
        <v>651</v>
      </c>
      <c r="B220" s="194" t="s">
        <v>489</v>
      </c>
      <c r="C220" s="198">
        <v>17</v>
      </c>
      <c r="D220" s="198">
        <v>19</v>
      </c>
      <c r="E220" s="198">
        <v>17</v>
      </c>
      <c r="F220" s="198">
        <v>17</v>
      </c>
      <c r="G220" s="198">
        <v>16</v>
      </c>
      <c r="H220" s="198">
        <v>14</v>
      </c>
      <c r="I220" s="198">
        <v>13</v>
      </c>
      <c r="J220" s="198">
        <v>9</v>
      </c>
      <c r="K220" s="198">
        <v>11</v>
      </c>
      <c r="L220" s="198">
        <v>12</v>
      </c>
      <c r="M220" s="198">
        <v>14</v>
      </c>
      <c r="N220" s="198">
        <v>10</v>
      </c>
      <c r="O220" s="234"/>
      <c r="Q220" s="219">
        <f t="shared" si="71"/>
        <v>17.272974689286038</v>
      </c>
      <c r="R220" s="219">
        <f t="shared" si="72"/>
        <v>19.305089358613809</v>
      </c>
      <c r="S220" s="219">
        <f t="shared" si="73"/>
        <v>17.272974689286038</v>
      </c>
      <c r="T220" s="219">
        <f t="shared" si="74"/>
        <v>17.272974689286038</v>
      </c>
      <c r="U220" s="219">
        <f t="shared" si="75"/>
        <v>16.256917354622153</v>
      </c>
      <c r="V220" s="219">
        <f t="shared" si="76"/>
        <v>14.224802685294385</v>
      </c>
      <c r="W220" s="216">
        <f t="shared" si="77"/>
        <v>13.208745350630501</v>
      </c>
      <c r="X220" s="217">
        <f t="shared" si="78"/>
        <v>9.1445160119749627</v>
      </c>
      <c r="Y220" s="217">
        <f t="shared" si="79"/>
        <v>11.176630681302731</v>
      </c>
      <c r="Z220" s="217">
        <f t="shared" si="80"/>
        <v>12.192688015966615</v>
      </c>
      <c r="AA220" s="217">
        <f t="shared" si="83"/>
        <v>14.224802685294385</v>
      </c>
      <c r="AB220" s="217">
        <f t="shared" si="81"/>
        <v>10.160573346638847</v>
      </c>
      <c r="AC220" s="217"/>
    </row>
    <row r="221" spans="1:29" ht="33.75">
      <c r="A221" s="206">
        <v>652</v>
      </c>
      <c r="B221" s="194" t="s">
        <v>490</v>
      </c>
      <c r="C221" s="198">
        <v>20</v>
      </c>
      <c r="D221" s="198">
        <v>6</v>
      </c>
      <c r="E221" s="198">
        <v>2</v>
      </c>
      <c r="F221" s="198">
        <v>1</v>
      </c>
      <c r="G221" s="198">
        <v>2</v>
      </c>
      <c r="H221" s="198">
        <v>1</v>
      </c>
      <c r="I221" s="198">
        <v>3</v>
      </c>
      <c r="J221" s="198">
        <v>1</v>
      </c>
      <c r="K221" s="198">
        <v>2</v>
      </c>
      <c r="L221" s="198">
        <v>1</v>
      </c>
      <c r="M221" s="198">
        <v>4</v>
      </c>
      <c r="N221" s="198">
        <v>2</v>
      </c>
      <c r="O221" s="198">
        <v>2</v>
      </c>
      <c r="Q221" s="219">
        <f t="shared" si="71"/>
        <v>20.321146693277694</v>
      </c>
      <c r="R221" s="219">
        <f t="shared" si="72"/>
        <v>6.0963440079833076</v>
      </c>
      <c r="S221" s="219">
        <f t="shared" si="73"/>
        <v>2.0321146693277692</v>
      </c>
      <c r="T221" s="219">
        <f t="shared" si="74"/>
        <v>1.0160573346638846</v>
      </c>
      <c r="U221" s="219">
        <f t="shared" si="75"/>
        <v>2.0321146693277692</v>
      </c>
      <c r="V221" s="219">
        <f t="shared" si="76"/>
        <v>1.0160573346638846</v>
      </c>
      <c r="W221" s="216">
        <f t="shared" si="77"/>
        <v>3.0481720039916538</v>
      </c>
      <c r="X221" s="217">
        <f t="shared" si="78"/>
        <v>1.0160573346638846</v>
      </c>
      <c r="Y221" s="217">
        <f t="shared" si="79"/>
        <v>2.0321146693277692</v>
      </c>
      <c r="Z221" s="217">
        <f t="shared" si="80"/>
        <v>1.0160573346638846</v>
      </c>
      <c r="AA221" s="217">
        <f t="shared" si="83"/>
        <v>4.0642293386555384</v>
      </c>
      <c r="AB221" s="217">
        <f t="shared" si="81"/>
        <v>2.0321146693277692</v>
      </c>
      <c r="AC221" s="217">
        <f t="shared" si="82"/>
        <v>2.0321146693277692</v>
      </c>
    </row>
    <row r="222" spans="1:29" ht="22.5">
      <c r="A222" s="206">
        <v>654</v>
      </c>
      <c r="B222" s="232" t="s">
        <v>491</v>
      </c>
      <c r="C222" s="198">
        <v>1</v>
      </c>
      <c r="D222" s="198">
        <v>4</v>
      </c>
      <c r="E222" s="198">
        <v>2</v>
      </c>
      <c r="F222" s="198">
        <v>4</v>
      </c>
      <c r="G222" s="198">
        <v>3</v>
      </c>
      <c r="H222" s="198">
        <v>1</v>
      </c>
      <c r="I222" s="198">
        <v>4</v>
      </c>
      <c r="J222" s="198">
        <v>1</v>
      </c>
      <c r="K222" s="198">
        <v>1</v>
      </c>
      <c r="L222" s="198">
        <v>2</v>
      </c>
      <c r="M222" s="198">
        <v>3</v>
      </c>
      <c r="N222" s="198">
        <v>2</v>
      </c>
      <c r="O222" s="198">
        <v>1</v>
      </c>
      <c r="Q222" s="219">
        <f t="shared" si="71"/>
        <v>1.0160573346638846</v>
      </c>
      <c r="R222" s="219">
        <f t="shared" si="72"/>
        <v>4.0642293386555384</v>
      </c>
      <c r="S222" s="219">
        <f t="shared" si="73"/>
        <v>2.0321146693277692</v>
      </c>
      <c r="T222" s="219">
        <f t="shared" si="74"/>
        <v>4.0642293386555384</v>
      </c>
      <c r="U222" s="219">
        <f t="shared" si="75"/>
        <v>3.0481720039916538</v>
      </c>
      <c r="V222" s="219">
        <f t="shared" si="76"/>
        <v>1.0160573346638846</v>
      </c>
      <c r="W222" s="216">
        <f t="shared" si="77"/>
        <v>4.0642293386555384</v>
      </c>
      <c r="X222" s="217">
        <f t="shared" si="78"/>
        <v>1.0160573346638846</v>
      </c>
      <c r="Y222" s="217">
        <f t="shared" si="79"/>
        <v>1.0160573346638846</v>
      </c>
      <c r="Z222" s="217">
        <f t="shared" si="80"/>
        <v>2.0321146693277692</v>
      </c>
      <c r="AA222" s="217">
        <f t="shared" si="83"/>
        <v>3.0481720039916538</v>
      </c>
      <c r="AB222" s="217">
        <f t="shared" si="81"/>
        <v>2.0321146693277692</v>
      </c>
      <c r="AC222" s="217">
        <f t="shared" si="82"/>
        <v>1.0160573346638846</v>
      </c>
    </row>
    <row r="223" spans="1:29" ht="33.75">
      <c r="A223" s="206">
        <v>655</v>
      </c>
      <c r="B223" s="194" t="s">
        <v>942</v>
      </c>
      <c r="C223" s="198">
        <v>11</v>
      </c>
      <c r="D223" s="198">
        <v>8</v>
      </c>
      <c r="E223" s="198">
        <v>5</v>
      </c>
      <c r="F223" s="198">
        <v>4</v>
      </c>
      <c r="G223" s="198">
        <v>4</v>
      </c>
      <c r="H223" s="198">
        <v>3</v>
      </c>
      <c r="I223" s="198">
        <v>6</v>
      </c>
      <c r="J223" s="198">
        <v>3</v>
      </c>
      <c r="K223" s="198">
        <v>5</v>
      </c>
      <c r="L223" s="198">
        <v>6</v>
      </c>
      <c r="M223" s="198">
        <v>6</v>
      </c>
      <c r="N223" s="198">
        <v>6</v>
      </c>
      <c r="O223" s="198">
        <v>6</v>
      </c>
      <c r="Q223" s="219">
        <f t="shared" si="71"/>
        <v>11.176630681302731</v>
      </c>
      <c r="R223" s="219">
        <f t="shared" si="72"/>
        <v>8.1284586773110767</v>
      </c>
      <c r="S223" s="219">
        <f t="shared" si="73"/>
        <v>5.0802866733194234</v>
      </c>
      <c r="T223" s="219">
        <f t="shared" si="74"/>
        <v>4.0642293386555384</v>
      </c>
      <c r="U223" s="219">
        <f t="shared" si="75"/>
        <v>4.0642293386555384</v>
      </c>
      <c r="V223" s="219">
        <f t="shared" si="76"/>
        <v>3.0481720039916538</v>
      </c>
      <c r="W223" s="216">
        <f t="shared" si="77"/>
        <v>6.0963440079833076</v>
      </c>
      <c r="X223" s="217">
        <f t="shared" si="78"/>
        <v>3.0481720039916538</v>
      </c>
      <c r="Y223" s="217">
        <f t="shared" si="79"/>
        <v>5.0802866733194234</v>
      </c>
      <c r="Z223" s="217">
        <f t="shared" si="80"/>
        <v>6.0963440079833076</v>
      </c>
      <c r="AA223" s="217">
        <f t="shared" si="83"/>
        <v>6.0963440079833076</v>
      </c>
      <c r="AB223" s="217">
        <f t="shared" si="81"/>
        <v>6.0963440079833076</v>
      </c>
      <c r="AC223" s="217">
        <f t="shared" si="82"/>
        <v>6.0963440079833076</v>
      </c>
    </row>
    <row r="224" spans="1:29" ht="33.75">
      <c r="A224" s="206">
        <v>658</v>
      </c>
      <c r="B224" s="232" t="s">
        <v>494</v>
      </c>
      <c r="C224" s="233">
        <v>2</v>
      </c>
      <c r="D224" s="200"/>
      <c r="E224" s="200"/>
      <c r="F224" s="198">
        <v>1</v>
      </c>
      <c r="G224" s="200"/>
      <c r="H224" s="198">
        <v>3</v>
      </c>
      <c r="I224" s="200"/>
      <c r="J224" s="200"/>
      <c r="K224" s="200"/>
      <c r="L224" s="198">
        <v>3</v>
      </c>
      <c r="M224" s="198">
        <v>1</v>
      </c>
      <c r="N224" s="198">
        <v>1</v>
      </c>
      <c r="O224" s="198">
        <v>6</v>
      </c>
      <c r="Q224" s="219">
        <f t="shared" si="71"/>
        <v>2.0321146693277692</v>
      </c>
      <c r="R224" s="219"/>
      <c r="S224" s="219"/>
      <c r="T224" s="219">
        <f t="shared" si="74"/>
        <v>1.0160573346638846</v>
      </c>
      <c r="U224" s="219"/>
      <c r="V224" s="219">
        <f t="shared" si="76"/>
        <v>3.0481720039916538</v>
      </c>
      <c r="W224" s="216"/>
      <c r="X224" s="217"/>
      <c r="Y224" s="217"/>
      <c r="Z224" s="217">
        <f t="shared" si="80"/>
        <v>3.0481720039916538</v>
      </c>
      <c r="AA224" s="217">
        <f t="shared" si="83"/>
        <v>1.0160573346638846</v>
      </c>
      <c r="AB224" s="217">
        <f t="shared" si="81"/>
        <v>1.0160573346638846</v>
      </c>
      <c r="AC224" s="217">
        <f t="shared" si="82"/>
        <v>6.0963440079833076</v>
      </c>
    </row>
    <row r="225" spans="1:29" ht="33.75">
      <c r="A225" s="206">
        <v>659</v>
      </c>
      <c r="B225" s="194" t="s">
        <v>495</v>
      </c>
      <c r="C225" s="200"/>
      <c r="D225" s="200"/>
      <c r="E225" s="198">
        <v>18</v>
      </c>
      <c r="F225" s="200"/>
      <c r="G225" s="200"/>
      <c r="H225" s="200"/>
      <c r="I225" s="200"/>
      <c r="J225" s="200"/>
      <c r="K225" s="200"/>
      <c r="L225" s="200"/>
      <c r="M225" s="200"/>
      <c r="N225" s="200"/>
      <c r="O225" s="200"/>
      <c r="Q225" s="219">
        <f t="shared" si="71"/>
        <v>0</v>
      </c>
      <c r="R225" s="219">
        <f t="shared" si="72"/>
        <v>0</v>
      </c>
      <c r="S225" s="219">
        <f t="shared" si="73"/>
        <v>18.289032023949925</v>
      </c>
      <c r="T225" s="219">
        <f t="shared" si="74"/>
        <v>0</v>
      </c>
      <c r="U225" s="219">
        <f t="shared" si="75"/>
        <v>0</v>
      </c>
      <c r="V225" s="219">
        <f t="shared" si="76"/>
        <v>0</v>
      </c>
      <c r="W225" s="216">
        <f t="shared" si="77"/>
        <v>0</v>
      </c>
      <c r="X225" s="217">
        <f t="shared" si="78"/>
        <v>0</v>
      </c>
      <c r="Y225" s="217">
        <f t="shared" si="79"/>
        <v>0</v>
      </c>
      <c r="Z225" s="217">
        <f t="shared" si="80"/>
        <v>0</v>
      </c>
      <c r="AA225" s="217">
        <f t="shared" si="83"/>
        <v>0</v>
      </c>
      <c r="AB225" s="217">
        <f t="shared" si="81"/>
        <v>0</v>
      </c>
      <c r="AC225" s="217">
        <f t="shared" si="82"/>
        <v>0</v>
      </c>
    </row>
    <row r="226" spans="1:29" ht="22.5">
      <c r="A226" s="206">
        <v>661</v>
      </c>
      <c r="B226" s="194" t="s">
        <v>497</v>
      </c>
      <c r="C226" s="198">
        <v>13</v>
      </c>
      <c r="D226" s="198">
        <v>13</v>
      </c>
      <c r="E226" s="198">
        <v>14</v>
      </c>
      <c r="F226" s="198">
        <v>8</v>
      </c>
      <c r="G226" s="198">
        <v>4</v>
      </c>
      <c r="H226" s="198">
        <v>4</v>
      </c>
      <c r="I226" s="198">
        <v>5</v>
      </c>
      <c r="J226" s="198">
        <v>4</v>
      </c>
      <c r="K226" s="198">
        <v>3</v>
      </c>
      <c r="L226" s="198">
        <v>12</v>
      </c>
      <c r="M226" s="198">
        <v>17</v>
      </c>
      <c r="N226" s="198">
        <v>10</v>
      </c>
      <c r="O226" s="198">
        <v>7</v>
      </c>
      <c r="Q226" s="219">
        <f t="shared" si="71"/>
        <v>13.208745350630501</v>
      </c>
      <c r="R226" s="219">
        <f t="shared" si="72"/>
        <v>13.208745350630501</v>
      </c>
      <c r="S226" s="219">
        <f t="shared" si="73"/>
        <v>14.224802685294385</v>
      </c>
      <c r="T226" s="219">
        <f t="shared" si="74"/>
        <v>8.1284586773110767</v>
      </c>
      <c r="U226" s="219">
        <f t="shared" si="75"/>
        <v>4.0642293386555384</v>
      </c>
      <c r="V226" s="219">
        <f t="shared" si="76"/>
        <v>4.0642293386555384</v>
      </c>
      <c r="W226" s="216">
        <f t="shared" si="77"/>
        <v>5.0802866733194234</v>
      </c>
      <c r="X226" s="217">
        <f t="shared" si="78"/>
        <v>4.0642293386555384</v>
      </c>
      <c r="Y226" s="217">
        <f t="shared" si="79"/>
        <v>3.0481720039916538</v>
      </c>
      <c r="Z226" s="217">
        <f t="shared" si="80"/>
        <v>12.192688015966615</v>
      </c>
      <c r="AA226" s="217">
        <f t="shared" si="83"/>
        <v>17.272974689286038</v>
      </c>
      <c r="AB226" s="217">
        <f t="shared" si="81"/>
        <v>10.160573346638847</v>
      </c>
      <c r="AC226" s="217">
        <f t="shared" si="82"/>
        <v>7.1124013426471926</v>
      </c>
    </row>
    <row r="227" spans="1:29" ht="33.75">
      <c r="A227" s="206">
        <v>662</v>
      </c>
      <c r="B227" s="232" t="s">
        <v>943</v>
      </c>
      <c r="C227" s="198">
        <v>2</v>
      </c>
      <c r="D227" s="198">
        <v>1</v>
      </c>
      <c r="E227" s="198">
        <v>1</v>
      </c>
      <c r="F227" s="200"/>
      <c r="G227" s="198">
        <v>1</v>
      </c>
      <c r="H227" s="200"/>
      <c r="I227" s="200"/>
      <c r="J227" s="198">
        <v>1</v>
      </c>
      <c r="K227" s="200"/>
      <c r="L227" s="200"/>
      <c r="M227" s="198">
        <v>2</v>
      </c>
      <c r="N227" s="198">
        <v>2</v>
      </c>
      <c r="O227" s="198">
        <v>1</v>
      </c>
      <c r="Q227" s="219">
        <f t="shared" si="71"/>
        <v>2.0321146693277692</v>
      </c>
      <c r="R227" s="219">
        <f t="shared" si="72"/>
        <v>1.0160573346638846</v>
      </c>
      <c r="S227" s="219">
        <f t="shared" si="73"/>
        <v>1.0160573346638846</v>
      </c>
      <c r="T227" s="219"/>
      <c r="U227" s="219">
        <f t="shared" si="75"/>
        <v>1.0160573346638846</v>
      </c>
      <c r="V227" s="219"/>
      <c r="W227" s="216"/>
      <c r="X227" s="217">
        <f t="shared" si="78"/>
        <v>1.0160573346638846</v>
      </c>
      <c r="Y227" s="217"/>
      <c r="Z227" s="217"/>
      <c r="AA227" s="217">
        <f t="shared" si="83"/>
        <v>2.0321146693277692</v>
      </c>
      <c r="AB227" s="217">
        <f t="shared" si="81"/>
        <v>2.0321146693277692</v>
      </c>
      <c r="AC227" s="217">
        <f t="shared" si="82"/>
        <v>1.0160573346638846</v>
      </c>
    </row>
    <row r="228" spans="1:29" ht="22.5">
      <c r="A228" s="206">
        <v>663</v>
      </c>
      <c r="B228" s="194" t="s">
        <v>499</v>
      </c>
      <c r="C228" s="198">
        <v>9</v>
      </c>
      <c r="D228" s="198">
        <v>8</v>
      </c>
      <c r="E228" s="200"/>
      <c r="F228" s="198">
        <v>4</v>
      </c>
      <c r="G228" s="198">
        <v>5</v>
      </c>
      <c r="H228" s="198">
        <v>2</v>
      </c>
      <c r="I228" s="198">
        <v>6</v>
      </c>
      <c r="J228" s="198">
        <v>3</v>
      </c>
      <c r="K228" s="198">
        <v>2</v>
      </c>
      <c r="L228" s="198">
        <v>16</v>
      </c>
      <c r="M228" s="198">
        <v>22</v>
      </c>
      <c r="N228" s="198">
        <v>12</v>
      </c>
      <c r="O228" s="198">
        <v>5</v>
      </c>
      <c r="Q228" s="219">
        <f t="shared" si="71"/>
        <v>9.1445160119749627</v>
      </c>
      <c r="R228" s="219">
        <f t="shared" si="72"/>
        <v>8.1284586773110767</v>
      </c>
      <c r="S228" s="219"/>
      <c r="T228" s="219">
        <f t="shared" si="74"/>
        <v>4.0642293386555384</v>
      </c>
      <c r="U228" s="219">
        <f t="shared" si="75"/>
        <v>5.0802866733194234</v>
      </c>
      <c r="V228" s="219">
        <f t="shared" si="76"/>
        <v>2.0321146693277692</v>
      </c>
      <c r="W228" s="216">
        <f t="shared" si="77"/>
        <v>6.0963440079833076</v>
      </c>
      <c r="X228" s="217">
        <f t="shared" si="78"/>
        <v>3.0481720039916538</v>
      </c>
      <c r="Y228" s="217">
        <f t="shared" si="79"/>
        <v>2.0321146693277692</v>
      </c>
      <c r="Z228" s="217">
        <f t="shared" si="80"/>
        <v>16.256917354622153</v>
      </c>
      <c r="AA228" s="217">
        <f t="shared" si="83"/>
        <v>22.353261362605462</v>
      </c>
      <c r="AB228" s="217">
        <f t="shared" si="81"/>
        <v>12.192688015966615</v>
      </c>
      <c r="AC228" s="217">
        <f t="shared" si="82"/>
        <v>5.0802866733194234</v>
      </c>
    </row>
    <row r="229" spans="1:29" ht="33.75">
      <c r="A229" s="206">
        <v>664</v>
      </c>
      <c r="B229" s="194" t="s">
        <v>500</v>
      </c>
      <c r="C229" s="198">
        <v>7</v>
      </c>
      <c r="D229" s="200"/>
      <c r="E229" s="198">
        <v>9</v>
      </c>
      <c r="F229" s="200"/>
      <c r="G229" s="198">
        <v>2</v>
      </c>
      <c r="H229" s="200"/>
      <c r="I229" s="198">
        <v>4</v>
      </c>
      <c r="J229" s="198">
        <v>5</v>
      </c>
      <c r="K229" s="198">
        <v>1</v>
      </c>
      <c r="L229" s="200"/>
      <c r="M229" s="198">
        <v>17</v>
      </c>
      <c r="N229" s="198">
        <v>5</v>
      </c>
      <c r="O229" s="198">
        <v>5</v>
      </c>
      <c r="Q229" s="219">
        <f t="shared" si="71"/>
        <v>7.1124013426471926</v>
      </c>
      <c r="R229" s="219"/>
      <c r="S229" s="219">
        <f t="shared" si="73"/>
        <v>9.1445160119749627</v>
      </c>
      <c r="T229" s="219"/>
      <c r="U229" s="219">
        <f t="shared" si="75"/>
        <v>2.0321146693277692</v>
      </c>
      <c r="V229" s="219"/>
      <c r="W229" s="216">
        <f t="shared" si="77"/>
        <v>4.0642293386555384</v>
      </c>
      <c r="X229" s="217">
        <f t="shared" si="78"/>
        <v>5.0802866733194234</v>
      </c>
      <c r="Y229" s="217">
        <f t="shared" si="79"/>
        <v>1.0160573346638846</v>
      </c>
      <c r="Z229" s="217"/>
      <c r="AA229" s="217">
        <f t="shared" si="83"/>
        <v>17.272974689286038</v>
      </c>
      <c r="AB229" s="217">
        <f t="shared" si="81"/>
        <v>5.0802866733194234</v>
      </c>
      <c r="AC229" s="217">
        <f t="shared" si="82"/>
        <v>5.0802866733194234</v>
      </c>
    </row>
    <row r="230" spans="1:29">
      <c r="A230" s="206">
        <v>665</v>
      </c>
      <c r="B230" s="194" t="s">
        <v>501</v>
      </c>
      <c r="C230" s="198">
        <v>32</v>
      </c>
      <c r="D230" s="198">
        <v>26</v>
      </c>
      <c r="E230" s="198">
        <v>11</v>
      </c>
      <c r="F230" s="198">
        <v>8</v>
      </c>
      <c r="G230" s="198">
        <v>10</v>
      </c>
      <c r="H230" s="198">
        <v>7</v>
      </c>
      <c r="I230" s="198">
        <v>9</v>
      </c>
      <c r="J230" s="198">
        <v>6</v>
      </c>
      <c r="K230" s="198">
        <v>6</v>
      </c>
      <c r="L230" s="198">
        <v>27</v>
      </c>
      <c r="M230" s="198">
        <v>17</v>
      </c>
      <c r="N230" s="198">
        <v>19</v>
      </c>
      <c r="O230" s="198">
        <v>9</v>
      </c>
      <c r="Q230" s="219">
        <f t="shared" si="71"/>
        <v>32.513834709244307</v>
      </c>
      <c r="R230" s="219">
        <f t="shared" si="72"/>
        <v>26.417490701261002</v>
      </c>
      <c r="S230" s="219">
        <f t="shared" si="73"/>
        <v>11.176630681302731</v>
      </c>
      <c r="T230" s="219">
        <f t="shared" si="74"/>
        <v>8.1284586773110767</v>
      </c>
      <c r="U230" s="219">
        <f t="shared" si="75"/>
        <v>10.160573346638847</v>
      </c>
      <c r="V230" s="219">
        <f t="shared" si="76"/>
        <v>7.1124013426471926</v>
      </c>
      <c r="W230" s="216">
        <f t="shared" si="77"/>
        <v>9.1445160119749627</v>
      </c>
      <c r="X230" s="217">
        <f t="shared" si="78"/>
        <v>6.0963440079833076</v>
      </c>
      <c r="Y230" s="217">
        <f t="shared" si="79"/>
        <v>6.0963440079833076</v>
      </c>
      <c r="Z230" s="217">
        <f t="shared" si="80"/>
        <v>27.433548035924886</v>
      </c>
      <c r="AA230" s="217">
        <f t="shared" si="83"/>
        <v>17.272974689286038</v>
      </c>
      <c r="AB230" s="217">
        <f t="shared" si="81"/>
        <v>19.305089358613809</v>
      </c>
      <c r="AC230" s="217">
        <f t="shared" si="82"/>
        <v>9.1445160119749627</v>
      </c>
    </row>
    <row r="231" spans="1:29" ht="33.75">
      <c r="A231" s="206">
        <v>671</v>
      </c>
      <c r="B231" s="194" t="s">
        <v>503</v>
      </c>
      <c r="C231" s="198">
        <v>24</v>
      </c>
      <c r="D231" s="198">
        <v>18</v>
      </c>
      <c r="E231" s="198">
        <v>5</v>
      </c>
      <c r="F231" s="198">
        <v>15</v>
      </c>
      <c r="G231" s="198">
        <v>4</v>
      </c>
      <c r="H231" s="198">
        <v>15</v>
      </c>
      <c r="I231" s="198">
        <v>4</v>
      </c>
      <c r="J231" s="198">
        <v>11</v>
      </c>
      <c r="K231" s="198">
        <v>2</v>
      </c>
      <c r="L231" s="198">
        <v>11</v>
      </c>
      <c r="M231" s="198">
        <v>12</v>
      </c>
      <c r="N231" s="198">
        <v>27</v>
      </c>
      <c r="O231" s="198">
        <v>5</v>
      </c>
      <c r="Q231" s="219">
        <f t="shared" si="71"/>
        <v>24.38537603193323</v>
      </c>
      <c r="R231" s="219">
        <f t="shared" si="72"/>
        <v>18.289032023949925</v>
      </c>
      <c r="S231" s="219">
        <f t="shared" si="73"/>
        <v>5.0802866733194234</v>
      </c>
      <c r="T231" s="219">
        <f t="shared" si="74"/>
        <v>15.240860019958269</v>
      </c>
      <c r="U231" s="219">
        <f t="shared" si="75"/>
        <v>4.0642293386555384</v>
      </c>
      <c r="V231" s="219">
        <f t="shared" si="76"/>
        <v>15.240860019958269</v>
      </c>
      <c r="W231" s="216">
        <f t="shared" si="77"/>
        <v>4.0642293386555384</v>
      </c>
      <c r="X231" s="217">
        <f t="shared" si="78"/>
        <v>11.176630681302731</v>
      </c>
      <c r="Y231" s="217">
        <f t="shared" si="79"/>
        <v>2.0321146693277692</v>
      </c>
      <c r="Z231" s="217">
        <f t="shared" si="80"/>
        <v>11.176630681302731</v>
      </c>
      <c r="AA231" s="217">
        <f t="shared" si="83"/>
        <v>12.192688015966615</v>
      </c>
      <c r="AB231" s="217">
        <f t="shared" si="81"/>
        <v>27.433548035924886</v>
      </c>
      <c r="AC231" s="217">
        <f t="shared" si="82"/>
        <v>5.0802866733194234</v>
      </c>
    </row>
    <row r="232" spans="1:29" ht="22.5">
      <c r="A232" s="206">
        <v>672</v>
      </c>
      <c r="B232" s="194" t="s">
        <v>504</v>
      </c>
      <c r="C232" s="198">
        <v>52</v>
      </c>
      <c r="D232" s="198">
        <v>66</v>
      </c>
      <c r="E232" s="198">
        <v>62</v>
      </c>
      <c r="F232" s="198">
        <v>30</v>
      </c>
      <c r="G232" s="198">
        <v>30</v>
      </c>
      <c r="H232" s="198">
        <v>38</v>
      </c>
      <c r="I232" s="198">
        <v>22</v>
      </c>
      <c r="J232" s="198">
        <v>17</v>
      </c>
      <c r="K232" s="198">
        <v>5</v>
      </c>
      <c r="L232" s="198">
        <v>69</v>
      </c>
      <c r="M232" s="198">
        <v>79</v>
      </c>
      <c r="N232" s="198">
        <v>32</v>
      </c>
      <c r="O232" s="198">
        <v>35</v>
      </c>
      <c r="Q232" s="219">
        <f t="shared" si="71"/>
        <v>52.834981402522004</v>
      </c>
      <c r="R232" s="219">
        <f t="shared" si="72"/>
        <v>67.059784087816382</v>
      </c>
      <c r="S232" s="219">
        <f t="shared" si="73"/>
        <v>62.995554749160846</v>
      </c>
      <c r="T232" s="219">
        <f t="shared" si="74"/>
        <v>30.481720039916539</v>
      </c>
      <c r="U232" s="219">
        <f t="shared" si="75"/>
        <v>30.481720039916539</v>
      </c>
      <c r="V232" s="219">
        <f t="shared" si="76"/>
        <v>38.610178717227619</v>
      </c>
      <c r="W232" s="216">
        <f t="shared" si="77"/>
        <v>22.353261362605462</v>
      </c>
      <c r="X232" s="217">
        <f t="shared" si="78"/>
        <v>17.272974689286038</v>
      </c>
      <c r="Y232" s="217">
        <f t="shared" si="79"/>
        <v>5.0802866733194234</v>
      </c>
      <c r="Z232" s="217">
        <f t="shared" si="80"/>
        <v>70.107956091808035</v>
      </c>
      <c r="AA232" s="217">
        <f t="shared" si="83"/>
        <v>80.26852943844689</v>
      </c>
      <c r="AB232" s="217">
        <f t="shared" si="81"/>
        <v>32.513834709244307</v>
      </c>
      <c r="AC232" s="217">
        <f t="shared" si="82"/>
        <v>35.562006713235959</v>
      </c>
    </row>
    <row r="233" spans="1:29" ht="33.75">
      <c r="A233" s="206">
        <v>698</v>
      </c>
      <c r="B233" s="194" t="s">
        <v>944</v>
      </c>
      <c r="C233" s="198">
        <v>1</v>
      </c>
      <c r="D233" s="200"/>
      <c r="E233" s="200"/>
      <c r="F233" s="200"/>
      <c r="G233" s="200"/>
      <c r="H233" s="200"/>
      <c r="I233" s="200"/>
      <c r="J233" s="200"/>
      <c r="K233" s="200"/>
      <c r="L233" s="198">
        <v>1</v>
      </c>
      <c r="M233" s="198">
        <v>0</v>
      </c>
      <c r="N233" s="198">
        <v>1</v>
      </c>
      <c r="O233" s="200"/>
      <c r="Q233" s="219">
        <f t="shared" si="71"/>
        <v>1.0160573346638846</v>
      </c>
      <c r="R233" s="219">
        <f t="shared" si="72"/>
        <v>0</v>
      </c>
      <c r="S233" s="219">
        <f t="shared" si="73"/>
        <v>0</v>
      </c>
      <c r="T233" s="219">
        <f t="shared" si="74"/>
        <v>0</v>
      </c>
      <c r="U233" s="219">
        <f t="shared" si="75"/>
        <v>0</v>
      </c>
      <c r="V233" s="219">
        <f t="shared" si="76"/>
        <v>0</v>
      </c>
      <c r="W233" s="216">
        <f t="shared" si="77"/>
        <v>0</v>
      </c>
      <c r="X233" s="217">
        <f t="shared" si="78"/>
        <v>0</v>
      </c>
      <c r="Y233" s="217">
        <f t="shared" si="79"/>
        <v>0</v>
      </c>
      <c r="Z233" s="217">
        <f t="shared" si="80"/>
        <v>1.0160573346638846</v>
      </c>
      <c r="AA233" s="217">
        <f t="shared" si="83"/>
        <v>0</v>
      </c>
      <c r="AB233" s="217">
        <f t="shared" si="81"/>
        <v>1.0160573346638846</v>
      </c>
      <c r="AC233" s="217">
        <f t="shared" si="82"/>
        <v>0</v>
      </c>
    </row>
    <row r="234" spans="1:29" ht="22.5">
      <c r="A234" s="206">
        <v>699</v>
      </c>
      <c r="B234" s="194" t="s">
        <v>945</v>
      </c>
      <c r="C234" s="198">
        <v>4</v>
      </c>
      <c r="D234" s="198">
        <v>3</v>
      </c>
      <c r="E234" s="198">
        <v>3</v>
      </c>
      <c r="F234" s="198">
        <v>1</v>
      </c>
      <c r="G234" s="198">
        <v>1</v>
      </c>
      <c r="H234" s="200"/>
      <c r="I234" s="198">
        <v>2</v>
      </c>
      <c r="J234" s="198">
        <v>2</v>
      </c>
      <c r="K234" s="198">
        <v>2</v>
      </c>
      <c r="L234" s="198">
        <v>10</v>
      </c>
      <c r="M234" s="198">
        <v>7</v>
      </c>
      <c r="N234" s="198">
        <v>11</v>
      </c>
      <c r="O234" s="198">
        <v>1</v>
      </c>
      <c r="Q234" s="219">
        <f t="shared" si="71"/>
        <v>4.0642293386555384</v>
      </c>
      <c r="R234" s="219">
        <f t="shared" si="72"/>
        <v>3.0481720039916538</v>
      </c>
      <c r="S234" s="219">
        <f t="shared" si="73"/>
        <v>3.0481720039916538</v>
      </c>
      <c r="T234" s="219">
        <f t="shared" si="74"/>
        <v>1.0160573346638846</v>
      </c>
      <c r="U234" s="219">
        <f t="shared" si="75"/>
        <v>1.0160573346638846</v>
      </c>
      <c r="V234" s="219"/>
      <c r="W234" s="216">
        <f t="shared" si="77"/>
        <v>2.0321146693277692</v>
      </c>
      <c r="X234" s="217">
        <f t="shared" si="78"/>
        <v>2.0321146693277692</v>
      </c>
      <c r="Y234" s="217">
        <f t="shared" si="79"/>
        <v>2.0321146693277692</v>
      </c>
      <c r="Z234" s="217">
        <f t="shared" si="80"/>
        <v>10.160573346638847</v>
      </c>
      <c r="AA234" s="217">
        <f t="shared" si="83"/>
        <v>7.1124013426471926</v>
      </c>
      <c r="AB234" s="217">
        <f t="shared" si="81"/>
        <v>11.176630681302731</v>
      </c>
      <c r="AC234" s="217">
        <f t="shared" si="82"/>
        <v>1.0160573346638846</v>
      </c>
    </row>
    <row r="235" spans="1:29">
      <c r="A235" s="199"/>
      <c r="B235" s="199"/>
      <c r="C235" s="200"/>
      <c r="D235" s="200"/>
      <c r="E235" s="200"/>
      <c r="F235" s="200"/>
      <c r="G235" s="200"/>
      <c r="H235" s="200"/>
      <c r="I235" s="200"/>
      <c r="J235" s="200"/>
      <c r="K235" s="200"/>
      <c r="L235" s="200"/>
      <c r="M235" s="200"/>
      <c r="N235" s="200"/>
      <c r="O235" s="200"/>
      <c r="Q235" s="219"/>
      <c r="R235" s="219"/>
      <c r="S235" s="219"/>
      <c r="T235" s="219"/>
      <c r="U235" s="219"/>
      <c r="V235" s="219"/>
      <c r="W235" s="216"/>
      <c r="X235" s="217"/>
      <c r="Y235" s="217"/>
      <c r="Z235" s="217"/>
      <c r="AA235" s="217"/>
      <c r="AB235" s="217"/>
      <c r="AC235" s="217"/>
    </row>
    <row r="236" spans="1:29">
      <c r="A236" s="630" t="s">
        <v>946</v>
      </c>
      <c r="B236" s="630"/>
      <c r="C236" s="198">
        <v>832</v>
      </c>
      <c r="D236" s="198">
        <v>695</v>
      </c>
      <c r="E236" s="198">
        <v>500</v>
      </c>
      <c r="F236" s="198">
        <v>406</v>
      </c>
      <c r="G236" s="198">
        <v>335</v>
      </c>
      <c r="H236" s="198">
        <v>316</v>
      </c>
      <c r="I236" s="198">
        <v>272</v>
      </c>
      <c r="J236" s="198">
        <v>205</v>
      </c>
      <c r="K236" s="198">
        <v>145</v>
      </c>
      <c r="L236" s="198">
        <v>598</v>
      </c>
      <c r="M236" s="198">
        <v>704</v>
      </c>
      <c r="N236" s="198">
        <v>518</v>
      </c>
      <c r="O236" s="198">
        <v>309</v>
      </c>
      <c r="Q236" s="219">
        <f t="shared" si="71"/>
        <v>845.35970244035207</v>
      </c>
      <c r="R236" s="219">
        <f t="shared" si="72"/>
        <v>706.15984759139985</v>
      </c>
      <c r="S236" s="219">
        <f t="shared" si="73"/>
        <v>508.0286673319423</v>
      </c>
      <c r="T236" s="219">
        <f t="shared" si="74"/>
        <v>412.51927787353719</v>
      </c>
      <c r="U236" s="219">
        <f t="shared" si="75"/>
        <v>340.37920711240133</v>
      </c>
      <c r="V236" s="219">
        <f t="shared" si="76"/>
        <v>321.07411775378756</v>
      </c>
      <c r="W236" s="216">
        <f t="shared" si="77"/>
        <v>276.3675950285766</v>
      </c>
      <c r="X236" s="217">
        <f t="shared" si="78"/>
        <v>208.29175360609636</v>
      </c>
      <c r="Y236" s="217">
        <f t="shared" si="79"/>
        <v>147.32831352626329</v>
      </c>
      <c r="Z236" s="217">
        <f t="shared" si="80"/>
        <v>607.60228612900301</v>
      </c>
      <c r="AA236" s="217">
        <f t="shared" si="83"/>
        <v>715.30436360337478</v>
      </c>
      <c r="AB236" s="217">
        <f t="shared" si="81"/>
        <v>526.31769935589227</v>
      </c>
      <c r="AC236" s="217">
        <f t="shared" si="82"/>
        <v>313.96171641114034</v>
      </c>
    </row>
    <row r="237" spans="1:29">
      <c r="Q237" s="219"/>
      <c r="R237" s="219"/>
      <c r="S237" s="219"/>
      <c r="T237" s="219"/>
      <c r="U237" s="219"/>
      <c r="V237" s="219"/>
      <c r="W237" s="216"/>
      <c r="X237" s="217"/>
      <c r="Y237" s="217"/>
      <c r="Z237" s="217"/>
      <c r="AA237" s="217"/>
      <c r="AB237" s="217"/>
      <c r="AC237" s="217"/>
    </row>
    <row r="238" spans="1:29">
      <c r="A238" s="630" t="s">
        <v>947</v>
      </c>
      <c r="B238" s="630"/>
      <c r="C238" s="202" t="s">
        <v>834</v>
      </c>
      <c r="D238" s="202" t="s">
        <v>835</v>
      </c>
      <c r="E238" s="202" t="s">
        <v>836</v>
      </c>
      <c r="F238" s="202" t="s">
        <v>837</v>
      </c>
      <c r="G238" s="202" t="s">
        <v>838</v>
      </c>
      <c r="H238" s="202" t="s">
        <v>839</v>
      </c>
      <c r="I238" s="202" t="s">
        <v>840</v>
      </c>
      <c r="J238" s="202" t="s">
        <v>841</v>
      </c>
      <c r="K238" s="202" t="s">
        <v>842</v>
      </c>
      <c r="L238" s="202" t="s">
        <v>843</v>
      </c>
      <c r="M238" s="202" t="s">
        <v>844</v>
      </c>
      <c r="N238" s="202" t="s">
        <v>845</v>
      </c>
      <c r="O238" s="202" t="s">
        <v>846</v>
      </c>
      <c r="Q238" s="219"/>
      <c r="R238" s="219"/>
      <c r="S238" s="219"/>
      <c r="T238" s="219"/>
      <c r="U238" s="219"/>
      <c r="V238" s="219"/>
      <c r="W238" s="216"/>
      <c r="X238" s="217"/>
      <c r="Y238" s="217"/>
      <c r="Z238" s="217"/>
      <c r="AA238" s="217"/>
      <c r="AB238" s="217"/>
      <c r="AC238" s="217"/>
    </row>
    <row r="239" spans="1:29">
      <c r="A239" s="206">
        <v>710</v>
      </c>
      <c r="B239" s="194" t="s">
        <v>948</v>
      </c>
      <c r="C239" s="208">
        <v>86</v>
      </c>
      <c r="D239" s="208">
        <v>70</v>
      </c>
      <c r="E239" s="208">
        <v>106</v>
      </c>
      <c r="F239" s="208">
        <v>278</v>
      </c>
      <c r="G239" s="208">
        <v>37</v>
      </c>
      <c r="H239" s="208">
        <v>183</v>
      </c>
      <c r="I239" s="208">
        <v>71</v>
      </c>
      <c r="J239" s="208">
        <v>93</v>
      </c>
      <c r="K239" s="208">
        <v>31</v>
      </c>
      <c r="L239" s="208">
        <v>129</v>
      </c>
      <c r="M239" s="200"/>
      <c r="N239" s="208">
        <v>112</v>
      </c>
      <c r="O239" s="208">
        <v>18</v>
      </c>
      <c r="Q239" s="219">
        <f t="shared" si="71"/>
        <v>87.380930781094079</v>
      </c>
      <c r="R239" s="219">
        <f t="shared" si="72"/>
        <v>71.124013426471919</v>
      </c>
      <c r="S239" s="219">
        <f t="shared" si="73"/>
        <v>107.70207747437178</v>
      </c>
      <c r="T239" s="219">
        <f t="shared" si="74"/>
        <v>282.46393903655991</v>
      </c>
      <c r="U239" s="219">
        <f t="shared" si="75"/>
        <v>37.594121382563735</v>
      </c>
      <c r="V239" s="219">
        <f t="shared" si="76"/>
        <v>185.93849224349088</v>
      </c>
      <c r="W239" s="216">
        <f t="shared" si="77"/>
        <v>72.140070761135803</v>
      </c>
      <c r="X239" s="217">
        <f t="shared" si="78"/>
        <v>94.493332123741268</v>
      </c>
      <c r="Y239" s="217">
        <f t="shared" si="79"/>
        <v>31.497777374580423</v>
      </c>
      <c r="Z239" s="217">
        <f t="shared" si="80"/>
        <v>131.07139617164111</v>
      </c>
      <c r="AA239" s="217"/>
      <c r="AB239" s="217">
        <f t="shared" si="81"/>
        <v>113.79842148235508</v>
      </c>
      <c r="AC239" s="217">
        <f t="shared" si="82"/>
        <v>18.289032023949925</v>
      </c>
    </row>
    <row r="240" spans="1:29" ht="22.5">
      <c r="A240" s="206">
        <v>720</v>
      </c>
      <c r="B240" s="194" t="s">
        <v>949</v>
      </c>
      <c r="C240" s="198">
        <v>181</v>
      </c>
      <c r="D240" s="198">
        <v>165</v>
      </c>
      <c r="E240" s="198">
        <v>207</v>
      </c>
      <c r="F240" s="198">
        <v>10</v>
      </c>
      <c r="G240" s="198">
        <v>314</v>
      </c>
      <c r="H240" s="198">
        <v>62</v>
      </c>
      <c r="I240" s="198">
        <v>32</v>
      </c>
      <c r="J240" s="198">
        <v>1</v>
      </c>
      <c r="K240" s="198">
        <v>26</v>
      </c>
      <c r="L240" s="198">
        <v>208</v>
      </c>
      <c r="M240" s="200"/>
      <c r="N240" s="198">
        <v>176</v>
      </c>
      <c r="O240" s="198">
        <v>63</v>
      </c>
      <c r="Q240" s="219">
        <f t="shared" si="71"/>
        <v>183.90637757416312</v>
      </c>
      <c r="R240" s="219">
        <f t="shared" si="72"/>
        <v>167.64946021954097</v>
      </c>
      <c r="S240" s="219">
        <f t="shared" si="73"/>
        <v>210.32386827542413</v>
      </c>
      <c r="T240" s="219">
        <f t="shared" si="74"/>
        <v>10.160573346638847</v>
      </c>
      <c r="U240" s="219">
        <f t="shared" si="75"/>
        <v>319.04200308445979</v>
      </c>
      <c r="V240" s="219">
        <f t="shared" si="76"/>
        <v>62.995554749160846</v>
      </c>
      <c r="W240" s="216">
        <f t="shared" si="77"/>
        <v>32.513834709244307</v>
      </c>
      <c r="X240" s="217">
        <f t="shared" si="78"/>
        <v>1.0160573346638846</v>
      </c>
      <c r="Y240" s="217">
        <f t="shared" si="79"/>
        <v>26.417490701261002</v>
      </c>
      <c r="Z240" s="217">
        <f t="shared" si="80"/>
        <v>211.33992561008802</v>
      </c>
      <c r="AA240" s="217"/>
      <c r="AB240" s="217">
        <f t="shared" si="81"/>
        <v>178.8260909008437</v>
      </c>
      <c r="AC240" s="217">
        <f t="shared" si="82"/>
        <v>64.01161208382473</v>
      </c>
    </row>
    <row r="241" spans="1:29" ht="22.5">
      <c r="A241" s="206">
        <v>750</v>
      </c>
      <c r="B241" s="194" t="s">
        <v>509</v>
      </c>
      <c r="C241" s="198">
        <v>5</v>
      </c>
      <c r="D241" s="198">
        <v>10</v>
      </c>
      <c r="E241" s="198">
        <v>32</v>
      </c>
      <c r="F241" s="198">
        <v>15</v>
      </c>
      <c r="G241" s="198">
        <v>3</v>
      </c>
      <c r="H241" s="198">
        <v>8</v>
      </c>
      <c r="I241" s="198">
        <v>34</v>
      </c>
      <c r="J241" s="200"/>
      <c r="K241" s="198">
        <v>3</v>
      </c>
      <c r="L241" s="198">
        <v>14</v>
      </c>
      <c r="M241" s="200"/>
      <c r="N241" s="198">
        <v>12</v>
      </c>
      <c r="O241" s="198">
        <v>6</v>
      </c>
      <c r="Q241" s="219">
        <f t="shared" si="71"/>
        <v>5.0802866733194234</v>
      </c>
      <c r="R241" s="219">
        <f t="shared" si="72"/>
        <v>10.160573346638847</v>
      </c>
      <c r="S241" s="219">
        <f t="shared" si="73"/>
        <v>32.513834709244307</v>
      </c>
      <c r="T241" s="219">
        <f t="shared" si="74"/>
        <v>15.240860019958269</v>
      </c>
      <c r="U241" s="219">
        <f t="shared" si="75"/>
        <v>3.0481720039916538</v>
      </c>
      <c r="V241" s="219">
        <f t="shared" si="76"/>
        <v>8.1284586773110767</v>
      </c>
      <c r="W241" s="216">
        <f t="shared" si="77"/>
        <v>34.545949378572075</v>
      </c>
      <c r="X241" s="217"/>
      <c r="Y241" s="217">
        <f t="shared" si="79"/>
        <v>3.0481720039916538</v>
      </c>
      <c r="Z241" s="217">
        <f t="shared" si="80"/>
        <v>14.224802685294385</v>
      </c>
      <c r="AA241" s="217"/>
      <c r="AB241" s="217">
        <f t="shared" si="81"/>
        <v>12.192688015966615</v>
      </c>
      <c r="AC241" s="217">
        <f t="shared" si="82"/>
        <v>6.0963440079833076</v>
      </c>
    </row>
    <row r="242" spans="1:29" ht="22.5">
      <c r="A242" s="206">
        <v>760</v>
      </c>
      <c r="B242" s="194" t="s">
        <v>510</v>
      </c>
      <c r="C242" s="198">
        <v>3</v>
      </c>
      <c r="D242" s="198">
        <v>3</v>
      </c>
      <c r="E242" s="198">
        <v>2</v>
      </c>
      <c r="F242" s="198">
        <v>2</v>
      </c>
      <c r="G242" s="198">
        <v>4</v>
      </c>
      <c r="H242" s="198">
        <v>1</v>
      </c>
      <c r="I242" s="198">
        <v>2</v>
      </c>
      <c r="J242" s="200"/>
      <c r="K242" s="198">
        <v>3</v>
      </c>
      <c r="L242" s="198">
        <v>7</v>
      </c>
      <c r="M242" s="200"/>
      <c r="N242" s="198">
        <v>4</v>
      </c>
      <c r="O242" s="198">
        <v>1</v>
      </c>
      <c r="Q242" s="219">
        <f t="shared" si="71"/>
        <v>3.0481720039916538</v>
      </c>
      <c r="R242" s="219">
        <f t="shared" si="72"/>
        <v>3.0481720039916538</v>
      </c>
      <c r="S242" s="219">
        <f t="shared" si="73"/>
        <v>2.0321146693277692</v>
      </c>
      <c r="T242" s="219">
        <f t="shared" si="74"/>
        <v>2.0321146693277692</v>
      </c>
      <c r="U242" s="219">
        <f t="shared" si="75"/>
        <v>4.0642293386555384</v>
      </c>
      <c r="V242" s="219">
        <f t="shared" si="76"/>
        <v>1.0160573346638846</v>
      </c>
      <c r="W242" s="216">
        <f t="shared" si="77"/>
        <v>2.0321146693277692</v>
      </c>
      <c r="X242" s="217"/>
      <c r="Y242" s="217">
        <f t="shared" si="79"/>
        <v>3.0481720039916538</v>
      </c>
      <c r="Z242" s="217">
        <f t="shared" si="80"/>
        <v>7.1124013426471926</v>
      </c>
      <c r="AA242" s="217"/>
      <c r="AB242" s="217">
        <f t="shared" si="81"/>
        <v>4.0642293386555384</v>
      </c>
      <c r="AC242" s="217">
        <f t="shared" si="82"/>
        <v>1.0160573346638846</v>
      </c>
    </row>
    <row r="243" spans="1:29" ht="22.5">
      <c r="A243" s="206">
        <v>780</v>
      </c>
      <c r="B243" s="194" t="s">
        <v>950</v>
      </c>
      <c r="C243" s="200"/>
      <c r="D243" s="199"/>
      <c r="E243" s="200"/>
      <c r="F243" s="200"/>
      <c r="G243" s="200"/>
      <c r="H243" s="200"/>
      <c r="I243" s="200"/>
      <c r="J243" s="200"/>
      <c r="K243" s="200"/>
      <c r="L243" s="200"/>
      <c r="M243" s="200"/>
      <c r="N243" s="200"/>
      <c r="O243" s="198">
        <v>1</v>
      </c>
      <c r="Q243" s="219"/>
      <c r="R243" s="219"/>
      <c r="S243" s="219"/>
      <c r="T243" s="219"/>
      <c r="U243" s="219"/>
      <c r="V243" s="219"/>
      <c r="W243" s="216"/>
      <c r="X243" s="217"/>
      <c r="Y243" s="217"/>
      <c r="Z243" s="217"/>
      <c r="AA243" s="217"/>
      <c r="AB243" s="217"/>
      <c r="AC243" s="217">
        <f t="shared" si="82"/>
        <v>1.0160573346638846</v>
      </c>
    </row>
    <row r="244" spans="1:29" ht="33.75">
      <c r="A244" s="206">
        <v>792</v>
      </c>
      <c r="B244" s="194" t="s">
        <v>512</v>
      </c>
      <c r="C244" s="198">
        <v>9</v>
      </c>
      <c r="D244" s="199"/>
      <c r="E244" s="200"/>
      <c r="F244" s="200"/>
      <c r="G244" s="200"/>
      <c r="H244" s="200"/>
      <c r="I244" s="200"/>
      <c r="J244" s="200"/>
      <c r="K244" s="200"/>
      <c r="L244" s="200"/>
      <c r="M244" s="200"/>
      <c r="N244" s="200"/>
      <c r="O244" s="200"/>
      <c r="Q244" s="219">
        <f t="shared" ref="Q244:Q261" si="84">C244*2240/2204.6</f>
        <v>9.1445160119749627</v>
      </c>
      <c r="R244" s="219"/>
      <c r="S244" s="219"/>
      <c r="T244" s="219"/>
      <c r="U244" s="219"/>
      <c r="V244" s="219"/>
      <c r="W244" s="216"/>
      <c r="X244" s="217"/>
      <c r="Y244" s="217"/>
      <c r="Z244" s="217"/>
      <c r="AA244" s="217"/>
      <c r="AB244" s="217"/>
      <c r="AC244" s="217"/>
    </row>
    <row r="245" spans="1:29" ht="33.75">
      <c r="A245" s="206">
        <v>798</v>
      </c>
      <c r="B245" s="194" t="s">
        <v>513</v>
      </c>
      <c r="C245" s="198">
        <v>4</v>
      </c>
      <c r="D245" s="198">
        <v>4</v>
      </c>
      <c r="E245" s="198">
        <v>4</v>
      </c>
      <c r="F245" s="198">
        <v>5</v>
      </c>
      <c r="G245" s="198">
        <v>4</v>
      </c>
      <c r="H245" s="200"/>
      <c r="I245" s="198">
        <v>2</v>
      </c>
      <c r="J245" s="198">
        <v>1</v>
      </c>
      <c r="K245" s="198">
        <v>1</v>
      </c>
      <c r="L245" s="198">
        <v>4</v>
      </c>
      <c r="M245" s="200"/>
      <c r="N245" s="198">
        <v>4</v>
      </c>
      <c r="O245" s="198">
        <v>1</v>
      </c>
      <c r="Q245" s="219">
        <f t="shared" si="84"/>
        <v>4.0642293386555384</v>
      </c>
      <c r="R245" s="219">
        <f t="shared" ref="R245:R261" si="85">D245*2240/2204.6</f>
        <v>4.0642293386555384</v>
      </c>
      <c r="S245" s="219">
        <f t="shared" ref="S245:S261" si="86">E245*2240/2204.6</f>
        <v>4.0642293386555384</v>
      </c>
      <c r="T245" s="219">
        <f t="shared" ref="T245:T261" si="87">F245*2240/2204.6</f>
        <v>5.0802866733194234</v>
      </c>
      <c r="U245" s="219">
        <f t="shared" ref="U245:U261" si="88">G245*2240/2204.6</f>
        <v>4.0642293386555384</v>
      </c>
      <c r="V245" s="219"/>
      <c r="W245" s="216">
        <f t="shared" ref="W245:W261" si="89">I245*2240/2204.6</f>
        <v>2.0321146693277692</v>
      </c>
      <c r="X245" s="217">
        <f t="shared" ref="X245:X261" si="90">J245*2240/2204.6</f>
        <v>1.0160573346638846</v>
      </c>
      <c r="Y245" s="217">
        <f t="shared" ref="Y245:Y261" si="91">K245*2240/2204.6</f>
        <v>1.0160573346638846</v>
      </c>
      <c r="Z245" s="217">
        <f t="shared" ref="Z245:Z261" si="92">L245*2240/2204.6</f>
        <v>4.0642293386555384</v>
      </c>
      <c r="AA245" s="217"/>
      <c r="AB245" s="217">
        <f t="shared" ref="AB245:AB261" si="93">N245*2240/2204.6</f>
        <v>4.0642293386555384</v>
      </c>
      <c r="AC245" s="217">
        <f t="shared" ref="AC245:AC261" si="94">O245*2240/2204.6</f>
        <v>1.0160573346638846</v>
      </c>
    </row>
    <row r="246" spans="1:29" ht="22.5">
      <c r="A246" s="206">
        <v>799</v>
      </c>
      <c r="B246" s="194" t="s">
        <v>514</v>
      </c>
      <c r="C246" s="198">
        <v>15</v>
      </c>
      <c r="D246" s="198">
        <v>16</v>
      </c>
      <c r="E246" s="198">
        <v>15</v>
      </c>
      <c r="F246" s="198">
        <v>10</v>
      </c>
      <c r="G246" s="198">
        <v>10</v>
      </c>
      <c r="H246" s="198">
        <v>5</v>
      </c>
      <c r="I246" s="198">
        <v>4</v>
      </c>
      <c r="J246" s="198">
        <v>4</v>
      </c>
      <c r="K246" s="198">
        <v>6</v>
      </c>
      <c r="L246" s="198">
        <v>10</v>
      </c>
      <c r="M246" s="200"/>
      <c r="N246" s="198">
        <v>6</v>
      </c>
      <c r="O246" s="198">
        <v>5</v>
      </c>
      <c r="Q246" s="219">
        <f t="shared" si="84"/>
        <v>15.240860019958269</v>
      </c>
      <c r="R246" s="219">
        <f t="shared" si="85"/>
        <v>16.256917354622153</v>
      </c>
      <c r="S246" s="219">
        <f t="shared" si="86"/>
        <v>15.240860019958269</v>
      </c>
      <c r="T246" s="219">
        <f t="shared" si="87"/>
        <v>10.160573346638847</v>
      </c>
      <c r="U246" s="219">
        <f t="shared" si="88"/>
        <v>10.160573346638847</v>
      </c>
      <c r="V246" s="219">
        <f t="shared" ref="V246:V261" si="95">H246*2240/2204.6</f>
        <v>5.0802866733194234</v>
      </c>
      <c r="W246" s="216">
        <f t="shared" si="89"/>
        <v>4.0642293386555384</v>
      </c>
      <c r="X246" s="217">
        <f t="shared" si="90"/>
        <v>4.0642293386555384</v>
      </c>
      <c r="Y246" s="217">
        <f t="shared" si="91"/>
        <v>6.0963440079833076</v>
      </c>
      <c r="Z246" s="217">
        <f t="shared" si="92"/>
        <v>10.160573346638847</v>
      </c>
      <c r="AA246" s="217"/>
      <c r="AB246" s="217">
        <f t="shared" si="93"/>
        <v>6.0963440079833076</v>
      </c>
      <c r="AC246" s="217">
        <f t="shared" si="94"/>
        <v>5.0802866733194234</v>
      </c>
    </row>
    <row r="247" spans="1:29">
      <c r="A247" s="199"/>
      <c r="B247" s="199"/>
      <c r="C247" s="200"/>
      <c r="D247" s="199"/>
      <c r="E247" s="200"/>
      <c r="F247" s="200"/>
      <c r="G247" s="200"/>
      <c r="H247" s="200"/>
      <c r="I247" s="200"/>
      <c r="J247" s="200"/>
      <c r="K247" s="200"/>
      <c r="L247" s="200"/>
      <c r="M247" s="200"/>
      <c r="N247" s="200"/>
      <c r="O247" s="200"/>
      <c r="Q247" s="219"/>
      <c r="R247" s="219"/>
      <c r="S247" s="219"/>
      <c r="T247" s="219"/>
      <c r="U247" s="219"/>
      <c r="V247" s="219"/>
      <c r="W247" s="216"/>
      <c r="X247" s="217"/>
      <c r="Y247" s="217"/>
      <c r="Z247" s="217"/>
      <c r="AA247" s="217"/>
      <c r="AB247" s="217"/>
      <c r="AC247" s="217"/>
    </row>
    <row r="248" spans="1:29">
      <c r="A248" s="630" t="s">
        <v>951</v>
      </c>
      <c r="B248" s="630"/>
      <c r="C248" s="198">
        <v>303</v>
      </c>
      <c r="D248" s="198">
        <v>268</v>
      </c>
      <c r="E248" s="198">
        <v>366</v>
      </c>
      <c r="F248" s="198">
        <v>320</v>
      </c>
      <c r="G248" s="198">
        <v>372</v>
      </c>
      <c r="H248" s="198">
        <v>259</v>
      </c>
      <c r="I248" s="198">
        <v>145</v>
      </c>
      <c r="J248" s="198">
        <v>99</v>
      </c>
      <c r="K248" s="198">
        <v>70</v>
      </c>
      <c r="L248" s="198">
        <v>370</v>
      </c>
      <c r="M248" s="198">
        <v>315</v>
      </c>
      <c r="N248" s="198">
        <v>314</v>
      </c>
      <c r="O248" s="198">
        <v>95</v>
      </c>
      <c r="Q248" s="219">
        <f t="shared" si="84"/>
        <v>307.86537240315704</v>
      </c>
      <c r="R248" s="219">
        <f t="shared" si="85"/>
        <v>272.30336568992107</v>
      </c>
      <c r="S248" s="219">
        <f t="shared" si="86"/>
        <v>371.87698448698177</v>
      </c>
      <c r="T248" s="219">
        <f t="shared" si="87"/>
        <v>325.1383470924431</v>
      </c>
      <c r="U248" s="219">
        <f t="shared" si="88"/>
        <v>377.97332849496507</v>
      </c>
      <c r="V248" s="219">
        <f t="shared" si="95"/>
        <v>263.15884967794614</v>
      </c>
      <c r="W248" s="216">
        <f t="shared" si="89"/>
        <v>147.32831352626329</v>
      </c>
      <c r="X248" s="217">
        <f t="shared" si="90"/>
        <v>100.58967613172457</v>
      </c>
      <c r="Y248" s="217">
        <f t="shared" si="91"/>
        <v>71.124013426471919</v>
      </c>
      <c r="Z248" s="217">
        <f t="shared" si="92"/>
        <v>375.94121382563731</v>
      </c>
      <c r="AA248" s="217">
        <f t="shared" ref="AA248:AA261" si="96">M248*2240/2204.6</f>
        <v>320.05806041912365</v>
      </c>
      <c r="AB248" s="217">
        <f t="shared" si="93"/>
        <v>319.04200308445979</v>
      </c>
      <c r="AC248" s="217">
        <f t="shared" si="94"/>
        <v>96.525446793069037</v>
      </c>
    </row>
    <row r="249" spans="1:29">
      <c r="A249" s="634"/>
      <c r="B249" s="634"/>
      <c r="C249" s="200"/>
      <c r="D249" s="199"/>
      <c r="E249" s="199"/>
      <c r="F249" s="199"/>
      <c r="G249" s="199"/>
      <c r="H249" s="200"/>
      <c r="I249" s="200"/>
      <c r="J249" s="200"/>
      <c r="K249" s="200"/>
      <c r="L249" s="199"/>
      <c r="M249" s="200"/>
      <c r="N249" s="200"/>
      <c r="O249" s="200"/>
      <c r="Q249" s="219"/>
      <c r="R249" s="219"/>
      <c r="S249" s="219"/>
      <c r="T249" s="219"/>
      <c r="U249" s="219"/>
      <c r="V249" s="219"/>
      <c r="W249" s="216"/>
      <c r="X249" s="217"/>
      <c r="Y249" s="217"/>
      <c r="Z249" s="217"/>
      <c r="AA249" s="217"/>
      <c r="AB249" s="217"/>
      <c r="AC249" s="217"/>
    </row>
    <row r="250" spans="1:29">
      <c r="A250" s="630" t="s">
        <v>952</v>
      </c>
      <c r="B250" s="630"/>
      <c r="C250" s="200"/>
      <c r="D250" s="199"/>
      <c r="E250" s="199"/>
      <c r="F250" s="200"/>
      <c r="G250" s="200"/>
      <c r="H250" s="200"/>
      <c r="I250" s="200"/>
      <c r="J250" s="200"/>
      <c r="K250" s="200"/>
      <c r="L250" s="199"/>
      <c r="M250" s="200"/>
      <c r="N250" s="200"/>
      <c r="O250" s="200"/>
      <c r="Q250" s="219"/>
      <c r="R250" s="219"/>
      <c r="S250" s="219"/>
      <c r="T250" s="219"/>
      <c r="U250" s="219"/>
      <c r="V250" s="219"/>
      <c r="W250" s="216"/>
      <c r="X250" s="217"/>
      <c r="Y250" s="217"/>
      <c r="Z250" s="217"/>
      <c r="AA250" s="217"/>
      <c r="AB250" s="217"/>
      <c r="AC250" s="217"/>
    </row>
    <row r="251" spans="1:29" ht="33.75">
      <c r="A251" s="199"/>
      <c r="B251" s="194" t="s">
        <v>953</v>
      </c>
      <c r="C251" s="198">
        <v>400</v>
      </c>
      <c r="D251" s="194" t="s">
        <v>954</v>
      </c>
      <c r="E251" s="194"/>
      <c r="F251" s="200"/>
      <c r="G251" s="200"/>
      <c r="H251" s="200"/>
      <c r="I251" s="200"/>
      <c r="J251" s="200"/>
      <c r="K251" s="200"/>
      <c r="L251" s="194"/>
      <c r="M251" s="200"/>
      <c r="N251" s="200"/>
      <c r="O251" s="200"/>
      <c r="Q251" s="219"/>
      <c r="R251" s="219"/>
      <c r="S251" s="219"/>
      <c r="T251" s="219"/>
      <c r="U251" s="219"/>
      <c r="V251" s="219"/>
      <c r="W251" s="216"/>
      <c r="X251" s="217"/>
      <c r="Y251" s="217"/>
      <c r="Z251" s="217"/>
      <c r="AA251" s="217"/>
      <c r="AB251" s="217"/>
      <c r="AC251" s="217"/>
    </row>
    <row r="252" spans="1:29" ht="22.5">
      <c r="A252" s="199"/>
      <c r="B252" s="194" t="s">
        <v>955</v>
      </c>
      <c r="C252" s="198">
        <v>330</v>
      </c>
      <c r="D252" s="194" t="s">
        <v>954</v>
      </c>
      <c r="E252" s="194"/>
      <c r="F252" s="200"/>
      <c r="G252" s="200"/>
      <c r="H252" s="200"/>
      <c r="I252" s="200"/>
      <c r="J252" s="200"/>
      <c r="K252" s="200"/>
      <c r="L252" s="194"/>
      <c r="M252" s="200"/>
      <c r="N252" s="200"/>
      <c r="O252" s="200"/>
      <c r="Q252" s="219"/>
      <c r="R252" s="219"/>
      <c r="S252" s="219"/>
      <c r="T252" s="219"/>
      <c r="U252" s="219"/>
      <c r="V252" s="219"/>
      <c r="W252" s="216"/>
      <c r="X252" s="217"/>
      <c r="Y252" s="217"/>
      <c r="Z252" s="217"/>
      <c r="AA252" s="217"/>
      <c r="AB252" s="217"/>
      <c r="AC252" s="217"/>
    </row>
    <row r="253" spans="1:29" ht="33.75">
      <c r="A253" s="199"/>
      <c r="B253" s="194" t="s">
        <v>956</v>
      </c>
      <c r="C253" s="198">
        <v>230</v>
      </c>
      <c r="D253" s="194" t="s">
        <v>954</v>
      </c>
      <c r="E253" s="194"/>
      <c r="F253" s="200"/>
      <c r="G253" s="200"/>
      <c r="H253" s="200"/>
      <c r="I253" s="200"/>
      <c r="J253" s="200"/>
      <c r="K253" s="200"/>
      <c r="L253" s="194"/>
      <c r="M253" s="200"/>
      <c r="N253" s="200"/>
      <c r="O253" s="200"/>
      <c r="Q253" s="219"/>
      <c r="R253" s="219"/>
      <c r="S253" s="219"/>
      <c r="T253" s="219"/>
      <c r="U253" s="219"/>
      <c r="V253" s="219"/>
      <c r="W253" s="216"/>
      <c r="X253" s="217"/>
      <c r="Y253" s="217"/>
      <c r="Z253" s="217"/>
      <c r="AA253" s="217"/>
      <c r="AB253" s="217"/>
      <c r="AC253" s="217"/>
    </row>
    <row r="254" spans="1:29" ht="22.5">
      <c r="A254" s="199"/>
      <c r="B254" s="194" t="s">
        <v>957</v>
      </c>
      <c r="C254" s="195">
        <v>3.2</v>
      </c>
      <c r="D254" s="631" t="s">
        <v>958</v>
      </c>
      <c r="E254" s="633"/>
      <c r="F254" s="633"/>
      <c r="G254" s="633"/>
      <c r="H254" s="633"/>
      <c r="I254" s="633"/>
      <c r="J254" s="633"/>
      <c r="K254" s="633"/>
      <c r="L254" s="633"/>
      <c r="M254" s="633"/>
      <c r="N254" s="633"/>
      <c r="O254" s="632"/>
      <c r="Q254" s="219"/>
      <c r="R254" s="219"/>
      <c r="S254" s="219"/>
      <c r="T254" s="219"/>
      <c r="U254" s="219"/>
      <c r="V254" s="219"/>
      <c r="W254" s="216"/>
      <c r="X254" s="217"/>
      <c r="Y254" s="217"/>
      <c r="Z254" s="217"/>
      <c r="AA254" s="217"/>
      <c r="AB254" s="217"/>
      <c r="AC254" s="217"/>
    </row>
    <row r="255" spans="1:29" ht="22.5">
      <c r="A255" s="199"/>
      <c r="B255" s="194" t="s">
        <v>959</v>
      </c>
      <c r="C255" s="195">
        <v>1.7</v>
      </c>
      <c r="D255" s="631" t="s">
        <v>958</v>
      </c>
      <c r="E255" s="633"/>
      <c r="F255" s="633"/>
      <c r="G255" s="633"/>
      <c r="H255" s="633"/>
      <c r="I255" s="633"/>
      <c r="J255" s="633"/>
      <c r="K255" s="633"/>
      <c r="L255" s="633"/>
      <c r="M255" s="633"/>
      <c r="N255" s="633"/>
      <c r="O255" s="632"/>
      <c r="Q255" s="219"/>
      <c r="R255" s="219"/>
      <c r="S255" s="219"/>
      <c r="T255" s="219"/>
      <c r="U255" s="219"/>
      <c r="V255" s="219"/>
      <c r="W255" s="216"/>
      <c r="X255" s="217"/>
      <c r="Y255" s="217"/>
      <c r="Z255" s="217"/>
      <c r="AA255" s="217"/>
      <c r="AB255" s="217"/>
      <c r="AC255" s="217"/>
    </row>
    <row r="256" spans="1:29" ht="22.5">
      <c r="A256" s="199"/>
      <c r="B256" s="194" t="s">
        <v>960</v>
      </c>
      <c r="C256" s="195">
        <v>1.1000000000000001</v>
      </c>
      <c r="D256" s="631" t="s">
        <v>958</v>
      </c>
      <c r="E256" s="633"/>
      <c r="F256" s="633"/>
      <c r="G256" s="633"/>
      <c r="H256" s="633"/>
      <c r="I256" s="633"/>
      <c r="J256" s="633"/>
      <c r="K256" s="633"/>
      <c r="L256" s="633"/>
      <c r="M256" s="633"/>
      <c r="N256" s="633"/>
      <c r="O256" s="632"/>
      <c r="Q256" s="219"/>
      <c r="R256" s="219"/>
      <c r="S256" s="219"/>
      <c r="T256" s="219"/>
      <c r="U256" s="219"/>
      <c r="V256" s="219"/>
      <c r="W256" s="216"/>
      <c r="X256" s="217"/>
      <c r="Y256" s="217"/>
      <c r="Z256" s="217"/>
      <c r="AA256" s="217"/>
      <c r="AB256" s="217"/>
      <c r="AC256" s="217"/>
    </row>
    <row r="257" spans="1:29" ht="22.5">
      <c r="A257" s="199"/>
      <c r="B257" s="194" t="s">
        <v>961</v>
      </c>
      <c r="C257" s="195">
        <v>3.9</v>
      </c>
      <c r="D257" s="194" t="s">
        <v>954</v>
      </c>
      <c r="E257" s="194"/>
      <c r="F257" s="200"/>
      <c r="G257" s="200"/>
      <c r="H257" s="200"/>
      <c r="I257" s="200"/>
      <c r="J257" s="200"/>
      <c r="K257" s="200"/>
      <c r="L257" s="194"/>
      <c r="M257" s="200"/>
      <c r="N257" s="200"/>
      <c r="O257" s="200"/>
      <c r="Q257" s="219"/>
      <c r="R257" s="219"/>
      <c r="S257" s="219"/>
      <c r="T257" s="219"/>
      <c r="U257" s="219"/>
      <c r="V257" s="219"/>
      <c r="W257" s="216"/>
      <c r="X257" s="217"/>
      <c r="Y257" s="217"/>
      <c r="Z257" s="217"/>
      <c r="AA257" s="217"/>
      <c r="AB257" s="217"/>
      <c r="AC257" s="217"/>
    </row>
    <row r="258" spans="1:29" ht="22.5">
      <c r="A258" s="199"/>
      <c r="B258" s="194" t="s">
        <v>962</v>
      </c>
      <c r="C258" s="195">
        <v>3.1</v>
      </c>
      <c r="D258" s="194" t="s">
        <v>954</v>
      </c>
      <c r="E258" s="194"/>
      <c r="F258" s="200"/>
      <c r="G258" s="200"/>
      <c r="H258" s="200"/>
      <c r="I258" s="200"/>
      <c r="J258" s="200"/>
      <c r="K258" s="200"/>
      <c r="L258" s="194"/>
      <c r="M258" s="200"/>
      <c r="N258" s="200"/>
      <c r="O258" s="200"/>
      <c r="Q258" s="219"/>
      <c r="R258" s="219"/>
      <c r="S258" s="219"/>
      <c r="T258" s="219"/>
      <c r="U258" s="219"/>
      <c r="V258" s="219"/>
      <c r="W258" s="216"/>
      <c r="X258" s="217"/>
      <c r="Y258" s="217"/>
      <c r="Z258" s="217"/>
      <c r="AA258" s="217"/>
      <c r="AB258" s="217"/>
      <c r="AC258" s="217"/>
    </row>
    <row r="259" spans="1:29" ht="22.5">
      <c r="A259" s="199"/>
      <c r="B259" s="194" t="s">
        <v>435</v>
      </c>
      <c r="C259" s="198">
        <v>40</v>
      </c>
      <c r="D259" s="194" t="s">
        <v>963</v>
      </c>
      <c r="E259" s="194"/>
      <c r="F259" s="200"/>
      <c r="G259" s="200"/>
      <c r="H259" s="200"/>
      <c r="I259" s="200"/>
      <c r="J259" s="200"/>
      <c r="K259" s="200"/>
      <c r="L259" s="194"/>
      <c r="M259" s="200"/>
      <c r="N259" s="200"/>
      <c r="O259" s="200"/>
      <c r="Q259" s="219"/>
      <c r="R259" s="219"/>
      <c r="S259" s="219"/>
      <c r="T259" s="219"/>
      <c r="U259" s="219"/>
      <c r="V259" s="219"/>
      <c r="W259" s="216"/>
      <c r="X259" s="217"/>
      <c r="Y259" s="217"/>
      <c r="Z259" s="217"/>
      <c r="AA259" s="217"/>
      <c r="AB259" s="217"/>
      <c r="AC259" s="217"/>
    </row>
    <row r="260" spans="1:29">
      <c r="Q260" s="219"/>
      <c r="R260" s="219"/>
      <c r="S260" s="219"/>
      <c r="T260" s="219"/>
      <c r="U260" s="219"/>
      <c r="V260" s="219"/>
      <c r="W260" s="216"/>
      <c r="X260" s="217"/>
      <c r="Y260" s="217"/>
      <c r="Z260" s="217"/>
      <c r="AA260" s="217"/>
      <c r="AB260" s="217"/>
      <c r="AC260" s="217"/>
    </row>
    <row r="261" spans="1:29" ht="22.5">
      <c r="A261" s="194" t="s">
        <v>900</v>
      </c>
      <c r="B261" s="194" t="s">
        <v>901</v>
      </c>
      <c r="C261" s="209">
        <v>449</v>
      </c>
      <c r="D261" s="209">
        <v>387</v>
      </c>
      <c r="E261" s="209">
        <v>430</v>
      </c>
      <c r="F261" s="209">
        <v>278</v>
      </c>
      <c r="G261" s="209">
        <v>267</v>
      </c>
      <c r="H261" s="209">
        <v>150</v>
      </c>
      <c r="I261" s="209">
        <v>143</v>
      </c>
      <c r="J261" s="209">
        <v>124</v>
      </c>
      <c r="K261" s="209">
        <v>136</v>
      </c>
      <c r="L261" s="209">
        <v>304</v>
      </c>
      <c r="M261" s="209">
        <v>266</v>
      </c>
      <c r="N261" s="209">
        <v>361</v>
      </c>
      <c r="O261" s="209">
        <v>128</v>
      </c>
      <c r="Q261" s="219">
        <f t="shared" si="84"/>
        <v>456.20974326408418</v>
      </c>
      <c r="R261" s="219">
        <f t="shared" si="85"/>
        <v>393.21418851492336</v>
      </c>
      <c r="S261" s="219">
        <f t="shared" si="86"/>
        <v>436.90465390547041</v>
      </c>
      <c r="T261" s="219">
        <f t="shared" si="87"/>
        <v>282.46393903655991</v>
      </c>
      <c r="U261" s="219">
        <f t="shared" si="88"/>
        <v>271.28730835525721</v>
      </c>
      <c r="V261" s="219">
        <f t="shared" si="95"/>
        <v>152.40860019958271</v>
      </c>
      <c r="W261" s="216">
        <f t="shared" si="89"/>
        <v>145.29619885693552</v>
      </c>
      <c r="X261" s="217">
        <f t="shared" si="90"/>
        <v>125.99110949832169</v>
      </c>
      <c r="Y261" s="217">
        <f t="shared" si="91"/>
        <v>138.1837975142883</v>
      </c>
      <c r="Z261" s="217">
        <f t="shared" si="92"/>
        <v>308.88142973782095</v>
      </c>
      <c r="AA261" s="217">
        <f t="shared" si="96"/>
        <v>270.2712510205933</v>
      </c>
      <c r="AB261" s="217">
        <f t="shared" si="93"/>
        <v>366.79669781366238</v>
      </c>
      <c r="AC261" s="217">
        <f t="shared" si="94"/>
        <v>130.05533883697723</v>
      </c>
    </row>
    <row r="262" spans="1:29">
      <c r="A262" s="631" t="s">
        <v>964</v>
      </c>
      <c r="B262" s="632"/>
      <c r="C262" s="209">
        <f t="shared" ref="C262:O262" si="97">C29*C30</f>
        <v>15000</v>
      </c>
      <c r="D262" s="209">
        <f t="shared" si="97"/>
        <v>15000</v>
      </c>
      <c r="E262" s="209">
        <f t="shared" si="97"/>
        <v>12500</v>
      </c>
      <c r="F262" s="209">
        <f t="shared" si="97"/>
        <v>6000</v>
      </c>
      <c r="G262" s="209">
        <f t="shared" si="97"/>
        <v>4000</v>
      </c>
      <c r="H262" s="209">
        <f t="shared" si="97"/>
        <v>2000</v>
      </c>
      <c r="I262" s="209">
        <f t="shared" si="97"/>
        <v>2250</v>
      </c>
      <c r="J262" s="209">
        <f t="shared" si="97"/>
        <v>1000</v>
      </c>
      <c r="K262" s="209">
        <f t="shared" si="97"/>
        <v>1000</v>
      </c>
      <c r="L262" s="209">
        <f t="shared" si="97"/>
        <v>9000</v>
      </c>
      <c r="M262" s="209">
        <f t="shared" si="97"/>
        <v>7500</v>
      </c>
      <c r="N262" s="209">
        <f t="shared" si="97"/>
        <v>9000</v>
      </c>
      <c r="O262" s="209">
        <f t="shared" si="97"/>
        <v>4000</v>
      </c>
      <c r="Q262" s="219"/>
      <c r="R262" s="219"/>
      <c r="S262" s="219"/>
      <c r="T262" s="219"/>
      <c r="U262" s="219"/>
      <c r="V262" s="219"/>
      <c r="W262" s="216"/>
      <c r="X262" s="217"/>
      <c r="Y262" s="217"/>
      <c r="Z262" s="217"/>
      <c r="AA262" s="217"/>
      <c r="AB262" s="217"/>
      <c r="AC262" s="217"/>
    </row>
    <row r="263" spans="1:29">
      <c r="A263" s="631" t="s">
        <v>965</v>
      </c>
      <c r="B263" s="632"/>
      <c r="C263" s="209">
        <f t="shared" ref="C263:L263" si="98">SUM(C143:C145)</f>
        <v>101</v>
      </c>
      <c r="D263" s="209">
        <f t="shared" si="98"/>
        <v>91</v>
      </c>
      <c r="E263" s="209">
        <f t="shared" si="98"/>
        <v>52</v>
      </c>
      <c r="F263" s="209">
        <f t="shared" si="98"/>
        <v>43</v>
      </c>
      <c r="G263" s="209">
        <f t="shared" si="98"/>
        <v>46</v>
      </c>
      <c r="H263" s="209">
        <f t="shared" si="98"/>
        <v>27</v>
      </c>
      <c r="I263" s="209">
        <f t="shared" si="98"/>
        <v>22</v>
      </c>
      <c r="J263" s="209">
        <f t="shared" si="98"/>
        <v>18</v>
      </c>
      <c r="K263" s="209">
        <f t="shared" si="98"/>
        <v>22</v>
      </c>
      <c r="L263" s="209">
        <f t="shared" si="98"/>
        <v>82</v>
      </c>
      <c r="M263" s="209"/>
      <c r="N263" s="209">
        <f>SUM(N143:N145)</f>
        <v>70</v>
      </c>
      <c r="O263" s="209">
        <f>SUM(O143:O145)</f>
        <v>29</v>
      </c>
      <c r="Q263" s="219"/>
      <c r="R263" s="219"/>
      <c r="S263" s="219"/>
      <c r="T263" s="219"/>
      <c r="U263" s="219"/>
      <c r="V263" s="219"/>
      <c r="W263" s="216"/>
      <c r="X263" s="217"/>
      <c r="Y263" s="217"/>
      <c r="Z263" s="217"/>
      <c r="AA263" s="217"/>
      <c r="AB263" s="217"/>
      <c r="AC263" s="217"/>
    </row>
    <row r="264" spans="1:29">
      <c r="A264" s="631" t="s">
        <v>966</v>
      </c>
      <c r="B264" s="632"/>
      <c r="C264" s="209">
        <f t="shared" ref="C264:L264" si="99">C263+C146</f>
        <v>146</v>
      </c>
      <c r="D264" s="209">
        <f t="shared" si="99"/>
        <v>138</v>
      </c>
      <c r="E264" s="209">
        <f t="shared" si="99"/>
        <v>89</v>
      </c>
      <c r="F264" s="209">
        <f t="shared" si="99"/>
        <v>48</v>
      </c>
      <c r="G264" s="209">
        <f t="shared" si="99"/>
        <v>66</v>
      </c>
      <c r="H264" s="209">
        <f t="shared" si="99"/>
        <v>41</v>
      </c>
      <c r="I264" s="209">
        <f t="shared" si="99"/>
        <v>31</v>
      </c>
      <c r="J264" s="209">
        <f t="shared" si="99"/>
        <v>19</v>
      </c>
      <c r="K264" s="209">
        <f t="shared" si="99"/>
        <v>30</v>
      </c>
      <c r="L264" s="209">
        <f t="shared" si="99"/>
        <v>109</v>
      </c>
      <c r="M264" s="240">
        <f>17.6+7.7+37+32.9</f>
        <v>95.199999999999989</v>
      </c>
      <c r="N264" s="209">
        <f>N263+N146</f>
        <v>100</v>
      </c>
      <c r="O264" s="209">
        <f>O263+O146</f>
        <v>44</v>
      </c>
      <c r="Q264" s="219"/>
      <c r="R264" s="219"/>
      <c r="S264" s="219"/>
      <c r="T264" s="219"/>
      <c r="U264" s="219"/>
      <c r="V264" s="219"/>
      <c r="W264" s="216"/>
      <c r="X264" s="217"/>
      <c r="Y264" s="217"/>
      <c r="Z264" s="217"/>
      <c r="AA264" s="217"/>
      <c r="AB264" s="217"/>
      <c r="AC264" s="217"/>
    </row>
    <row r="265" spans="1:29">
      <c r="A265" s="235"/>
      <c r="B265" s="235"/>
      <c r="C265" s="236"/>
      <c r="D265" s="236"/>
      <c r="E265" s="236"/>
      <c r="F265" s="236"/>
      <c r="G265" s="236"/>
      <c r="H265" s="236"/>
      <c r="I265" s="236"/>
      <c r="J265" s="236"/>
      <c r="K265" s="236"/>
      <c r="L265" s="236"/>
      <c r="M265" s="236"/>
      <c r="N265" s="236"/>
      <c r="O265" s="236"/>
      <c r="Q265" s="219"/>
      <c r="R265" s="219"/>
      <c r="S265" s="219"/>
      <c r="T265" s="219"/>
      <c r="U265" s="219"/>
      <c r="V265" s="219"/>
      <c r="W265" s="216"/>
      <c r="X265" s="217"/>
      <c r="Y265" s="217"/>
      <c r="Z265" s="217"/>
      <c r="AA265" s="217"/>
      <c r="AB265" s="217"/>
      <c r="AC265" s="217"/>
    </row>
    <row r="266" spans="1:29">
      <c r="A266" s="235"/>
      <c r="B266" s="235"/>
      <c r="C266" s="236">
        <f t="shared" ref="C266:L266" si="100">SUM(C144:C145)</f>
        <v>67</v>
      </c>
      <c r="D266" s="236">
        <f t="shared" si="100"/>
        <v>60</v>
      </c>
      <c r="E266" s="236">
        <f t="shared" si="100"/>
        <v>52</v>
      </c>
      <c r="F266" s="236">
        <f t="shared" si="100"/>
        <v>42</v>
      </c>
      <c r="G266" s="236">
        <f t="shared" si="100"/>
        <v>46</v>
      </c>
      <c r="H266" s="236">
        <f t="shared" si="100"/>
        <v>27</v>
      </c>
      <c r="I266" s="236">
        <f t="shared" si="100"/>
        <v>22</v>
      </c>
      <c r="J266" s="236">
        <f t="shared" si="100"/>
        <v>18</v>
      </c>
      <c r="K266" s="236">
        <f t="shared" si="100"/>
        <v>22</v>
      </c>
      <c r="L266" s="236">
        <f t="shared" si="100"/>
        <v>65</v>
      </c>
      <c r="M266" s="236"/>
      <c r="N266" s="236">
        <f>SUM(N144:N145)</f>
        <v>46</v>
      </c>
      <c r="O266" s="236">
        <f>SUM(O144:O145)</f>
        <v>22</v>
      </c>
      <c r="Q266" s="219"/>
      <c r="R266" s="219"/>
      <c r="S266" s="219"/>
      <c r="T266" s="219"/>
      <c r="U266" s="219"/>
      <c r="V266" s="219"/>
      <c r="W266" s="216"/>
      <c r="X266" s="217"/>
      <c r="Y266" s="217"/>
      <c r="Z266" s="217"/>
      <c r="AA266" s="217"/>
      <c r="AB266" s="217"/>
      <c r="AC266" s="217"/>
    </row>
    <row r="267" spans="1:29">
      <c r="A267" s="235"/>
      <c r="B267" s="235"/>
      <c r="C267" s="236"/>
      <c r="D267" s="236"/>
      <c r="E267" s="236"/>
      <c r="F267" s="236"/>
      <c r="G267" s="236"/>
      <c r="H267" s="236"/>
      <c r="I267" s="236"/>
      <c r="J267" s="236"/>
      <c r="K267" s="236"/>
      <c r="L267" s="236"/>
      <c r="M267" s="236"/>
      <c r="N267" s="236"/>
      <c r="O267" s="236"/>
      <c r="Q267" s="219"/>
      <c r="R267" s="219"/>
      <c r="S267" s="219"/>
      <c r="T267" s="219"/>
      <c r="U267" s="219"/>
      <c r="V267" s="219"/>
      <c r="W267" s="216"/>
      <c r="X267" s="217"/>
      <c r="Y267" s="217"/>
      <c r="Z267" s="217"/>
      <c r="AA267" s="217"/>
      <c r="AB267" s="217"/>
      <c r="AC267" s="217"/>
    </row>
    <row r="268" spans="1:29">
      <c r="A268" s="630" t="s">
        <v>866</v>
      </c>
      <c r="B268" s="630"/>
      <c r="C268" s="202" t="s">
        <v>867</v>
      </c>
      <c r="D268" s="202" t="s">
        <v>867</v>
      </c>
      <c r="E268" s="202" t="s">
        <v>867</v>
      </c>
      <c r="F268" s="202" t="s">
        <v>867</v>
      </c>
      <c r="G268" s="202" t="s">
        <v>867</v>
      </c>
      <c r="H268" s="202" t="s">
        <v>867</v>
      </c>
      <c r="I268" s="202" t="s">
        <v>867</v>
      </c>
      <c r="J268" s="202" t="s">
        <v>867</v>
      </c>
      <c r="K268" s="202" t="s">
        <v>867</v>
      </c>
      <c r="L268" s="202" t="s">
        <v>868</v>
      </c>
      <c r="M268" s="200" t="s">
        <v>868</v>
      </c>
      <c r="N268" s="202" t="s">
        <v>868</v>
      </c>
      <c r="O268" s="202" t="s">
        <v>868</v>
      </c>
      <c r="Q268" s="219"/>
      <c r="R268" s="219"/>
      <c r="S268" s="219"/>
      <c r="T268" s="219"/>
      <c r="U268" s="219"/>
      <c r="V268" s="219"/>
      <c r="W268" s="216"/>
      <c r="X268" s="217"/>
      <c r="Y268" s="217"/>
      <c r="Z268" s="217"/>
      <c r="AA268" s="217"/>
      <c r="AB268" s="217"/>
      <c r="AC268" s="217"/>
    </row>
    <row r="269" spans="1:29">
      <c r="A269" s="630" t="s">
        <v>869</v>
      </c>
      <c r="B269" s="630"/>
      <c r="C269" s="201">
        <v>356331</v>
      </c>
      <c r="D269" s="201">
        <v>356331</v>
      </c>
      <c r="E269" s="201">
        <v>356331</v>
      </c>
      <c r="F269" s="201">
        <v>196200</v>
      </c>
      <c r="G269" s="201">
        <v>196200</v>
      </c>
      <c r="H269" s="201">
        <v>161700</v>
      </c>
      <c r="I269" s="201">
        <v>108770</v>
      </c>
      <c r="J269" s="211">
        <v>70420</v>
      </c>
      <c r="K269" s="211">
        <v>62600</v>
      </c>
      <c r="L269" s="201">
        <v>201000</v>
      </c>
      <c r="M269" s="200"/>
      <c r="N269" s="201">
        <v>201000</v>
      </c>
      <c r="O269" s="201">
        <v>84700</v>
      </c>
      <c r="Q269" s="219">
        <f>C269/3.2808^3</f>
        <v>10090.53836133726</v>
      </c>
      <c r="R269" s="219">
        <f t="shared" ref="R269:AC269" si="101">D269/3.2808^3</f>
        <v>10090.53836133726</v>
      </c>
      <c r="S269" s="219">
        <f t="shared" si="101"/>
        <v>10090.53836133726</v>
      </c>
      <c r="T269" s="219">
        <f t="shared" si="101"/>
        <v>5555.9679805977321</v>
      </c>
      <c r="U269" s="219">
        <f t="shared" si="101"/>
        <v>5555.9679805977321</v>
      </c>
      <c r="V269" s="219">
        <f t="shared" si="101"/>
        <v>4579.00113385654</v>
      </c>
      <c r="W269" s="216">
        <f t="shared" si="101"/>
        <v>3080.135765798243</v>
      </c>
      <c r="X269" s="217">
        <f t="shared" si="101"/>
        <v>1994.1450825366578</v>
      </c>
      <c r="Y269" s="217">
        <f t="shared" si="101"/>
        <v>1772.6992639419877</v>
      </c>
      <c r="Z269" s="217">
        <f t="shared" si="101"/>
        <v>5691.8938027530276</v>
      </c>
      <c r="AA269" s="217">
        <f t="shared" si="101"/>
        <v>0</v>
      </c>
      <c r="AB269" s="217">
        <f t="shared" si="101"/>
        <v>5691.8938027530276</v>
      </c>
      <c r="AC269" s="217">
        <f t="shared" si="101"/>
        <v>2398.5244034486641</v>
      </c>
    </row>
    <row r="270" spans="1:29">
      <c r="A270" s="235"/>
      <c r="B270" s="235"/>
      <c r="C270" s="236"/>
      <c r="D270" s="236"/>
      <c r="E270" s="236"/>
      <c r="F270" s="236"/>
      <c r="G270" s="236"/>
      <c r="H270" s="236"/>
      <c r="I270" s="236"/>
      <c r="J270" s="236"/>
      <c r="K270" s="236"/>
      <c r="L270" s="236"/>
      <c r="M270" s="236"/>
      <c r="N270" s="236"/>
      <c r="O270" s="236"/>
      <c r="Q270" s="219"/>
      <c r="R270" s="219"/>
      <c r="S270" s="219"/>
      <c r="T270" s="219"/>
      <c r="U270" s="219"/>
      <c r="V270" s="219"/>
      <c r="W270" s="216"/>
      <c r="X270" s="217"/>
      <c r="Y270" s="217"/>
      <c r="Z270" s="217"/>
      <c r="AA270" s="217"/>
      <c r="AB270" s="217"/>
      <c r="AC270" s="217"/>
    </row>
    <row r="271" spans="1:29">
      <c r="A271" s="235"/>
      <c r="B271" s="235"/>
      <c r="C271" s="201">
        <f>(0.2685*(C23+C30*C29/(0.8*0.746))^1.225)</f>
        <v>471226.02869431081</v>
      </c>
      <c r="D271" s="201">
        <f>(0.2685*(D23+D30*D29/(0.8*0.746))^1.225)</f>
        <v>336826.19773736433</v>
      </c>
      <c r="E271" s="201">
        <f>(0.2685*(E23+E30*E29/(0.8*0.746))^1.225)</f>
        <v>318748.82221330324</v>
      </c>
      <c r="F271" s="201">
        <f t="shared" ref="F271:K271" si="102">(30851+1.472*F23+7.735*F29*F30)</f>
        <v>202381</v>
      </c>
      <c r="G271" s="201">
        <f t="shared" si="102"/>
        <v>186911</v>
      </c>
      <c r="H271" s="201">
        <f t="shared" si="102"/>
        <v>164081</v>
      </c>
      <c r="I271" s="201">
        <f t="shared" si="102"/>
        <v>99774.75</v>
      </c>
      <c r="J271" s="211">
        <f t="shared" si="102"/>
        <v>90106</v>
      </c>
      <c r="K271" s="211">
        <f t="shared" si="102"/>
        <v>68026</v>
      </c>
      <c r="L271" s="211">
        <f>(0.8346*(L23+L30*L29/(0.8*0.746))^1.084)</f>
        <v>207840.01633939563</v>
      </c>
      <c r="M271" s="211">
        <f>(0.8346*(M23+M30*M29/(0.8*0.746))^1.084)</f>
        <v>250877.13471372664</v>
      </c>
      <c r="N271" s="211">
        <f>(0.8346*(N23+N30*N29/(0.8*0.746))^1.084)</f>
        <v>207840.01633939563</v>
      </c>
      <c r="O271" s="211">
        <f>(0.8346*(O23+O30*O29/(0.8*0.746))^1.084)</f>
        <v>96170.572639446444</v>
      </c>
      <c r="Q271" s="219"/>
      <c r="R271" s="219"/>
      <c r="S271" s="219"/>
      <c r="T271" s="219"/>
      <c r="U271" s="219"/>
      <c r="V271" s="219"/>
      <c r="W271" s="216"/>
      <c r="X271" s="217"/>
      <c r="Y271" s="217"/>
      <c r="Z271" s="217"/>
      <c r="AA271" s="217"/>
      <c r="AB271" s="217"/>
      <c r="AC271" s="217"/>
    </row>
    <row r="272" spans="1:29">
      <c r="C272" s="236">
        <f t="shared" ref="C272:O272" si="103">C271/3.2808^3</f>
        <v>13344.121952343623</v>
      </c>
      <c r="D272" s="236">
        <f t="shared" si="103"/>
        <v>9538.203718936169</v>
      </c>
      <c r="E272" s="236">
        <f t="shared" si="103"/>
        <v>9026.2907750782451</v>
      </c>
      <c r="F272" s="236">
        <f t="shared" si="103"/>
        <v>5731.0007945022917</v>
      </c>
      <c r="G272" s="236">
        <f t="shared" si="103"/>
        <v>5292.9231968476179</v>
      </c>
      <c r="H272" s="236">
        <f t="shared" si="103"/>
        <v>4646.4260052214904</v>
      </c>
      <c r="I272" s="236">
        <f t="shared" si="103"/>
        <v>2825.409359185237</v>
      </c>
      <c r="J272" s="236">
        <f t="shared" si="103"/>
        <v>2551.6108606510666</v>
      </c>
      <c r="K272" s="236">
        <f t="shared" si="103"/>
        <v>1926.3520787367038</v>
      </c>
      <c r="L272" s="236">
        <f t="shared" si="103"/>
        <v>5885.588562021363</v>
      </c>
      <c r="M272" s="236">
        <f t="shared" si="103"/>
        <v>7104.3084991517271</v>
      </c>
      <c r="N272" s="236">
        <f t="shared" si="103"/>
        <v>5885.588562021363</v>
      </c>
      <c r="O272" s="236">
        <f t="shared" si="103"/>
        <v>2723.3466985754981</v>
      </c>
      <c r="Q272" s="219"/>
      <c r="R272" s="219"/>
      <c r="S272" s="219"/>
      <c r="T272" s="219"/>
      <c r="U272" s="219"/>
      <c r="V272" s="219"/>
      <c r="W272" s="216"/>
      <c r="X272" s="217"/>
      <c r="Y272" s="217"/>
      <c r="Z272" s="217"/>
      <c r="AA272" s="217"/>
      <c r="AB272" s="217"/>
      <c r="AC272" s="217"/>
    </row>
    <row r="274" spans="1:17">
      <c r="A274" s="235"/>
      <c r="B274" s="235"/>
      <c r="C274" s="236"/>
      <c r="D274" s="236"/>
      <c r="E274" s="236"/>
      <c r="F274" s="236"/>
      <c r="G274" s="236"/>
      <c r="H274" s="236"/>
      <c r="I274" s="236"/>
      <c r="J274" s="236"/>
      <c r="K274" s="236"/>
      <c r="L274" s="236"/>
      <c r="M274" s="236"/>
      <c r="N274" s="236"/>
      <c r="O274" s="236"/>
    </row>
    <row r="275" spans="1:17">
      <c r="A275" s="235"/>
      <c r="B275" s="235"/>
      <c r="C275" s="236"/>
      <c r="D275" s="236"/>
      <c r="E275" s="236"/>
      <c r="F275" s="236"/>
      <c r="G275" s="236"/>
      <c r="H275" s="236"/>
      <c r="I275" s="236"/>
      <c r="J275" s="236"/>
      <c r="K275" s="236"/>
      <c r="L275" s="236"/>
      <c r="M275" s="236"/>
      <c r="N275" s="236"/>
      <c r="O275" s="236"/>
    </row>
    <row r="276" spans="1:17">
      <c r="A276" s="235"/>
      <c r="B276" s="235"/>
      <c r="C276" s="236"/>
      <c r="D276" s="236"/>
      <c r="E276" s="236"/>
      <c r="F276" s="236"/>
      <c r="G276" s="236"/>
      <c r="H276" s="236"/>
      <c r="I276" s="236"/>
      <c r="J276" s="236"/>
      <c r="K276" s="236"/>
      <c r="L276" s="236"/>
      <c r="M276" s="236"/>
      <c r="N276" s="236"/>
      <c r="O276" s="236"/>
    </row>
    <row r="277" spans="1:17">
      <c r="A277" s="235"/>
      <c r="B277" s="235"/>
      <c r="C277" s="236"/>
      <c r="D277" s="236"/>
      <c r="E277" s="236"/>
      <c r="F277" s="236"/>
      <c r="G277" s="236"/>
      <c r="H277" s="236"/>
      <c r="I277" s="236"/>
      <c r="J277" s="236"/>
      <c r="K277" s="236"/>
      <c r="L277" s="236"/>
      <c r="M277" s="236"/>
      <c r="N277" s="236"/>
      <c r="O277" s="236"/>
    </row>
    <row r="278" spans="1:17">
      <c r="A278" s="235"/>
      <c r="B278" s="235"/>
      <c r="C278" s="236"/>
      <c r="D278" s="236"/>
      <c r="E278" s="236"/>
      <c r="F278" s="236"/>
      <c r="G278" s="236"/>
      <c r="H278" s="236"/>
      <c r="I278" s="236"/>
      <c r="J278" s="236"/>
      <c r="K278" s="236"/>
      <c r="L278" s="236"/>
      <c r="M278" s="236"/>
      <c r="N278" s="236"/>
      <c r="O278" s="236"/>
    </row>
    <row r="279" spans="1:17">
      <c r="C279" s="187">
        <f>C10/C9</f>
        <v>7.3999999999999996E-2</v>
      </c>
      <c r="D279" s="187">
        <f>D10/D9</f>
        <v>6.4220183486238536E-2</v>
      </c>
      <c r="L279" s="187">
        <f>L10/L9</f>
        <v>8.8709677419354843E-2</v>
      </c>
      <c r="O279" s="187">
        <f>O10/O9</f>
        <v>9.1891891891891897E-2</v>
      </c>
      <c r="Q279" s="187">
        <f>AVERAGE(C279:O279)</f>
        <v>7.9705438199371315E-2</v>
      </c>
    </row>
    <row r="280" spans="1:17">
      <c r="C280" s="187">
        <f>C11/C9</f>
        <v>8.7999999999999995E-2</v>
      </c>
      <c r="D280" s="187">
        <f>D11/D9</f>
        <v>6.0550458715596334E-2</v>
      </c>
      <c r="L280" s="187">
        <f>L11/L9</f>
        <v>5.6451612903225805E-2</v>
      </c>
      <c r="O280" s="187">
        <f>O11/O9</f>
        <v>8.1081081081081086E-2</v>
      </c>
      <c r="Q280" s="187">
        <f>AVERAGE(C280:O280)</f>
        <v>7.1520788174975813E-2</v>
      </c>
    </row>
    <row r="281" spans="1:17">
      <c r="C281" s="187">
        <f>C12/C9</f>
        <v>0.83799999999999997</v>
      </c>
      <c r="D281" s="187">
        <f>D12/D9</f>
        <v>0.87522935779816513</v>
      </c>
      <c r="L281" s="187">
        <f>L12/L9</f>
        <v>0.85483870967741937</v>
      </c>
      <c r="O281" s="187">
        <f>O12/O9</f>
        <v>0.82702702702702702</v>
      </c>
      <c r="Q281" s="187">
        <f>AVERAGE(C281:O281)</f>
        <v>0.84877377362565287</v>
      </c>
    </row>
    <row r="283" spans="1:17">
      <c r="C283" s="202" t="s">
        <v>834</v>
      </c>
      <c r="D283" s="202" t="s">
        <v>835</v>
      </c>
      <c r="E283" s="202" t="s">
        <v>836</v>
      </c>
      <c r="F283" s="202" t="s">
        <v>837</v>
      </c>
      <c r="G283" s="202" t="s">
        <v>838</v>
      </c>
      <c r="H283" s="202" t="s">
        <v>839</v>
      </c>
      <c r="I283" s="202" t="s">
        <v>840</v>
      </c>
      <c r="J283" s="202" t="s">
        <v>841</v>
      </c>
      <c r="K283" s="202" t="s">
        <v>842</v>
      </c>
      <c r="L283" s="202" t="s">
        <v>843</v>
      </c>
      <c r="M283" s="202" t="s">
        <v>844</v>
      </c>
      <c r="N283" s="202" t="s">
        <v>845</v>
      </c>
      <c r="O283" s="202" t="s">
        <v>846</v>
      </c>
    </row>
    <row r="284" spans="1:17">
      <c r="A284" s="631" t="s">
        <v>967</v>
      </c>
      <c r="B284" s="632"/>
      <c r="C284" s="237">
        <f t="shared" ref="C284:O284" si="104">C155+C248</f>
        <v>810</v>
      </c>
      <c r="D284" s="237">
        <f t="shared" si="104"/>
        <v>739</v>
      </c>
      <c r="E284" s="237">
        <f t="shared" si="104"/>
        <v>872</v>
      </c>
      <c r="F284" s="237">
        <f t="shared" si="104"/>
        <v>682</v>
      </c>
      <c r="G284" s="237">
        <f t="shared" si="104"/>
        <v>712</v>
      </c>
      <c r="H284" s="237">
        <f t="shared" si="104"/>
        <v>410</v>
      </c>
      <c r="I284" s="237">
        <f t="shared" si="104"/>
        <v>348</v>
      </c>
      <c r="J284" s="237">
        <f t="shared" si="104"/>
        <v>350</v>
      </c>
      <c r="K284" s="237">
        <f t="shared" si="104"/>
        <v>189</v>
      </c>
      <c r="L284" s="237">
        <f t="shared" si="104"/>
        <v>845</v>
      </c>
      <c r="M284" s="237">
        <f t="shared" si="104"/>
        <v>749</v>
      </c>
      <c r="N284" s="237">
        <f t="shared" si="104"/>
        <v>729</v>
      </c>
      <c r="O284" s="237">
        <f t="shared" si="104"/>
        <v>222</v>
      </c>
    </row>
    <row r="286" spans="1:17">
      <c r="C286" s="238">
        <f t="shared" ref="C286:L286" si="105">C263/C284</f>
        <v>0.12469135802469136</v>
      </c>
      <c r="D286" s="238">
        <f t="shared" si="105"/>
        <v>0.12313937753721245</v>
      </c>
      <c r="E286" s="238">
        <f t="shared" si="105"/>
        <v>5.9633027522935783E-2</v>
      </c>
      <c r="F286" s="238">
        <f t="shared" si="105"/>
        <v>6.3049853372434017E-2</v>
      </c>
      <c r="G286" s="238">
        <f t="shared" si="105"/>
        <v>6.4606741573033713E-2</v>
      </c>
      <c r="H286" s="238">
        <f t="shared" si="105"/>
        <v>6.5853658536585369E-2</v>
      </c>
      <c r="I286" s="238">
        <f t="shared" si="105"/>
        <v>6.3218390804597707E-2</v>
      </c>
      <c r="J286" s="238">
        <f t="shared" si="105"/>
        <v>5.1428571428571428E-2</v>
      </c>
      <c r="K286" s="238">
        <f t="shared" si="105"/>
        <v>0.1164021164021164</v>
      </c>
      <c r="L286" s="238">
        <f t="shared" si="105"/>
        <v>9.70414201183432E-2</v>
      </c>
      <c r="M286" s="238"/>
      <c r="N286" s="238">
        <f>N263/N284</f>
        <v>9.6021947873799723E-2</v>
      </c>
      <c r="O286" s="238">
        <f>O263/O284</f>
        <v>0.13063063063063063</v>
      </c>
    </row>
    <row r="287" spans="1:17">
      <c r="C287" s="238">
        <f t="shared" ref="C287:L287" si="106">C264/C284</f>
        <v>0.18024691358024691</v>
      </c>
      <c r="D287" s="238">
        <f t="shared" si="106"/>
        <v>0.18673883626522328</v>
      </c>
      <c r="E287" s="238">
        <f t="shared" si="106"/>
        <v>0.10206422018348624</v>
      </c>
      <c r="F287" s="238">
        <f t="shared" si="106"/>
        <v>7.0381231671554259E-2</v>
      </c>
      <c r="G287" s="238">
        <f t="shared" si="106"/>
        <v>9.269662921348315E-2</v>
      </c>
      <c r="H287" s="238">
        <f t="shared" si="106"/>
        <v>0.1</v>
      </c>
      <c r="I287" s="238">
        <f t="shared" si="106"/>
        <v>8.9080459770114945E-2</v>
      </c>
      <c r="J287" s="238">
        <f t="shared" si="106"/>
        <v>5.4285714285714284E-2</v>
      </c>
      <c r="K287" s="238">
        <f t="shared" si="106"/>
        <v>0.15873015873015872</v>
      </c>
      <c r="L287" s="238">
        <f t="shared" si="106"/>
        <v>0.1289940828402367</v>
      </c>
      <c r="M287" s="238"/>
      <c r="N287" s="238">
        <f>N264/N284</f>
        <v>0.13717421124828533</v>
      </c>
      <c r="O287" s="238">
        <f>O264/O284</f>
        <v>0.1981981981981982</v>
      </c>
      <c r="Q287" s="187">
        <f>AVERAGE(C287:O287)</f>
        <v>0.12488255466555852</v>
      </c>
    </row>
    <row r="288" spans="1:17">
      <c r="B288" s="187" t="s">
        <v>968</v>
      </c>
      <c r="C288" s="238">
        <f>C264/C284</f>
        <v>0.18024691358024691</v>
      </c>
      <c r="D288" s="238">
        <f>D264/D284</f>
        <v>0.18673883626522328</v>
      </c>
      <c r="E288" s="238">
        <f>E264/E284</f>
        <v>0.10206422018348624</v>
      </c>
      <c r="F288" s="238">
        <f>F264/F284</f>
        <v>7.0381231671554259E-2</v>
      </c>
      <c r="G288" s="238">
        <f>G264/G284</f>
        <v>9.269662921348315E-2</v>
      </c>
      <c r="H288" s="238"/>
      <c r="I288" s="238"/>
      <c r="J288" s="238"/>
      <c r="K288" s="238"/>
      <c r="L288" s="238">
        <f>L264/L284</f>
        <v>0.1289940828402367</v>
      </c>
      <c r="M288" s="238"/>
      <c r="N288" s="238"/>
      <c r="O288" s="238"/>
    </row>
    <row r="289" spans="1:17">
      <c r="B289" s="187" t="s">
        <v>969</v>
      </c>
      <c r="G289" s="238"/>
      <c r="H289" s="238">
        <f>H264/H284</f>
        <v>0.1</v>
      </c>
      <c r="I289" s="238"/>
      <c r="J289" s="238"/>
      <c r="K289" s="238"/>
      <c r="L289" s="238"/>
      <c r="M289" s="238">
        <f>M264/M284</f>
        <v>0.12710280373831775</v>
      </c>
      <c r="N289" s="238">
        <f>N264/N284</f>
        <v>0.13717421124828533</v>
      </c>
      <c r="O289" s="238"/>
    </row>
    <row r="290" spans="1:17">
      <c r="B290" s="187" t="s">
        <v>970</v>
      </c>
      <c r="G290" s="238"/>
      <c r="H290" s="238"/>
      <c r="I290" s="238">
        <f>I264/I284</f>
        <v>8.9080459770114945E-2</v>
      </c>
      <c r="J290" s="238">
        <f>J264/J284</f>
        <v>5.4285714285714284E-2</v>
      </c>
      <c r="K290" s="238">
        <f>K264/K284</f>
        <v>0.15873015873015872</v>
      </c>
      <c r="L290" s="238">
        <f>L264/L284</f>
        <v>0.1289940828402367</v>
      </c>
      <c r="M290" s="238"/>
      <c r="N290" s="238"/>
      <c r="O290" s="238">
        <f>O264/O284</f>
        <v>0.1981981981981982</v>
      </c>
    </row>
    <row r="292" spans="1:17">
      <c r="C292" s="187">
        <v>1976</v>
      </c>
      <c r="D292" s="187">
        <v>1974</v>
      </c>
      <c r="E292" s="187">
        <v>1967</v>
      </c>
      <c r="F292" s="187">
        <v>1964</v>
      </c>
      <c r="G292" s="187">
        <v>1962</v>
      </c>
      <c r="H292" s="187">
        <v>1953</v>
      </c>
      <c r="I292" s="187">
        <v>1972</v>
      </c>
      <c r="J292" s="187">
        <v>1964</v>
      </c>
      <c r="K292" s="187">
        <v>1963</v>
      </c>
      <c r="L292" s="187">
        <v>1983</v>
      </c>
      <c r="M292" s="187">
        <v>1991</v>
      </c>
      <c r="N292" s="187">
        <v>1981</v>
      </c>
      <c r="O292" s="187">
        <v>1977</v>
      </c>
    </row>
    <row r="293" spans="1:17">
      <c r="A293" s="187" t="s">
        <v>971</v>
      </c>
      <c r="C293" s="187">
        <f t="shared" ref="C293:O293" si="107">C292-1945</f>
        <v>31</v>
      </c>
      <c r="D293" s="187">
        <f t="shared" si="107"/>
        <v>29</v>
      </c>
      <c r="E293" s="187">
        <f t="shared" si="107"/>
        <v>22</v>
      </c>
      <c r="F293" s="187">
        <f t="shared" si="107"/>
        <v>19</v>
      </c>
      <c r="G293" s="187">
        <f t="shared" si="107"/>
        <v>17</v>
      </c>
      <c r="H293" s="187">
        <f t="shared" si="107"/>
        <v>8</v>
      </c>
      <c r="I293" s="187">
        <f t="shared" si="107"/>
        <v>27</v>
      </c>
      <c r="J293" s="187">
        <f t="shared" si="107"/>
        <v>19</v>
      </c>
      <c r="K293" s="187">
        <f t="shared" si="107"/>
        <v>18</v>
      </c>
      <c r="L293" s="187">
        <f t="shared" si="107"/>
        <v>38</v>
      </c>
      <c r="M293" s="187">
        <f t="shared" si="107"/>
        <v>46</v>
      </c>
      <c r="N293" s="187">
        <f t="shared" si="107"/>
        <v>36</v>
      </c>
      <c r="O293" s="187">
        <f t="shared" si="107"/>
        <v>32</v>
      </c>
    </row>
    <row r="294" spans="1:17">
      <c r="B294" s="187" t="s">
        <v>968</v>
      </c>
      <c r="C294" s="187">
        <f>C264</f>
        <v>146</v>
      </c>
      <c r="D294" s="187">
        <f>D264</f>
        <v>138</v>
      </c>
      <c r="E294" s="187">
        <f>E264</f>
        <v>89</v>
      </c>
      <c r="F294" s="187">
        <f>F264</f>
        <v>48</v>
      </c>
      <c r="G294" s="187">
        <f>G264</f>
        <v>66</v>
      </c>
      <c r="Q294" s="187">
        <f>AVERAGE(C294:O294)</f>
        <v>97.4</v>
      </c>
    </row>
    <row r="295" spans="1:17">
      <c r="B295" s="187" t="s">
        <v>969</v>
      </c>
      <c r="H295" s="187">
        <f>H264</f>
        <v>41</v>
      </c>
      <c r="L295" s="187">
        <f>L264</f>
        <v>109</v>
      </c>
      <c r="M295" s="187">
        <f>M264</f>
        <v>95.199999999999989</v>
      </c>
      <c r="N295" s="187">
        <f>N264</f>
        <v>100</v>
      </c>
      <c r="Q295" s="187">
        <f>AVERAGE(C295:O295)</f>
        <v>86.3</v>
      </c>
    </row>
    <row r="296" spans="1:17">
      <c r="B296" s="187" t="s">
        <v>970</v>
      </c>
      <c r="I296" s="187">
        <f>I264</f>
        <v>31</v>
      </c>
      <c r="J296" s="187">
        <f>J264</f>
        <v>19</v>
      </c>
      <c r="K296" s="187">
        <f>K264</f>
        <v>30</v>
      </c>
      <c r="O296" s="187">
        <f>O264</f>
        <v>44</v>
      </c>
      <c r="Q296" s="187">
        <f>AVERAGE(C296:O296)</f>
        <v>31</v>
      </c>
    </row>
    <row r="298" spans="1:17">
      <c r="C298" s="187">
        <f>C294/C$293</f>
        <v>4.709677419354839</v>
      </c>
      <c r="D298" s="187">
        <f>D294/D$293</f>
        <v>4.7586206896551726</v>
      </c>
      <c r="E298" s="187">
        <f>E294/E$293</f>
        <v>4.0454545454545459</v>
      </c>
      <c r="F298" s="187">
        <f>F294/F$293</f>
        <v>2.5263157894736841</v>
      </c>
      <c r="G298" s="187">
        <f>G294/G$293</f>
        <v>3.8823529411764706</v>
      </c>
      <c r="Q298" s="187">
        <f>AVERAGE(C298:O298)</f>
        <v>3.9844842770229425</v>
      </c>
    </row>
    <row r="299" spans="1:17">
      <c r="H299" s="187">
        <f>H295/H$293</f>
        <v>5.125</v>
      </c>
      <c r="L299" s="187">
        <f>L295/L$293</f>
        <v>2.8684210526315788</v>
      </c>
      <c r="M299" s="187">
        <f>M295/M$293</f>
        <v>2.0695652173913039</v>
      </c>
      <c r="N299" s="187">
        <f>N295/N$293</f>
        <v>2.7777777777777777</v>
      </c>
      <c r="Q299" s="187">
        <f>AVERAGE(C299:O299)</f>
        <v>3.2101910119501653</v>
      </c>
    </row>
    <row r="300" spans="1:17">
      <c r="I300" s="187">
        <f>I296/I$293</f>
        <v>1.1481481481481481</v>
      </c>
      <c r="J300" s="187">
        <f>J296/J$293</f>
        <v>1</v>
      </c>
      <c r="K300" s="187">
        <f>K296/K$293</f>
        <v>1.6666666666666667</v>
      </c>
      <c r="O300" s="187">
        <f>O296/O$293</f>
        <v>1.375</v>
      </c>
      <c r="Q300" s="187">
        <f>AVERAGE(C300:O300)</f>
        <v>1.2974537037037037</v>
      </c>
    </row>
    <row r="302" spans="1:17">
      <c r="B302" s="187" t="s">
        <v>284</v>
      </c>
      <c r="C302" s="239">
        <f t="shared" ref="C302:O302" si="108">C2/C4</f>
        <v>13.333333333333334</v>
      </c>
      <c r="D302" s="239">
        <f t="shared" si="108"/>
        <v>13.93643031784841</v>
      </c>
      <c r="E302" s="239">
        <f t="shared" si="108"/>
        <v>13.23529411764706</v>
      </c>
      <c r="F302" s="239">
        <f t="shared" si="108"/>
        <v>13.638020833333336</v>
      </c>
      <c r="G302" s="239">
        <f t="shared" si="108"/>
        <v>13.076923076923077</v>
      </c>
      <c r="H302" s="239">
        <f t="shared" si="108"/>
        <v>16.879432624113477</v>
      </c>
      <c r="I302" s="239">
        <f t="shared" si="108"/>
        <v>14.409722222222221</v>
      </c>
      <c r="J302" s="239">
        <f t="shared" si="108"/>
        <v>12.341772151898734</v>
      </c>
      <c r="K302" s="239">
        <f t="shared" si="108"/>
        <v>12.152777777777777</v>
      </c>
      <c r="L302" s="239">
        <f t="shared" si="108"/>
        <v>12.595238095238095</v>
      </c>
      <c r="M302" s="239">
        <f t="shared" si="108"/>
        <v>11.148325358851675</v>
      </c>
      <c r="N302" s="239">
        <f t="shared" si="108"/>
        <v>12.595238095238095</v>
      </c>
      <c r="O302" s="239">
        <f t="shared" si="108"/>
        <v>13.6</v>
      </c>
      <c r="P302" s="239"/>
      <c r="Q302" s="239">
        <f>Q2/Q4</f>
        <v>13.333333333333334</v>
      </c>
    </row>
    <row r="303" spans="1:17">
      <c r="B303" s="187" t="s">
        <v>282</v>
      </c>
      <c r="C303" s="239">
        <f t="shared" ref="C303:O303" si="109">C2/C3</f>
        <v>9.120521172638437</v>
      </c>
      <c r="D303" s="239">
        <f t="shared" si="109"/>
        <v>9.3289689034369889</v>
      </c>
      <c r="E303" s="239">
        <f t="shared" si="109"/>
        <v>9.3425605536332181</v>
      </c>
      <c r="F303" s="239">
        <f t="shared" si="109"/>
        <v>9.5391621129326065</v>
      </c>
      <c r="G303" s="239">
        <f t="shared" si="109"/>
        <v>9.568480300187618</v>
      </c>
      <c r="H303" s="239">
        <f t="shared" si="109"/>
        <v>9.5582329317269075</v>
      </c>
      <c r="I303" s="239">
        <f t="shared" si="109"/>
        <v>9.0611353711790397</v>
      </c>
      <c r="J303" s="239">
        <f t="shared" si="109"/>
        <v>8.9244851258581228</v>
      </c>
      <c r="K303" s="239">
        <f t="shared" si="109"/>
        <v>8.6633663366336631</v>
      </c>
      <c r="L303" s="239">
        <f t="shared" si="109"/>
        <v>9.6181818181818191</v>
      </c>
      <c r="M303" s="239">
        <f t="shared" si="109"/>
        <v>7.8187919463087248</v>
      </c>
      <c r="N303" s="239">
        <f t="shared" si="109"/>
        <v>9.6181818181818191</v>
      </c>
      <c r="O303" s="239">
        <f t="shared" si="109"/>
        <v>9.0666666666666664</v>
      </c>
      <c r="P303" s="239"/>
      <c r="Q303" s="239">
        <f>Q2/Q3</f>
        <v>9.120521172638437</v>
      </c>
    </row>
  </sheetData>
  <mergeCells count="58">
    <mergeCell ref="A1:B1"/>
    <mergeCell ref="A2:B2"/>
    <mergeCell ref="A3:B3"/>
    <mergeCell ref="A4:B4"/>
    <mergeCell ref="A5:B5"/>
    <mergeCell ref="A6:B6"/>
    <mergeCell ref="A7:B7"/>
    <mergeCell ref="A8:B8"/>
    <mergeCell ref="A9:B9"/>
    <mergeCell ref="A13:B13"/>
    <mergeCell ref="A14:B14"/>
    <mergeCell ref="A15:B15"/>
    <mergeCell ref="A16:B16"/>
    <mergeCell ref="A21:B21"/>
    <mergeCell ref="A22:B22"/>
    <mergeCell ref="A23:B23"/>
    <mergeCell ref="A24:B24"/>
    <mergeCell ref="A25:B25"/>
    <mergeCell ref="A26:B26"/>
    <mergeCell ref="A31:B31"/>
    <mergeCell ref="A32:B32"/>
    <mergeCell ref="A33:B33"/>
    <mergeCell ref="A34:B34"/>
    <mergeCell ref="A35:B35"/>
    <mergeCell ref="A36:B36"/>
    <mergeCell ref="A37:B37"/>
    <mergeCell ref="A38:B38"/>
    <mergeCell ref="A39:B39"/>
    <mergeCell ref="A40:B40"/>
    <mergeCell ref="A41:B41"/>
    <mergeCell ref="A42:B42"/>
    <mergeCell ref="A53:B53"/>
    <mergeCell ref="A91:B91"/>
    <mergeCell ref="A93:B93"/>
    <mergeCell ref="A118:B118"/>
    <mergeCell ref="A236:B236"/>
    <mergeCell ref="A238:B238"/>
    <mergeCell ref="A120:B120"/>
    <mergeCell ref="A140:B140"/>
    <mergeCell ref="A141:B141"/>
    <mergeCell ref="A142:B142"/>
    <mergeCell ref="A155:B155"/>
    <mergeCell ref="A269:B269"/>
    <mergeCell ref="A284:B284"/>
    <mergeCell ref="A29:A30"/>
    <mergeCell ref="D256:O256"/>
    <mergeCell ref="A262:B262"/>
    <mergeCell ref="A263:B263"/>
    <mergeCell ref="A264:B264"/>
    <mergeCell ref="A268:B268"/>
    <mergeCell ref="A248:B248"/>
    <mergeCell ref="A249:B249"/>
    <mergeCell ref="A250:B250"/>
    <mergeCell ref="D254:O254"/>
    <mergeCell ref="D255:O255"/>
    <mergeCell ref="A157:B157"/>
    <mergeCell ref="A200:B200"/>
    <mergeCell ref="A202:B202"/>
  </mergeCells>
  <pageMargins left="0.75" right="0.75" top="1" bottom="1" header="0.5" footer="0.5"/>
  <pageSetup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16"/>
  <sheetViews>
    <sheetView workbookViewId="0">
      <pane xSplit="1" ySplit="1" topLeftCell="B2" activePane="bottomRight" state="frozen"/>
      <selection pane="topRight"/>
      <selection pane="bottomLeft"/>
      <selection pane="bottomRight"/>
    </sheetView>
  </sheetViews>
  <sheetFormatPr defaultColWidth="9" defaultRowHeight="15.75"/>
  <cols>
    <col min="1" max="1" width="52.75" customWidth="1"/>
    <col min="2" max="2" width="7.125" customWidth="1"/>
    <col min="3" max="3" width="11.625" customWidth="1"/>
    <col min="4" max="5" width="10.5" customWidth="1"/>
    <col min="6" max="6" width="11.625" customWidth="1"/>
    <col min="7" max="7" width="13.875" customWidth="1"/>
    <col min="8" max="8" width="9.875" customWidth="1"/>
    <col min="9" max="9" width="13" customWidth="1"/>
    <col min="10" max="10" width="22.125" customWidth="1"/>
    <col min="11" max="11" width="11.625" customWidth="1"/>
    <col min="12" max="12" width="10.5" customWidth="1"/>
    <col min="13" max="13" width="11.5" customWidth="1"/>
    <col min="14" max="17" width="10.5" customWidth="1"/>
  </cols>
  <sheetData>
    <row r="1" spans="1:19">
      <c r="A1" s="339" t="s">
        <v>538</v>
      </c>
      <c r="B1" s="104" t="s">
        <v>539</v>
      </c>
      <c r="C1" s="340" t="s">
        <v>540</v>
      </c>
      <c r="D1" s="104" t="s">
        <v>541</v>
      </c>
      <c r="E1" s="105" t="s">
        <v>542</v>
      </c>
      <c r="F1" s="340" t="s">
        <v>543</v>
      </c>
      <c r="G1" s="105" t="s">
        <v>544</v>
      </c>
      <c r="H1" s="105" t="s">
        <v>545</v>
      </c>
      <c r="I1" s="340" t="s">
        <v>546</v>
      </c>
      <c r="J1" s="105" t="s">
        <v>547</v>
      </c>
      <c r="K1" s="340" t="s">
        <v>548</v>
      </c>
      <c r="L1" s="104" t="s">
        <v>549</v>
      </c>
      <c r="M1" s="105" t="s">
        <v>552</v>
      </c>
      <c r="N1" s="344" t="s">
        <v>521</v>
      </c>
      <c r="O1" s="340" t="s">
        <v>550</v>
      </c>
      <c r="P1" s="127" t="s">
        <v>551</v>
      </c>
      <c r="Q1" s="341" t="s">
        <v>553</v>
      </c>
    </row>
    <row r="2" spans="1:19">
      <c r="A2" s="103" t="s">
        <v>554</v>
      </c>
      <c r="B2" s="106">
        <v>54.559863447939499</v>
      </c>
      <c r="C2" s="107">
        <v>63.399170933918597</v>
      </c>
      <c r="D2" s="108">
        <v>85.619361131431305</v>
      </c>
      <c r="E2" s="108">
        <v>85.619361131431305</v>
      </c>
      <c r="F2" s="107">
        <v>63.399170933918597</v>
      </c>
      <c r="G2" s="107">
        <v>84.122774932943202</v>
      </c>
      <c r="H2" s="108">
        <v>77.724945135332803</v>
      </c>
      <c r="I2" s="110">
        <v>79.248963667398201</v>
      </c>
      <c r="J2" s="110">
        <v>79.248963667398201</v>
      </c>
      <c r="K2" s="107">
        <v>52.000475493781998</v>
      </c>
      <c r="L2" s="108">
        <v>70.104852475006098</v>
      </c>
      <c r="M2" s="108">
        <v>91.111923920994897</v>
      </c>
      <c r="N2" s="107">
        <v>124.359912216533</v>
      </c>
      <c r="O2" s="107">
        <v>135</v>
      </c>
      <c r="P2" s="128">
        <v>143.56</v>
      </c>
      <c r="Q2" s="142">
        <v>90.831504511094806</v>
      </c>
      <c r="S2" s="143">
        <f>Inputs!C6</f>
        <v>131</v>
      </c>
    </row>
    <row r="3" spans="1:19">
      <c r="A3" s="339" t="s">
        <v>557</v>
      </c>
      <c r="B3" s="109">
        <f>27.5/3.2808</f>
        <v>8.3821019263594234</v>
      </c>
      <c r="C3" s="110">
        <v>9.4489148988051692</v>
      </c>
      <c r="D3" s="108">
        <v>10.3938063886857</v>
      </c>
      <c r="E3" s="108">
        <v>10.3938063886857</v>
      </c>
      <c r="F3" s="110">
        <v>9.7537186052182392</v>
      </c>
      <c r="G3" s="110">
        <v>11.1497195805901</v>
      </c>
      <c r="H3" s="108">
        <v>9.7537186052182392</v>
      </c>
      <c r="I3" s="110">
        <v>10.210924164837801</v>
      </c>
      <c r="J3" s="110">
        <v>10.515727871250901</v>
      </c>
      <c r="K3" s="110">
        <v>8.5000777249451307</v>
      </c>
      <c r="L3" s="108">
        <v>9.4611070470616898</v>
      </c>
      <c r="M3" s="110">
        <v>11.7959034381858</v>
      </c>
      <c r="N3" s="129">
        <v>13.7771275298708</v>
      </c>
      <c r="O3" s="110">
        <v>16.8</v>
      </c>
      <c r="P3" s="130">
        <v>17.98</v>
      </c>
      <c r="Q3" s="144">
        <v>14.9658619848817</v>
      </c>
      <c r="S3" s="145">
        <f>Inputs!C7</f>
        <v>14.01</v>
      </c>
    </row>
    <row r="4" spans="1:19">
      <c r="A4" s="339" t="s">
        <v>558</v>
      </c>
      <c r="B4" s="106">
        <v>9.3981142810696596</v>
      </c>
      <c r="C4" s="110">
        <v>8.3272372592050701</v>
      </c>
      <c r="D4" s="108">
        <v>11.887344550109701</v>
      </c>
      <c r="E4" s="108">
        <v>11.887344550109701</v>
      </c>
      <c r="F4" s="110">
        <v>8.6869056327724898</v>
      </c>
      <c r="G4" s="110">
        <v>12.3506461838576</v>
      </c>
      <c r="H4" s="108">
        <v>10.668129724457399</v>
      </c>
      <c r="I4" s="110">
        <v>10.820531577663999</v>
      </c>
      <c r="J4" s="110">
        <v>11.704462326261901</v>
      </c>
      <c r="K4" s="110">
        <v>6.3303894909407799</v>
      </c>
      <c r="L4" s="108">
        <v>9.4611070470616898</v>
      </c>
      <c r="M4" s="110">
        <v>14</v>
      </c>
      <c r="N4" s="129">
        <v>13.7771275298708</v>
      </c>
      <c r="O4" s="129">
        <v>18.7</v>
      </c>
      <c r="P4" s="130">
        <v>20.239999999999998</v>
      </c>
      <c r="Q4" s="144">
        <v>12.344550109729299</v>
      </c>
      <c r="S4" s="40"/>
    </row>
    <row r="5" spans="1:19">
      <c r="A5" s="103" t="s">
        <v>559</v>
      </c>
      <c r="B5" s="106">
        <v>4.3736156831667099</v>
      </c>
      <c r="C5" s="108">
        <v>6.4862228724701296</v>
      </c>
      <c r="D5" s="108">
        <v>6.8916118019995096</v>
      </c>
      <c r="E5" s="108">
        <v>6.8916118019995096</v>
      </c>
      <c r="F5" s="108">
        <v>6.4862228724701296</v>
      </c>
      <c r="G5" s="108">
        <v>6.25152401853207</v>
      </c>
      <c r="H5" s="108">
        <v>6.0198732016581298</v>
      </c>
      <c r="I5" s="108">
        <v>6.0198732016581298</v>
      </c>
      <c r="J5" s="108">
        <v>6.0198732016581298</v>
      </c>
      <c r="K5" s="108">
        <v>5.7900529444037998</v>
      </c>
      <c r="L5" s="108">
        <v>6.0869300170690099</v>
      </c>
      <c r="M5" s="108">
        <v>8.9002682272616394</v>
      </c>
      <c r="N5" s="108">
        <v>9.1441111923920992</v>
      </c>
      <c r="O5" s="109">
        <v>9.8000000000000007</v>
      </c>
      <c r="P5" s="130">
        <v>12.75</v>
      </c>
      <c r="Q5" s="142">
        <v>9.2965130455986298</v>
      </c>
      <c r="S5" s="145">
        <f>Inputs!C8</f>
        <v>9.7899999999999991</v>
      </c>
    </row>
    <row r="6" spans="1:19">
      <c r="A6" s="103" t="s">
        <v>560</v>
      </c>
      <c r="B6" s="111"/>
      <c r="C6" s="108"/>
      <c r="D6" s="105"/>
      <c r="E6" s="108"/>
      <c r="F6" s="105"/>
      <c r="G6" s="105"/>
      <c r="H6" s="105"/>
      <c r="I6" s="108"/>
      <c r="J6" s="119"/>
      <c r="K6" s="108">
        <v>6.0000548646671499</v>
      </c>
      <c r="L6" s="108">
        <v>5.9954889051450904</v>
      </c>
      <c r="M6" s="108">
        <v>8.9002682272616394</v>
      </c>
      <c r="N6" s="108">
        <v>9.1441111923920992</v>
      </c>
      <c r="O6" s="108"/>
      <c r="P6" s="131"/>
      <c r="Q6" s="142">
        <v>9.2965130455986298</v>
      </c>
      <c r="S6" s="40"/>
    </row>
    <row r="7" spans="1:19">
      <c r="A7" s="103" t="s">
        <v>561</v>
      </c>
      <c r="B7" s="106"/>
      <c r="C7" s="110">
        <v>3.0663252865154802</v>
      </c>
      <c r="D7" s="108">
        <v>3.1699585466959301</v>
      </c>
      <c r="E7" s="108">
        <v>3.1699585466959301</v>
      </c>
      <c r="F7" s="110">
        <v>2.8651548402828602</v>
      </c>
      <c r="G7" s="110">
        <v>3.3528407705437702</v>
      </c>
      <c r="H7" s="108">
        <v>3.0480370641307002</v>
      </c>
      <c r="I7" s="110">
        <v>3.3528407705437702</v>
      </c>
      <c r="J7" s="110">
        <v>3.3528407705437702</v>
      </c>
      <c r="K7" s="110">
        <v>0</v>
      </c>
      <c r="L7" s="108"/>
      <c r="M7" s="110">
        <v>4.1148500365764402</v>
      </c>
      <c r="N7" s="110"/>
      <c r="O7" s="110">
        <v>5</v>
      </c>
      <c r="P7" s="130">
        <v>6.32</v>
      </c>
      <c r="Q7" s="144">
        <v>3.9014874420873</v>
      </c>
      <c r="S7" s="40"/>
    </row>
    <row r="8" spans="1:19">
      <c r="A8" s="103" t="s">
        <v>282</v>
      </c>
      <c r="B8" s="112">
        <f>B2/B3</f>
        <v>6.509090909090907</v>
      </c>
      <c r="C8" s="112">
        <f t="shared" ref="C8:Q8" si="0">C2/C3</f>
        <v>6.7096774193548434</v>
      </c>
      <c r="D8" s="112">
        <f t="shared" si="0"/>
        <v>8.2375366568914803</v>
      </c>
      <c r="E8" s="112">
        <f t="shared" si="0"/>
        <v>8.2375366568914803</v>
      </c>
      <c r="F8" s="112">
        <f t="shared" si="0"/>
        <v>6.5000000000000044</v>
      </c>
      <c r="G8" s="112">
        <f t="shared" si="0"/>
        <v>7.5448332422088589</v>
      </c>
      <c r="H8" s="112">
        <f t="shared" si="0"/>
        <v>7.9687499999999956</v>
      </c>
      <c r="I8" s="112">
        <f t="shared" si="0"/>
        <v>7.7611940298507802</v>
      </c>
      <c r="J8" s="112">
        <f t="shared" si="0"/>
        <v>7.5362318840579814</v>
      </c>
      <c r="K8" s="112">
        <f t="shared" si="0"/>
        <v>6.1176470588235317</v>
      </c>
      <c r="L8" s="112">
        <f t="shared" si="0"/>
        <v>7.4097938144329918</v>
      </c>
      <c r="M8" s="112">
        <f t="shared" si="0"/>
        <v>7.724031007751945</v>
      </c>
      <c r="N8" s="112">
        <f t="shared" si="0"/>
        <v>9.0265486725663813</v>
      </c>
      <c r="O8" s="112">
        <f t="shared" si="0"/>
        <v>8.0357142857142847</v>
      </c>
      <c r="P8" s="112">
        <f t="shared" si="0"/>
        <v>7.9844271412680756</v>
      </c>
      <c r="Q8" s="112">
        <f t="shared" si="0"/>
        <v>6.0692464358452254</v>
      </c>
      <c r="S8" s="40"/>
    </row>
    <row r="9" spans="1:19">
      <c r="A9" s="103" t="s">
        <v>284</v>
      </c>
      <c r="B9" s="112">
        <f>B2/B5</f>
        <v>12.474773139745903</v>
      </c>
      <c r="C9" s="112">
        <f t="shared" ref="C9:Q9" si="1">C2/C5</f>
        <v>9.7744360902255689</v>
      </c>
      <c r="D9" s="112">
        <f t="shared" si="1"/>
        <v>12.423706324635114</v>
      </c>
      <c r="E9" s="112">
        <f t="shared" si="1"/>
        <v>12.423706324635114</v>
      </c>
      <c r="F9" s="112">
        <f t="shared" si="1"/>
        <v>9.7744360902255689</v>
      </c>
      <c r="G9" s="112">
        <f t="shared" si="1"/>
        <v>13.456362749878101</v>
      </c>
      <c r="H9" s="112">
        <f t="shared" si="1"/>
        <v>12.911392405063289</v>
      </c>
      <c r="I9" s="112">
        <f t="shared" si="1"/>
        <v>13.164556962025323</v>
      </c>
      <c r="J9" s="112">
        <f t="shared" si="1"/>
        <v>13.164556962025323</v>
      </c>
      <c r="K9" s="112">
        <f t="shared" si="1"/>
        <v>8.9810017271157214</v>
      </c>
      <c r="L9" s="112">
        <f t="shared" si="1"/>
        <v>11.517275913870803</v>
      </c>
      <c r="M9" s="112">
        <f t="shared" si="1"/>
        <v>10.236986301369869</v>
      </c>
      <c r="N9" s="112">
        <f t="shared" si="1"/>
        <v>13.600000000000049</v>
      </c>
      <c r="O9" s="112">
        <f t="shared" si="1"/>
        <v>13.775510204081632</v>
      </c>
      <c r="P9" s="112">
        <f t="shared" si="1"/>
        <v>11.259607843137255</v>
      </c>
      <c r="Q9" s="112">
        <f t="shared" si="1"/>
        <v>9.7704918032786878</v>
      </c>
      <c r="S9" s="40"/>
    </row>
    <row r="10" spans="1:19">
      <c r="A10" s="103" t="s">
        <v>275</v>
      </c>
      <c r="B10" s="113">
        <f>B11*100</f>
        <v>2000.1696376804173</v>
      </c>
      <c r="C10" s="113">
        <f t="shared" ref="C10:Q10" si="2">C11*100</f>
        <v>3885.5936755742541</v>
      </c>
      <c r="D10" s="113">
        <f t="shared" si="2"/>
        <v>6132.9215825921574</v>
      </c>
      <c r="E10" s="113">
        <f t="shared" si="2"/>
        <v>6132.9215825921574</v>
      </c>
      <c r="F10" s="113">
        <f t="shared" si="2"/>
        <v>4010.9354070443915</v>
      </c>
      <c r="G10" s="113">
        <f t="shared" si="2"/>
        <v>5863.5878888680718</v>
      </c>
      <c r="H10" s="113">
        <f t="shared" si="2"/>
        <v>4563.7094788640652</v>
      </c>
      <c r="I10" s="113">
        <f t="shared" si="2"/>
        <v>4871.3124461894449</v>
      </c>
      <c r="J10" s="113">
        <f t="shared" si="2"/>
        <v>5016.7247580160101</v>
      </c>
      <c r="K10" s="113">
        <f t="shared" si="2"/>
        <v>2559.2502049213981</v>
      </c>
      <c r="L10" s="113">
        <f t="shared" si="2"/>
        <v>4037.2751128616424</v>
      </c>
      <c r="M10" s="113">
        <f t="shared" si="2"/>
        <v>9565.5406406577895</v>
      </c>
      <c r="N10" s="113">
        <f t="shared" si="2"/>
        <v>15666.810261619539</v>
      </c>
      <c r="O10" s="113">
        <f t="shared" si="2"/>
        <v>22226.400000000001</v>
      </c>
      <c r="P10" s="113">
        <f t="shared" si="2"/>
        <v>32910.412199999999</v>
      </c>
      <c r="Q10" s="113">
        <f t="shared" si="2"/>
        <v>12637.417304304503</v>
      </c>
      <c r="S10" s="40"/>
    </row>
    <row r="11" spans="1:19">
      <c r="A11" s="103" t="s">
        <v>562</v>
      </c>
      <c r="B11" s="107">
        <f t="shared" ref="B11:Q11" si="3">B2*B3*B5/100</f>
        <v>20.001696376804173</v>
      </c>
      <c r="C11" s="107">
        <f t="shared" si="3"/>
        <v>38.85593675574254</v>
      </c>
      <c r="D11" s="107">
        <f t="shared" si="3"/>
        <v>61.329215825921573</v>
      </c>
      <c r="E11" s="107">
        <f t="shared" si="3"/>
        <v>61.329215825921573</v>
      </c>
      <c r="F11" s="107">
        <f t="shared" si="3"/>
        <v>40.109354070443914</v>
      </c>
      <c r="G11" s="107">
        <f t="shared" si="3"/>
        <v>58.635878888680715</v>
      </c>
      <c r="H11" s="107">
        <f t="shared" si="3"/>
        <v>45.637094788640653</v>
      </c>
      <c r="I11" s="107">
        <f t="shared" si="3"/>
        <v>48.713124461894452</v>
      </c>
      <c r="J11" s="107">
        <f t="shared" si="3"/>
        <v>50.167247580160101</v>
      </c>
      <c r="K11" s="107">
        <f t="shared" si="3"/>
        <v>25.59250204921398</v>
      </c>
      <c r="L11" s="107">
        <f t="shared" si="3"/>
        <v>40.372751128616422</v>
      </c>
      <c r="M11" s="107">
        <f t="shared" si="3"/>
        <v>95.655406406577896</v>
      </c>
      <c r="N11" s="107">
        <f t="shared" si="3"/>
        <v>156.6681026161954</v>
      </c>
      <c r="O11" s="107">
        <f t="shared" si="3"/>
        <v>222.26400000000001</v>
      </c>
      <c r="P11" s="128">
        <f t="shared" si="3"/>
        <v>329.10412199999996</v>
      </c>
      <c r="Q11" s="146">
        <f t="shared" si="3"/>
        <v>126.37417304304503</v>
      </c>
      <c r="S11" s="147">
        <f>S2*S3*S5/100</f>
        <v>179.67684899999998</v>
      </c>
    </row>
    <row r="12" spans="1:19">
      <c r="A12" s="103" t="s">
        <v>972</v>
      </c>
      <c r="B12" s="107">
        <f t="shared" ref="B12:Q12" si="4">B2*(B3+B5)</f>
        <v>695.95021095622303</v>
      </c>
      <c r="C12" s="107">
        <f t="shared" si="4"/>
        <v>1010.2745234166254</v>
      </c>
      <c r="D12" s="107">
        <f t="shared" si="4"/>
        <v>1479.9664623760889</v>
      </c>
      <c r="E12" s="107">
        <f t="shared" si="4"/>
        <v>1479.9664623760889</v>
      </c>
      <c r="F12" s="107">
        <f t="shared" si="4"/>
        <v>1029.5988257007996</v>
      </c>
      <c r="G12" s="107">
        <f t="shared" si="4"/>
        <v>1463.8408988422727</v>
      </c>
      <c r="H12" s="107">
        <f t="shared" si="4"/>
        <v>1226.0015577766007</v>
      </c>
      <c r="I12" s="107">
        <f t="shared" si="4"/>
        <v>1286.2738707903384</v>
      </c>
      <c r="J12" s="107">
        <f t="shared" si="4"/>
        <v>1310.4292486455586</v>
      </c>
      <c r="K12" s="107">
        <f t="shared" si="4"/>
        <v>743.09358967442154</v>
      </c>
      <c r="L12" s="107">
        <f t="shared" si="4"/>
        <v>1089.9928446568097</v>
      </c>
      <c r="M12" s="107">
        <f t="shared" si="4"/>
        <v>1885.6680182380971</v>
      </c>
      <c r="N12" s="107">
        <f t="shared" si="4"/>
        <v>2850.4832353948113</v>
      </c>
      <c r="O12" s="107">
        <f t="shared" si="4"/>
        <v>3591</v>
      </c>
      <c r="P12" s="107">
        <f t="shared" si="4"/>
        <v>4411.5987999999998</v>
      </c>
      <c r="Q12" s="107">
        <f t="shared" si="4"/>
        <v>2203.7880270309479</v>
      </c>
      <c r="S12" s="147"/>
    </row>
    <row r="13" spans="1:19">
      <c r="A13" s="339" t="s">
        <v>563</v>
      </c>
      <c r="B13" s="114">
        <f t="shared" ref="B13:O13" si="5">B2*(B3+2*B5)</f>
        <v>934.57408540356528</v>
      </c>
      <c r="C13" s="114">
        <f t="shared" si="5"/>
        <v>1421.4956760238517</v>
      </c>
      <c r="D13" s="114">
        <f t="shared" si="5"/>
        <v>2070.0218620291189</v>
      </c>
      <c r="E13" s="114">
        <f t="shared" si="5"/>
        <v>2070.0218620291189</v>
      </c>
      <c r="F13" s="114">
        <f t="shared" si="5"/>
        <v>1440.8199783080256</v>
      </c>
      <c r="G13" s="114">
        <f t="shared" si="5"/>
        <v>1989.7364468411349</v>
      </c>
      <c r="H13" s="114">
        <f t="shared" si="5"/>
        <v>1693.8958720971391</v>
      </c>
      <c r="I13" s="114">
        <f t="shared" si="5"/>
        <v>1763.3425834308875</v>
      </c>
      <c r="J13" s="114">
        <f t="shared" si="5"/>
        <v>1787.4979612861077</v>
      </c>
      <c r="K13" s="114">
        <f t="shared" si="5"/>
        <v>1044.1790959175917</v>
      </c>
      <c r="L13" s="114">
        <f t="shared" si="5"/>
        <v>1516.716175529119</v>
      </c>
      <c r="M13" s="114">
        <f t="shared" si="5"/>
        <v>2696.5885798368081</v>
      </c>
      <c r="N13" s="114">
        <f t="shared" si="5"/>
        <v>3987.6441005789102</v>
      </c>
      <c r="O13" s="114">
        <f t="shared" si="5"/>
        <v>4914.0000000000009</v>
      </c>
      <c r="P13" s="128">
        <f>P2*(P5+P5+P3)</f>
        <v>6241.988800000001</v>
      </c>
      <c r="Q13" s="148">
        <f>Q2*(Q3+2*Q5)</f>
        <v>3048.2042936696917</v>
      </c>
      <c r="S13" s="147">
        <f>S2*(S5+S5+S3)</f>
        <v>4400.29</v>
      </c>
    </row>
    <row r="14" spans="1:19">
      <c r="S14" s="40"/>
    </row>
    <row r="15" spans="1:19">
      <c r="A15" s="103" t="s">
        <v>582</v>
      </c>
      <c r="B15" s="105" t="s">
        <v>583</v>
      </c>
      <c r="C15" s="105" t="s">
        <v>583</v>
      </c>
      <c r="D15" s="105" t="s">
        <v>583</v>
      </c>
      <c r="E15" s="105" t="s">
        <v>583</v>
      </c>
      <c r="F15" s="105" t="s">
        <v>583</v>
      </c>
      <c r="G15" s="105" t="s">
        <v>583</v>
      </c>
      <c r="H15" s="105" t="s">
        <v>583</v>
      </c>
      <c r="I15" s="105" t="s">
        <v>583</v>
      </c>
      <c r="J15" s="105" t="s">
        <v>583</v>
      </c>
      <c r="K15" s="105" t="s">
        <v>583</v>
      </c>
      <c r="L15" s="105" t="s">
        <v>583</v>
      </c>
      <c r="M15" s="105" t="s">
        <v>583</v>
      </c>
      <c r="N15" s="105" t="s">
        <v>583</v>
      </c>
      <c r="O15" s="105" t="s">
        <v>583</v>
      </c>
      <c r="P15" s="132" t="s">
        <v>583</v>
      </c>
      <c r="Q15" s="341" t="s">
        <v>583</v>
      </c>
      <c r="S15" s="40"/>
    </row>
    <row r="16" spans="1:19">
      <c r="A16" s="115" t="s">
        <v>584</v>
      </c>
      <c r="B16" s="105" t="s">
        <v>539</v>
      </c>
      <c r="C16" s="340" t="s">
        <v>540</v>
      </c>
      <c r="D16" s="105" t="s">
        <v>541</v>
      </c>
      <c r="E16" s="105" t="s">
        <v>542</v>
      </c>
      <c r="F16" s="340" t="s">
        <v>543</v>
      </c>
      <c r="G16" s="105" t="s">
        <v>544</v>
      </c>
      <c r="H16" s="105" t="s">
        <v>585</v>
      </c>
      <c r="I16" s="340" t="s">
        <v>546</v>
      </c>
      <c r="J16" s="105" t="s">
        <v>547</v>
      </c>
      <c r="K16" s="340" t="s">
        <v>548</v>
      </c>
      <c r="L16" s="105" t="s">
        <v>549</v>
      </c>
      <c r="M16" s="105" t="s">
        <v>552</v>
      </c>
      <c r="N16" s="340" t="s">
        <v>521</v>
      </c>
      <c r="O16" s="105" t="s">
        <v>550</v>
      </c>
      <c r="P16" s="132" t="s">
        <v>551</v>
      </c>
      <c r="Q16" s="341" t="s">
        <v>553</v>
      </c>
      <c r="S16" s="40"/>
    </row>
    <row r="17" spans="1:19">
      <c r="A17" s="342" t="s">
        <v>586</v>
      </c>
      <c r="B17" s="117">
        <v>17.2018506758596</v>
      </c>
      <c r="C17" s="117">
        <v>57.734750478700903</v>
      </c>
      <c r="D17" s="117">
        <v>71.124013426471905</v>
      </c>
      <c r="E17" s="117">
        <v>76.204300099791396</v>
      </c>
      <c r="F17" s="117">
        <v>59.284235638094898</v>
      </c>
      <c r="G17" s="117">
        <v>106.868910459947</v>
      </c>
      <c r="H17" s="118">
        <v>102.621790801052</v>
      </c>
      <c r="I17" s="117">
        <v>105.378291818924</v>
      </c>
      <c r="J17" s="117">
        <v>90.143779312346894</v>
      </c>
      <c r="K17" s="117">
        <v>31.4365245194221</v>
      </c>
      <c r="L17" s="117">
        <v>66.043726753152498</v>
      </c>
      <c r="M17" s="117">
        <v>103.47527896216999</v>
      </c>
      <c r="N17" s="117">
        <v>285.93885512111001</v>
      </c>
      <c r="O17" s="117">
        <v>343.30473388369802</v>
      </c>
      <c r="P17" s="133">
        <v>542.38156581692795</v>
      </c>
      <c r="Q17" s="149">
        <v>158.39462657625</v>
      </c>
      <c r="S17" s="147">
        <f>1.0889*S11+20.751</f>
        <v>216.40112087609998</v>
      </c>
    </row>
    <row r="18" spans="1:19">
      <c r="A18" s="342" t="s">
        <v>587</v>
      </c>
      <c r="B18" s="117"/>
      <c r="C18" s="117">
        <v>17.8309217091536</v>
      </c>
      <c r="D18" s="117">
        <v>10.160573346638801</v>
      </c>
      <c r="E18" s="117">
        <v>19.203483625147399</v>
      </c>
      <c r="F18" s="117">
        <v>5.6695310519096296</v>
      </c>
      <c r="G18" s="117">
        <v>12.1114034291935</v>
      </c>
      <c r="H18" s="118">
        <v>10.160573346638801</v>
      </c>
      <c r="I18" s="117">
        <v>10.305724394447999</v>
      </c>
      <c r="J18" s="117">
        <v>11.147600471740899</v>
      </c>
      <c r="K18" s="117">
        <v>6.9463848317155001</v>
      </c>
      <c r="L18" s="117"/>
      <c r="M18" s="117">
        <v>13.909824911548601</v>
      </c>
      <c r="N18" s="117"/>
      <c r="O18" s="117">
        <v>56.200774961444303</v>
      </c>
      <c r="P18" s="133">
        <v>88.447790982491199</v>
      </c>
      <c r="Q18" s="149">
        <v>50.040823732196301</v>
      </c>
      <c r="S18" s="147">
        <f>0.351*S11-5.591</f>
        <v>57.475573998999984</v>
      </c>
    </row>
    <row r="19" spans="1:19">
      <c r="A19" s="342" t="s">
        <v>588</v>
      </c>
      <c r="B19" s="117">
        <v>0.162569173546222</v>
      </c>
      <c r="C19" s="117">
        <v>0.94643531903648104</v>
      </c>
      <c r="D19" s="117">
        <v>3.0481720039916498</v>
      </c>
      <c r="E19" s="117">
        <v>3.0481720039916498</v>
      </c>
      <c r="F19" s="117">
        <v>1.60251687602433</v>
      </c>
      <c r="G19" s="117">
        <v>1.2497505216365801</v>
      </c>
      <c r="H19" s="118">
        <v>3.5562006713235998</v>
      </c>
      <c r="I19" s="117">
        <v>3.6259300962515102</v>
      </c>
      <c r="J19" s="117">
        <v>3.6259300962515102</v>
      </c>
      <c r="K19" s="117">
        <v>0.77627334693861405</v>
      </c>
      <c r="L19" s="117">
        <v>1.0465390547038</v>
      </c>
      <c r="M19" s="117">
        <v>2.1540415494874399</v>
      </c>
      <c r="N19" s="117">
        <v>9.7846321328132095</v>
      </c>
      <c r="O19" s="117">
        <v>14.2001958087635</v>
      </c>
      <c r="P19" s="133">
        <v>29.861925065771601</v>
      </c>
      <c r="Q19" s="149">
        <v>4.2674408055883202</v>
      </c>
      <c r="S19" s="147">
        <f>0.02902*S11+0.6483</f>
        <v>5.8625221579799991</v>
      </c>
    </row>
    <row r="20" spans="1:19">
      <c r="A20" s="342" t="s">
        <v>589</v>
      </c>
      <c r="B20" s="117">
        <v>0.406422933865554</v>
      </c>
      <c r="C20" s="117">
        <v>1.79930620320252</v>
      </c>
      <c r="D20" s="117">
        <v>5.0802866733194199</v>
      </c>
      <c r="E20" s="117">
        <v>5.9337748344370898</v>
      </c>
      <c r="F20" s="117"/>
      <c r="G20" s="117">
        <v>6.6043726753152496</v>
      </c>
      <c r="H20" s="118">
        <v>5.0802866733194199</v>
      </c>
      <c r="I20" s="117">
        <v>5.42270795644757</v>
      </c>
      <c r="J20" s="117">
        <v>5.5845798357445098</v>
      </c>
      <c r="K20" s="117"/>
      <c r="L20" s="117">
        <v>1.86954549578155</v>
      </c>
      <c r="M20" s="117">
        <v>1.9305089358613801</v>
      </c>
      <c r="N20" s="117">
        <v>12.5178263630591</v>
      </c>
      <c r="O20" s="117">
        <v>17.500241313617</v>
      </c>
      <c r="P20" s="133">
        <v>25.614805406876499</v>
      </c>
      <c r="Q20" s="149">
        <v>10.648280867277499</v>
      </c>
      <c r="S20" s="147">
        <f>0.0779*S11-0.3972</f>
        <v>13.599626537099997</v>
      </c>
    </row>
    <row r="21" spans="1:19">
      <c r="A21" s="342" t="s">
        <v>590</v>
      </c>
      <c r="B21" s="117">
        <v>8.5552027578699104</v>
      </c>
      <c r="C21" s="117">
        <v>23.5474420506069</v>
      </c>
      <c r="D21" s="117">
        <v>26.417490701260999</v>
      </c>
      <c r="E21" s="117">
        <v>26.823913635126601</v>
      </c>
      <c r="F21" s="117">
        <v>42.002317596217097</v>
      </c>
      <c r="G21" s="117">
        <v>37.004808128458698</v>
      </c>
      <c r="H21" s="118">
        <v>33.529892043908198</v>
      </c>
      <c r="I21" s="117">
        <v>35.447451229425802</v>
      </c>
      <c r="J21" s="117">
        <v>31.273647080169301</v>
      </c>
      <c r="K21" s="117">
        <v>33.362936969165702</v>
      </c>
      <c r="L21" s="117">
        <v>24.4666606187063</v>
      </c>
      <c r="M21" s="117">
        <v>58.352172729746897</v>
      </c>
      <c r="N21" s="117">
        <v>91.353714959629897</v>
      </c>
      <c r="O21" s="117">
        <v>125.001723668693</v>
      </c>
      <c r="P21" s="133">
        <v>169.31579424839001</v>
      </c>
      <c r="Q21" s="149">
        <v>26.8782999183525</v>
      </c>
      <c r="S21" s="147"/>
    </row>
    <row r="22" spans="1:19">
      <c r="A22" s="342" t="s">
        <v>591</v>
      </c>
      <c r="B22" s="117">
        <v>4.7957906196135296</v>
      </c>
      <c r="C22" s="117">
        <v>22.025971478911401</v>
      </c>
      <c r="D22" s="117">
        <v>14.224802685294399</v>
      </c>
      <c r="E22" s="117">
        <v>13.7167740179624</v>
      </c>
      <c r="F22" s="117"/>
      <c r="G22" s="117">
        <v>18.004535970244</v>
      </c>
      <c r="H22" s="118">
        <v>16.2569173546222</v>
      </c>
      <c r="I22" s="117">
        <v>16.881765448132001</v>
      </c>
      <c r="J22" s="117">
        <v>16.0830465807759</v>
      </c>
      <c r="K22" s="117"/>
      <c r="L22" s="117">
        <v>23.501406150775701</v>
      </c>
      <c r="M22" s="117">
        <v>28.5308899573619</v>
      </c>
      <c r="N22" s="117">
        <v>43.273881883334901</v>
      </c>
      <c r="O22" s="117">
        <v>65.000896307720197</v>
      </c>
      <c r="P22" s="133">
        <v>119.874444343645</v>
      </c>
      <c r="Q22" s="149">
        <v>79.705125646375805</v>
      </c>
      <c r="S22" s="147"/>
    </row>
    <row r="23" spans="1:19">
      <c r="A23" s="342" t="s">
        <v>592</v>
      </c>
      <c r="B23" s="117">
        <v>3.6374852580967101</v>
      </c>
      <c r="C23" s="117">
        <v>4.4937675768847001</v>
      </c>
      <c r="D23" s="117">
        <v>5.0802866733194199</v>
      </c>
      <c r="E23" s="117">
        <v>11.4814478817019</v>
      </c>
      <c r="F23" s="117">
        <v>8.1758656902321594</v>
      </c>
      <c r="G23" s="117">
        <v>11.562732468475</v>
      </c>
      <c r="H23" s="117">
        <v>10.160573346638801</v>
      </c>
      <c r="I23" s="117">
        <v>10.3598002750043</v>
      </c>
      <c r="J23" s="117">
        <v>10.3598002750043</v>
      </c>
      <c r="K23" s="117">
        <v>4.9800054431642904</v>
      </c>
      <c r="L23" s="117">
        <v>7.7525174634854404</v>
      </c>
      <c r="M23" s="117">
        <v>26.874716501859702</v>
      </c>
      <c r="N23" s="117">
        <v>42.085094801778098</v>
      </c>
      <c r="O23" s="117">
        <v>33.000455048534903</v>
      </c>
      <c r="P23" s="134">
        <v>193.53860110677701</v>
      </c>
      <c r="Q23" s="149">
        <v>31.0350299374036</v>
      </c>
      <c r="S23" s="147"/>
    </row>
    <row r="24" spans="1:19">
      <c r="A24" s="342" t="s">
        <v>593</v>
      </c>
      <c r="B24" s="117">
        <v>4.3588859657080699</v>
      </c>
      <c r="C24" s="117">
        <v>16.3663797978781</v>
      </c>
      <c r="D24" s="117">
        <v>20.321146693277701</v>
      </c>
      <c r="E24" s="117">
        <v>28.144788170189599</v>
      </c>
      <c r="F24" s="117">
        <v>12.239089182691499</v>
      </c>
      <c r="G24" s="117">
        <v>31.081193867368199</v>
      </c>
      <c r="H24" s="117">
        <v>23.3693186972693</v>
      </c>
      <c r="I24" s="117">
        <v>24.327419107317802</v>
      </c>
      <c r="J24" s="117">
        <v>24.6606714238564</v>
      </c>
      <c r="K24" s="117">
        <v>9.2052104731065807</v>
      </c>
      <c r="L24" s="117">
        <v>19.762315159212601</v>
      </c>
      <c r="M24" s="117">
        <v>31.345368774380798</v>
      </c>
      <c r="N24" s="117">
        <v>93.101333575251701</v>
      </c>
      <c r="O24" s="117">
        <v>110.00151682844999</v>
      </c>
      <c r="P24" s="133">
        <v>214.520185067586</v>
      </c>
      <c r="Q24" s="149">
        <v>102.39903578880499</v>
      </c>
      <c r="S24" s="147"/>
    </row>
    <row r="25" spans="1:19">
      <c r="A25" s="342" t="s">
        <v>594</v>
      </c>
      <c r="B25" s="117">
        <v>1.1481447881701901</v>
      </c>
      <c r="C25" s="117">
        <v>3.9799870907794901</v>
      </c>
      <c r="D25" s="117">
        <v>10.160573346638801</v>
      </c>
      <c r="E25" s="117">
        <v>9.1445160119749591</v>
      </c>
      <c r="F25" s="117">
        <v>12.5431578575004</v>
      </c>
      <c r="G25" s="117">
        <v>12.5584686564456</v>
      </c>
      <c r="H25" s="118">
        <v>10.160573346638801</v>
      </c>
      <c r="I25" s="117">
        <v>10.3031451172504</v>
      </c>
      <c r="J25" s="117">
        <v>10.610701687914601</v>
      </c>
      <c r="K25" s="117">
        <v>2.8764089642063801</v>
      </c>
      <c r="L25" s="117">
        <v>4.13535335208201</v>
      </c>
      <c r="M25" s="117">
        <v>2.5604644833529902</v>
      </c>
      <c r="N25" s="117">
        <v>42.471196588950399</v>
      </c>
      <c r="O25" s="117">
        <v>20.000275786990802</v>
      </c>
      <c r="P25" s="133">
        <v>97.1858840606006</v>
      </c>
      <c r="Q25" s="149">
        <v>8.6669690646829292</v>
      </c>
      <c r="S25" s="147"/>
    </row>
    <row r="26" spans="1:19">
      <c r="A26" s="342" t="s">
        <v>595</v>
      </c>
      <c r="B26" s="117">
        <v>12.863285856844801</v>
      </c>
      <c r="C26" s="117">
        <v>31.8343463666878</v>
      </c>
      <c r="D26" s="117">
        <v>50.8028667331942</v>
      </c>
      <c r="E26" s="117">
        <v>52.936587135988397</v>
      </c>
      <c r="F26" s="117">
        <v>30.978829848172499</v>
      </c>
      <c r="G26" s="117">
        <v>61.014242946566299</v>
      </c>
      <c r="H26" s="117">
        <v>48.770752063866503</v>
      </c>
      <c r="I26" s="117">
        <v>50.437427624592402</v>
      </c>
      <c r="J26" s="117">
        <v>57.607967431733599</v>
      </c>
      <c r="K26" s="117">
        <v>23.9325954821736</v>
      </c>
      <c r="L26" s="117">
        <v>38.0818289032024</v>
      </c>
      <c r="M26" s="117">
        <v>83.469110042638107</v>
      </c>
      <c r="N26" s="117">
        <v>181.10205933049099</v>
      </c>
      <c r="O26" s="117">
        <v>228.50315086636999</v>
      </c>
      <c r="P26" s="133">
        <v>248.29393087181401</v>
      </c>
      <c r="Q26" s="149">
        <v>150.76441622063001</v>
      </c>
      <c r="S26" s="147"/>
    </row>
    <row r="27" spans="1:19">
      <c r="A27" s="342" t="s">
        <v>596</v>
      </c>
      <c r="B27" s="117"/>
      <c r="C27" s="117"/>
      <c r="D27" s="117"/>
      <c r="E27" s="117"/>
      <c r="F27" s="117"/>
      <c r="G27" s="117"/>
      <c r="H27" s="117"/>
      <c r="I27" s="117"/>
      <c r="J27" s="117"/>
      <c r="K27" s="117"/>
      <c r="L27" s="117"/>
      <c r="M27" s="117"/>
      <c r="N27" s="117"/>
      <c r="O27" s="117"/>
      <c r="P27" s="133"/>
      <c r="Q27" s="149">
        <v>81.818423296743006</v>
      </c>
      <c r="S27" s="147"/>
    </row>
    <row r="28" spans="1:19">
      <c r="A28" s="342" t="s">
        <v>597</v>
      </c>
      <c r="B28" s="117"/>
      <c r="C28" s="117"/>
      <c r="D28" s="117"/>
      <c r="E28" s="117"/>
      <c r="F28" s="117"/>
      <c r="G28" s="117"/>
      <c r="H28" s="117"/>
      <c r="I28" s="117"/>
      <c r="J28" s="117"/>
      <c r="K28" s="117"/>
      <c r="L28" s="117"/>
      <c r="M28" s="117">
        <v>74.029937403610603</v>
      </c>
      <c r="N28" s="117">
        <v>95.163929964619399</v>
      </c>
      <c r="O28" s="117">
        <v>111.101531996734</v>
      </c>
      <c r="P28" s="133">
        <v>262.061507756509</v>
      </c>
      <c r="Q28" s="149"/>
      <c r="S28" s="147"/>
    </row>
    <row r="29" spans="1:19">
      <c r="A29" s="116" t="s">
        <v>598</v>
      </c>
      <c r="B29" s="117"/>
      <c r="C29" s="117"/>
      <c r="D29" s="117"/>
      <c r="E29" s="117"/>
      <c r="F29" s="117"/>
      <c r="G29" s="117"/>
      <c r="H29" s="117"/>
      <c r="I29" s="117"/>
      <c r="J29" s="117"/>
      <c r="K29" s="117"/>
      <c r="L29" s="117"/>
      <c r="M29" s="117"/>
      <c r="N29" s="117"/>
      <c r="O29" s="117"/>
      <c r="P29" s="133"/>
      <c r="Q29" s="149"/>
      <c r="S29" s="147"/>
    </row>
    <row r="30" spans="1:19">
      <c r="A30" s="342" t="s">
        <v>599</v>
      </c>
      <c r="B30" s="117">
        <v>4.3182436723215103</v>
      </c>
      <c r="C30" s="117">
        <v>11.9047562219951</v>
      </c>
      <c r="D30" s="117">
        <v>16.2569173546222</v>
      </c>
      <c r="E30" s="117">
        <v>22.048444162206302</v>
      </c>
      <c r="F30" s="117">
        <v>11.8612283439951</v>
      </c>
      <c r="G30" s="117">
        <v>26.6918261816202</v>
      </c>
      <c r="H30" s="117">
        <v>21.337204027941599</v>
      </c>
      <c r="I30" s="117">
        <v>22.066374585759199</v>
      </c>
      <c r="J30" s="117">
        <v>20.4353261362605</v>
      </c>
      <c r="K30" s="117">
        <v>10.9897487072485</v>
      </c>
      <c r="L30" s="117">
        <v>14.9563639662524</v>
      </c>
      <c r="M30" s="117">
        <v>47.937585049442099</v>
      </c>
      <c r="N30" s="117">
        <v>40.550848226435598</v>
      </c>
      <c r="O30" s="117">
        <v>107.401480976141</v>
      </c>
      <c r="P30" s="133">
        <v>157.37712056608899</v>
      </c>
      <c r="Q30" s="149">
        <v>66.706399346820206</v>
      </c>
      <c r="S30" s="147"/>
    </row>
    <row r="31" spans="1:19">
      <c r="A31" s="342" t="s">
        <v>600</v>
      </c>
      <c r="B31" s="117"/>
      <c r="C31" s="117"/>
      <c r="D31" s="117"/>
      <c r="E31" s="117"/>
      <c r="F31" s="117"/>
      <c r="G31" s="117"/>
      <c r="H31" s="117"/>
      <c r="I31" s="117"/>
      <c r="J31" s="117"/>
      <c r="K31" s="117"/>
      <c r="L31" s="117">
        <v>10.3434636668783</v>
      </c>
      <c r="M31" s="117"/>
      <c r="N31" s="117">
        <v>12.8023224167649</v>
      </c>
      <c r="O31" s="117">
        <v>84.901170715776104</v>
      </c>
      <c r="P31" s="133">
        <v>107.986573528078</v>
      </c>
      <c r="Q31" s="149"/>
      <c r="S31" s="147"/>
    </row>
    <row r="32" spans="1:19">
      <c r="A32" s="342" t="s">
        <v>601</v>
      </c>
      <c r="B32" s="117"/>
      <c r="C32" s="117"/>
      <c r="D32" s="117"/>
      <c r="E32" s="117"/>
      <c r="F32" s="117"/>
      <c r="G32" s="117"/>
      <c r="H32" s="117"/>
      <c r="I32" s="117"/>
      <c r="J32" s="117"/>
      <c r="K32" s="117"/>
      <c r="L32" s="117"/>
      <c r="M32" s="117"/>
      <c r="N32" s="117"/>
      <c r="O32" s="117"/>
      <c r="P32" s="133"/>
      <c r="Q32" s="149"/>
      <c r="S32" s="147"/>
    </row>
    <row r="33" spans="1:19">
      <c r="A33" s="342" t="s">
        <v>602</v>
      </c>
      <c r="B33" s="117"/>
      <c r="C33" s="117"/>
      <c r="D33" s="117"/>
      <c r="E33" s="117"/>
      <c r="F33" s="117"/>
      <c r="G33" s="117"/>
      <c r="H33" s="117"/>
      <c r="I33" s="117"/>
      <c r="J33" s="117"/>
      <c r="K33" s="117">
        <v>7.0623015513018199</v>
      </c>
      <c r="L33" s="117"/>
      <c r="M33" s="117">
        <v>3.81021500498957</v>
      </c>
      <c r="N33" s="117">
        <v>9.6119023859203505</v>
      </c>
      <c r="O33" s="117">
        <v>21.600297849950099</v>
      </c>
      <c r="P33" s="133">
        <v>24.812120112492099</v>
      </c>
      <c r="Q33" s="149">
        <v>0.27433548035924898</v>
      </c>
      <c r="S33" s="147"/>
    </row>
    <row r="34" spans="1:19">
      <c r="A34" s="342" t="s">
        <v>603</v>
      </c>
      <c r="B34" s="117">
        <v>7.3765762496598004</v>
      </c>
      <c r="C34" s="117">
        <v>21.153627869001198</v>
      </c>
      <c r="D34" s="117">
        <v>26.417490701260999</v>
      </c>
      <c r="E34" s="117">
        <v>15.850494420756601</v>
      </c>
      <c r="F34" s="117">
        <v>22.069222534700199</v>
      </c>
      <c r="G34" s="117">
        <v>35.318152952916599</v>
      </c>
      <c r="H34" s="117"/>
      <c r="I34" s="117">
        <v>37.444434364510599</v>
      </c>
      <c r="J34" s="117">
        <v>31.9631917354622</v>
      </c>
      <c r="K34" s="117">
        <v>12.677595028576601</v>
      </c>
      <c r="L34" s="117">
        <v>7.7728386101787201</v>
      </c>
      <c r="M34" s="117">
        <v>26.6918261816202</v>
      </c>
      <c r="N34" s="117">
        <v>45.377120566089097</v>
      </c>
      <c r="O34" s="117"/>
      <c r="P34" s="133">
        <v>167.51737276603501</v>
      </c>
      <c r="Q34" s="149">
        <v>43.284042456681597</v>
      </c>
      <c r="S34" s="147"/>
    </row>
    <row r="35" spans="1:19">
      <c r="A35" s="342" t="s">
        <v>604</v>
      </c>
      <c r="B35" s="117">
        <v>6.3198766216093603</v>
      </c>
      <c r="C35" s="117">
        <v>13.691955229973701</v>
      </c>
      <c r="D35" s="117">
        <v>25.4014333665971</v>
      </c>
      <c r="E35" s="117">
        <v>16.866551755420499</v>
      </c>
      <c r="F35" s="117">
        <v>15.8135067585957</v>
      </c>
      <c r="G35" s="117">
        <v>49.502313344824501</v>
      </c>
      <c r="H35" s="117"/>
      <c r="I35" s="117">
        <v>32.717499773201503</v>
      </c>
      <c r="J35" s="117">
        <v>45.0380876349451</v>
      </c>
      <c r="K35" s="117">
        <v>6.2158704526898303</v>
      </c>
      <c r="L35" s="117">
        <v>7.6915540234056099</v>
      </c>
      <c r="M35" s="117">
        <v>29.292932958359799</v>
      </c>
      <c r="N35" s="117">
        <v>56.563911820738497</v>
      </c>
      <c r="O35" s="117"/>
      <c r="P35" s="133">
        <v>147.328313526263</v>
      </c>
      <c r="Q35" s="149">
        <v>58.218561190238603</v>
      </c>
      <c r="S35" s="147"/>
    </row>
    <row r="36" spans="1:19">
      <c r="A36" s="342" t="s">
        <v>605</v>
      </c>
      <c r="B36" s="117">
        <v>1.6968157488886899</v>
      </c>
      <c r="C36" s="117">
        <v>1.9736151682845</v>
      </c>
      <c r="D36" s="117">
        <v>12.192688015966599</v>
      </c>
      <c r="E36" s="117">
        <v>9.24612174544135</v>
      </c>
      <c r="F36" s="117">
        <v>2.13638755329765</v>
      </c>
      <c r="G36" s="117">
        <v>25.8484985938492</v>
      </c>
      <c r="H36" s="117"/>
      <c r="I36" s="117">
        <v>10.373469110042601</v>
      </c>
      <c r="J36" s="117">
        <v>25.990677673954501</v>
      </c>
      <c r="K36" s="117">
        <v>2.6958438205099</v>
      </c>
      <c r="L36" s="117">
        <v>1.7984214823550799</v>
      </c>
      <c r="M36" s="117">
        <v>7.0717590492606401</v>
      </c>
      <c r="N36" s="117">
        <v>6.5027669418488596</v>
      </c>
      <c r="O36" s="117"/>
      <c r="P36" s="133">
        <v>97.571985847772893</v>
      </c>
      <c r="Q36" s="149">
        <v>12.3202032114669</v>
      </c>
      <c r="S36" s="147"/>
    </row>
    <row r="37" spans="1:19">
      <c r="A37" s="342" t="s">
        <v>606</v>
      </c>
      <c r="B37" s="117">
        <v>6.0963440079833099E-2</v>
      </c>
      <c r="C37" s="117">
        <v>0.406422933865554</v>
      </c>
      <c r="D37" s="117">
        <v>5.0802866733194199</v>
      </c>
      <c r="E37" s="117">
        <v>5.0802866733194199</v>
      </c>
      <c r="F37" s="117">
        <v>1.1800997913453699</v>
      </c>
      <c r="G37" s="117">
        <v>9.5102966524539596</v>
      </c>
      <c r="H37" s="117"/>
      <c r="I37" s="117">
        <v>4.0204572258005999</v>
      </c>
      <c r="J37" s="117">
        <v>7.00954504218452</v>
      </c>
      <c r="K37" s="117"/>
      <c r="L37" s="117"/>
      <c r="M37" s="117">
        <v>0.68075841422480299</v>
      </c>
      <c r="N37" s="117"/>
      <c r="O37" s="119"/>
      <c r="P37" s="133">
        <v>75.482899392180002</v>
      </c>
      <c r="Q37" s="149">
        <v>2.12305180078019</v>
      </c>
      <c r="S37" s="147"/>
    </row>
    <row r="38" spans="1:19">
      <c r="A38" s="342" t="s">
        <v>607</v>
      </c>
      <c r="B38" s="117"/>
      <c r="C38" s="117"/>
      <c r="D38" s="117">
        <v>1.0160573346638799</v>
      </c>
      <c r="E38" s="117">
        <v>0.406422933865554</v>
      </c>
      <c r="F38" s="117">
        <v>0.26787225850601598</v>
      </c>
      <c r="G38" s="117">
        <v>2.7230336568992102</v>
      </c>
      <c r="H38" s="117">
        <v>0.95799691554023403</v>
      </c>
      <c r="I38" s="117">
        <v>0.95799691554023403</v>
      </c>
      <c r="J38" s="117">
        <v>0.92987390002721604</v>
      </c>
      <c r="K38" s="117"/>
      <c r="L38" s="117"/>
      <c r="M38" s="117"/>
      <c r="N38" s="117"/>
      <c r="O38" s="119"/>
      <c r="P38" s="133">
        <v>28.4800870906287</v>
      </c>
      <c r="Q38" s="149"/>
      <c r="S38" s="147"/>
    </row>
    <row r="39" spans="1:19">
      <c r="A39" s="116" t="s">
        <v>608</v>
      </c>
      <c r="B39" s="117"/>
      <c r="C39" s="117"/>
      <c r="D39" s="117"/>
      <c r="E39" s="117"/>
      <c r="F39" s="117"/>
      <c r="G39" s="117">
        <v>0.24385376031933201</v>
      </c>
      <c r="H39" s="117"/>
      <c r="I39" s="117"/>
      <c r="J39" s="117"/>
      <c r="K39" s="117"/>
      <c r="L39" s="117"/>
      <c r="M39" s="117"/>
      <c r="N39" s="117"/>
      <c r="O39" s="119"/>
      <c r="P39" s="133">
        <v>2.5198221899664301</v>
      </c>
      <c r="Q39" s="149"/>
      <c r="S39" s="147"/>
    </row>
    <row r="40" spans="1:19">
      <c r="A40" s="342" t="s">
        <v>609</v>
      </c>
      <c r="B40" s="117">
        <v>3.12945659076476</v>
      </c>
      <c r="C40" s="117">
        <v>2.72321082319477</v>
      </c>
      <c r="D40" s="117">
        <v>14.224802685294399</v>
      </c>
      <c r="E40" s="117">
        <v>13.208745350630499</v>
      </c>
      <c r="F40" s="117">
        <v>2.0053681882278198</v>
      </c>
      <c r="G40" s="117">
        <v>18.5024040642293</v>
      </c>
      <c r="H40" s="117">
        <v>14.224802685294399</v>
      </c>
      <c r="I40" s="117">
        <v>15.183582278053199</v>
      </c>
      <c r="J40" s="117">
        <v>15.636823540084601</v>
      </c>
      <c r="K40" s="117">
        <v>9.5869891306857404</v>
      </c>
      <c r="L40" s="117">
        <v>13.605007711149399</v>
      </c>
      <c r="M40" s="117">
        <v>18.431280050802901</v>
      </c>
      <c r="N40" s="117">
        <v>39.951374398983901</v>
      </c>
      <c r="O40" s="117">
        <v>54.500751519550001</v>
      </c>
      <c r="P40" s="133">
        <v>82.666424748253604</v>
      </c>
      <c r="Q40" s="149">
        <v>27.555474916084599</v>
      </c>
      <c r="S40" s="147"/>
    </row>
    <row r="41" spans="1:19">
      <c r="A41" s="342" t="s">
        <v>610</v>
      </c>
      <c r="B41" s="117">
        <v>1.1786265082101099</v>
      </c>
      <c r="C41" s="117"/>
      <c r="D41" s="117">
        <v>2.0321146693277701</v>
      </c>
      <c r="E41" s="117">
        <v>2.0321146693277701</v>
      </c>
      <c r="F41" s="117">
        <v>1.0160573346638799</v>
      </c>
      <c r="G41" s="117">
        <v>2.9567268438719001</v>
      </c>
      <c r="H41" s="119"/>
      <c r="I41" s="117">
        <v>1.0160573346638799</v>
      </c>
      <c r="J41" s="117">
        <v>3.864163567087</v>
      </c>
      <c r="K41" s="117">
        <v>0</v>
      </c>
      <c r="L41" s="117">
        <v>0.69091898757144199</v>
      </c>
      <c r="M41" s="117">
        <v>3.8610178717227601</v>
      </c>
      <c r="N41" s="117">
        <v>3.7594121382563701</v>
      </c>
      <c r="O41" s="117">
        <v>21.400295092080199</v>
      </c>
      <c r="P41" s="133">
        <v>39.880250385557503</v>
      </c>
      <c r="Q41" s="149">
        <v>3.6100517100607799</v>
      </c>
      <c r="S41" s="147"/>
    </row>
    <row r="42" spans="1:19">
      <c r="A42" s="342" t="s">
        <v>611</v>
      </c>
      <c r="B42" s="117">
        <v>0.25401433366597098</v>
      </c>
      <c r="C42" s="117">
        <v>1.9914723759412101</v>
      </c>
      <c r="D42" s="117">
        <v>1.0160573346638799</v>
      </c>
      <c r="E42" s="117">
        <v>1.0160573346638799</v>
      </c>
      <c r="F42" s="117">
        <v>0.56899210741177497</v>
      </c>
      <c r="G42" s="117">
        <v>1.0160573346638799</v>
      </c>
      <c r="H42" s="117">
        <v>1.0160573346638799</v>
      </c>
      <c r="I42" s="117">
        <v>1.0160573346638799</v>
      </c>
      <c r="J42" s="117">
        <v>1.0160573346638799</v>
      </c>
      <c r="K42" s="117">
        <v>0.56899210741177497</v>
      </c>
      <c r="L42" s="117">
        <v>1.9914723759412101</v>
      </c>
      <c r="M42" s="117">
        <v>0.375941213825637</v>
      </c>
      <c r="N42" s="117">
        <v>3.2920257643109898</v>
      </c>
      <c r="O42" s="117">
        <v>4.1000565363331196</v>
      </c>
      <c r="P42" s="133">
        <v>6.83806586228794</v>
      </c>
      <c r="Q42" s="149">
        <v>0.23369318697269301</v>
      </c>
      <c r="S42" s="147"/>
    </row>
    <row r="43" spans="1:19">
      <c r="A43" s="116" t="s">
        <v>612</v>
      </c>
      <c r="B43" s="117"/>
      <c r="C43" s="117"/>
      <c r="D43" s="117"/>
      <c r="E43" s="117"/>
      <c r="F43" s="117"/>
      <c r="G43" s="117">
        <v>10.160573346638801</v>
      </c>
      <c r="H43" s="119"/>
      <c r="I43" s="117">
        <v>10.160573346638801</v>
      </c>
      <c r="J43" s="117">
        <v>10.160573346638801</v>
      </c>
      <c r="K43" s="117"/>
      <c r="L43" s="117"/>
      <c r="M43" s="117">
        <v>13.6151682844961</v>
      </c>
      <c r="N43" s="117"/>
      <c r="O43" s="117"/>
      <c r="P43" s="133">
        <v>48.669146330400103</v>
      </c>
      <c r="Q43" s="149"/>
      <c r="S43" s="147"/>
    </row>
    <row r="44" spans="1:19">
      <c r="A44" s="342" t="s">
        <v>613</v>
      </c>
      <c r="B44" s="117"/>
      <c r="C44" s="117">
        <v>0.42674408055883201</v>
      </c>
      <c r="D44" s="117"/>
      <c r="E44" s="117"/>
      <c r="F44" s="117">
        <v>0.42674408055883201</v>
      </c>
      <c r="G44" s="117">
        <v>4.8161117663068103</v>
      </c>
      <c r="H44" s="117"/>
      <c r="I44" s="117">
        <v>4.8127978398108802</v>
      </c>
      <c r="J44" s="117">
        <v>4.8127978398108802</v>
      </c>
      <c r="K44" s="117">
        <v>0.42674408055883201</v>
      </c>
      <c r="L44" s="117">
        <v>0.25401433366597098</v>
      </c>
      <c r="M44" s="117">
        <v>4.8161117663068103</v>
      </c>
      <c r="N44" s="117">
        <v>0</v>
      </c>
      <c r="O44" s="117">
        <v>43.000592942030302</v>
      </c>
      <c r="P44" s="133">
        <v>85.887326499138197</v>
      </c>
      <c r="Q44" s="149"/>
      <c r="S44" s="147"/>
    </row>
    <row r="45" spans="1:19">
      <c r="A45" s="342" t="s">
        <v>614</v>
      </c>
      <c r="B45" s="117">
        <v>1.7272974689286</v>
      </c>
      <c r="C45" s="117">
        <v>4.5921928248130301</v>
      </c>
      <c r="D45" s="117">
        <v>4.0642293386555401</v>
      </c>
      <c r="E45" s="117">
        <v>4.0642293386555401</v>
      </c>
      <c r="F45" s="117">
        <v>5.1992630916326599</v>
      </c>
      <c r="G45" s="117">
        <v>4.6230608727206803</v>
      </c>
      <c r="H45" s="117">
        <v>4.0642293386555401</v>
      </c>
      <c r="I45" s="117">
        <v>4.14392011000173</v>
      </c>
      <c r="J45" s="117">
        <v>4.14392011000173</v>
      </c>
      <c r="K45" s="117">
        <v>3.8067661405804398</v>
      </c>
      <c r="L45" s="117">
        <v>4.7653088995736201</v>
      </c>
      <c r="M45" s="117">
        <v>12.213009162659899</v>
      </c>
      <c r="N45" s="117">
        <v>18.3906377574163</v>
      </c>
      <c r="O45" s="117">
        <v>15.600215113852901</v>
      </c>
      <c r="P45" s="133">
        <v>40.906468293567997</v>
      </c>
      <c r="Q45" s="149">
        <v>5.1514106867459004</v>
      </c>
      <c r="S45" s="147"/>
    </row>
    <row r="46" spans="1:19">
      <c r="A46" s="342" t="s">
        <v>615</v>
      </c>
      <c r="B46" s="117">
        <v>0.83316701442438501</v>
      </c>
      <c r="C46" s="117">
        <v>1.6968157488886899</v>
      </c>
      <c r="D46" s="117">
        <v>2.0321146693277701</v>
      </c>
      <c r="E46" s="117">
        <v>2.0321146693277701</v>
      </c>
      <c r="F46" s="117"/>
      <c r="G46" s="117">
        <v>2.0321146693277701</v>
      </c>
      <c r="H46" s="117">
        <v>2.0321146693277701</v>
      </c>
      <c r="I46" s="117">
        <v>2.0321146693277701</v>
      </c>
      <c r="J46" s="117">
        <v>2.0321146693277701</v>
      </c>
      <c r="K46" s="117"/>
      <c r="L46" s="117">
        <v>1.6968157488886899</v>
      </c>
      <c r="M46" s="117">
        <v>5.5171913272248903</v>
      </c>
      <c r="N46" s="117">
        <v>2.2454867096071802</v>
      </c>
      <c r="O46" s="117">
        <v>6.0000827360972497</v>
      </c>
      <c r="P46" s="133">
        <v>19.802957452599099</v>
      </c>
      <c r="Q46" s="149">
        <v>1.76793976231516</v>
      </c>
      <c r="S46" s="147"/>
    </row>
    <row r="47" spans="1:19">
      <c r="A47" s="116" t="s">
        <v>616</v>
      </c>
      <c r="B47" s="117"/>
      <c r="C47" s="117"/>
      <c r="D47" s="117"/>
      <c r="E47" s="117"/>
      <c r="F47" s="117"/>
      <c r="G47" s="117">
        <v>3.3733103510841</v>
      </c>
      <c r="H47" s="117"/>
      <c r="I47" s="117"/>
      <c r="J47" s="117">
        <v>1.0393731289122701</v>
      </c>
      <c r="K47" s="117"/>
      <c r="L47" s="117"/>
      <c r="M47" s="117">
        <v>3.7289304182164602</v>
      </c>
      <c r="N47" s="117">
        <v>1.9406695092080199</v>
      </c>
      <c r="O47" s="117">
        <v>6.9000951465118403</v>
      </c>
      <c r="P47" s="133">
        <v>19.4778191055067</v>
      </c>
      <c r="Q47" s="149">
        <v>1.21926880159666</v>
      </c>
      <c r="S47" s="147"/>
    </row>
    <row r="48" spans="1:19">
      <c r="A48" s="116" t="s">
        <v>617</v>
      </c>
      <c r="B48" s="117">
        <v>0.96525446793069003</v>
      </c>
      <c r="C48" s="117">
        <v>0.59947382745169198</v>
      </c>
      <c r="D48" s="117">
        <v>2.0321146693277701</v>
      </c>
      <c r="E48" s="117">
        <v>2.0321146693277701</v>
      </c>
      <c r="F48" s="117">
        <v>1.9406695092080199</v>
      </c>
      <c r="G48" s="117">
        <v>2.2861290029937398</v>
      </c>
      <c r="H48" s="117">
        <v>2.2861290029937398</v>
      </c>
      <c r="I48" s="117">
        <v>2.2861290029937398</v>
      </c>
      <c r="J48" s="117">
        <v>2.2861290029937398</v>
      </c>
      <c r="K48" s="117">
        <v>0.46288396988115799</v>
      </c>
      <c r="L48" s="117">
        <v>1.58504944207566</v>
      </c>
      <c r="M48" s="117">
        <v>2.7535153769391298</v>
      </c>
      <c r="N48" s="117">
        <v>7.0717590492606401</v>
      </c>
      <c r="O48" s="117">
        <v>4.2000579152680801</v>
      </c>
      <c r="P48" s="133">
        <v>16.683661435181001</v>
      </c>
      <c r="Q48" s="149">
        <v>2.20484441622063</v>
      </c>
      <c r="S48" s="147"/>
    </row>
    <row r="49" spans="1:19">
      <c r="A49" s="116" t="s">
        <v>618</v>
      </c>
      <c r="B49" s="117"/>
      <c r="C49" s="117"/>
      <c r="D49" s="117"/>
      <c r="E49" s="117"/>
      <c r="F49" s="117">
        <v>0</v>
      </c>
      <c r="G49" s="117">
        <v>0</v>
      </c>
      <c r="H49" s="117"/>
      <c r="I49" s="117">
        <v>0</v>
      </c>
      <c r="J49" s="117">
        <v>0</v>
      </c>
      <c r="K49" s="117">
        <v>9.0719404880703999E-2</v>
      </c>
      <c r="L49" s="117"/>
      <c r="M49" s="117">
        <v>0</v>
      </c>
      <c r="N49" s="117"/>
      <c r="O49" s="117"/>
      <c r="P49" s="133">
        <v>6.83806586228794</v>
      </c>
      <c r="Q49" s="149"/>
      <c r="S49" s="147"/>
    </row>
    <row r="50" spans="1:19">
      <c r="A50" s="116" t="s">
        <v>619</v>
      </c>
      <c r="B50" s="117">
        <v>3.9931053252290698</v>
      </c>
      <c r="C50" s="117">
        <v>25.775423750340199</v>
      </c>
      <c r="D50" s="117">
        <v>22.353261362605501</v>
      </c>
      <c r="E50" s="117">
        <v>21.337204027941599</v>
      </c>
      <c r="F50" s="117">
        <v>22.111270374066301</v>
      </c>
      <c r="G50" s="117">
        <v>25.381112219903802</v>
      </c>
      <c r="H50" s="117"/>
      <c r="I50" s="117">
        <v>22.111270374066301</v>
      </c>
      <c r="J50" s="117">
        <v>20.7290937131452</v>
      </c>
      <c r="K50" s="117">
        <v>11.4662730654087</v>
      </c>
      <c r="L50" s="117">
        <v>16.145151047809101</v>
      </c>
      <c r="M50" s="117">
        <v>37.5738002358705</v>
      </c>
      <c r="N50" s="117">
        <v>46.108681847047102</v>
      </c>
      <c r="O50" s="117">
        <v>85.101173473646</v>
      </c>
      <c r="P50" s="133">
        <v>104.75551120384701</v>
      </c>
      <c r="Q50" s="149">
        <v>15.282228068583899</v>
      </c>
      <c r="S50" s="147"/>
    </row>
    <row r="51" spans="1:19">
      <c r="A51" s="116" t="s">
        <v>620</v>
      </c>
      <c r="B51" s="117">
        <v>0.82300644107774701</v>
      </c>
      <c r="C51" s="117">
        <v>3.3842200343828899</v>
      </c>
      <c r="D51" s="117"/>
      <c r="E51" s="117"/>
      <c r="F51" s="117">
        <v>4.1265038679812598</v>
      </c>
      <c r="G51" s="117">
        <v>7.5493059965526603</v>
      </c>
      <c r="H51" s="117"/>
      <c r="I51" s="117">
        <v>8.2262187702806102</v>
      </c>
      <c r="J51" s="117">
        <v>8.1593280199152005</v>
      </c>
      <c r="K51" s="117">
        <v>2.1399340978789301</v>
      </c>
      <c r="L51" s="117">
        <v>3.8711784450694</v>
      </c>
      <c r="M51" s="117">
        <v>12.0097976957271</v>
      </c>
      <c r="N51" s="117">
        <v>38.843871904200299</v>
      </c>
      <c r="O51" s="117">
        <v>31.700437122380499</v>
      </c>
      <c r="P51" s="133">
        <v>44.066406604372702</v>
      </c>
      <c r="Q51" s="149">
        <v>9.0733919985484803</v>
      </c>
      <c r="S51" s="147"/>
    </row>
    <row r="52" spans="1:19">
      <c r="A52" s="116" t="s">
        <v>621</v>
      </c>
      <c r="B52" s="117">
        <v>1.9609906559013</v>
      </c>
      <c r="C52" s="117">
        <v>4.13432182378161</v>
      </c>
      <c r="D52" s="117">
        <v>45.722580059874801</v>
      </c>
      <c r="E52" s="117">
        <v>43.690465390546997</v>
      </c>
      <c r="F52" s="117">
        <v>3.5486625902400002</v>
      </c>
      <c r="G52" s="117">
        <v>4.2369590855484001</v>
      </c>
      <c r="H52" s="117"/>
      <c r="I52" s="117">
        <v>4.6163749636948497</v>
      </c>
      <c r="J52" s="117">
        <v>5.12011612083825</v>
      </c>
      <c r="K52" s="117">
        <v>2.41961142047681</v>
      </c>
      <c r="L52" s="117">
        <v>4.2979225256282296</v>
      </c>
      <c r="M52" s="117">
        <v>6.3198766216093603</v>
      </c>
      <c r="N52" s="117">
        <v>17.811485076657899</v>
      </c>
      <c r="O52" s="117">
        <v>35.000482627234</v>
      </c>
      <c r="P52" s="133">
        <v>48.852036650639597</v>
      </c>
      <c r="Q52" s="149">
        <v>5.7712056608908604</v>
      </c>
      <c r="S52" s="147"/>
    </row>
    <row r="53" spans="1:19">
      <c r="A53" s="116" t="s">
        <v>622</v>
      </c>
      <c r="B53" s="117">
        <v>2.2962895763403801</v>
      </c>
      <c r="C53" s="117">
        <v>6.8659252924511396</v>
      </c>
      <c r="D53" s="117"/>
      <c r="E53" s="117"/>
      <c r="F53" s="117">
        <v>4.5385023340374699</v>
      </c>
      <c r="G53" s="117">
        <v>15.840333847409999</v>
      </c>
      <c r="H53" s="117"/>
      <c r="I53" s="117">
        <v>13.552955469156</v>
      </c>
      <c r="J53" s="117">
        <v>13.383478642698901</v>
      </c>
      <c r="K53" s="117">
        <v>6.2061152259556298</v>
      </c>
      <c r="L53" s="117">
        <v>9.3985303456409302</v>
      </c>
      <c r="M53" s="117">
        <v>27.118570262179102</v>
      </c>
      <c r="N53" s="117">
        <v>48.973963530799203</v>
      </c>
      <c r="O53" s="117">
        <v>69.800962496598004</v>
      </c>
      <c r="P53" s="133">
        <v>81.884060600562506</v>
      </c>
      <c r="Q53" s="149">
        <v>9.0733919985484892</v>
      </c>
      <c r="S53" s="147"/>
    </row>
    <row r="54" spans="1:19">
      <c r="A54" s="116" t="s">
        <v>623</v>
      </c>
      <c r="B54" s="117">
        <v>0.67059784087816399</v>
      </c>
      <c r="C54" s="117">
        <v>3.6028461357888002</v>
      </c>
      <c r="D54" s="117"/>
      <c r="E54" s="117"/>
      <c r="F54" s="117">
        <v>3.5549929825837201</v>
      </c>
      <c r="G54" s="117">
        <v>8.9108228250022705</v>
      </c>
      <c r="H54" s="117"/>
      <c r="I54" s="117">
        <v>6.8651795374443996</v>
      </c>
      <c r="J54" s="117">
        <v>6.7383941862381098</v>
      </c>
      <c r="K54" s="117">
        <v>2.6380469684691499</v>
      </c>
      <c r="L54" s="117">
        <v>4.2369590855484001</v>
      </c>
      <c r="M54" s="117">
        <v>6.13698630136986</v>
      </c>
      <c r="N54" s="117">
        <v>12.416220629592701</v>
      </c>
      <c r="O54" s="117">
        <v>18.300252345096599</v>
      </c>
      <c r="P54" s="133">
        <v>38.579696997187703</v>
      </c>
      <c r="Q54" s="149">
        <v>4.8973963530799196</v>
      </c>
      <c r="S54" s="147"/>
    </row>
    <row r="55" spans="1:19">
      <c r="A55" s="116" t="s">
        <v>624</v>
      </c>
      <c r="B55" s="117">
        <v>1.5952100154222999</v>
      </c>
      <c r="C55" s="117">
        <v>7.1148507665789698</v>
      </c>
      <c r="D55" s="117"/>
      <c r="E55" s="117"/>
      <c r="F55" s="117">
        <v>7.1148507665789698</v>
      </c>
      <c r="G55" s="117">
        <v>5.3241404336387603</v>
      </c>
      <c r="H55" s="117">
        <v>6.6779461126735002</v>
      </c>
      <c r="I55" s="117">
        <v>7.1148507665789698</v>
      </c>
      <c r="J55" s="117">
        <v>6.8811122199038399</v>
      </c>
      <c r="K55" s="117">
        <v>5.0827360972511997</v>
      </c>
      <c r="L55" s="117">
        <v>1.62569173546222</v>
      </c>
      <c r="M55" s="117">
        <v>10.719404880703999</v>
      </c>
      <c r="N55" s="117">
        <v>6.6551755420484398</v>
      </c>
      <c r="O55" s="117">
        <v>13.000179261544</v>
      </c>
      <c r="P55" s="133">
        <v>29.465662705252701</v>
      </c>
      <c r="Q55" s="149">
        <v>1.1176630681302699</v>
      </c>
      <c r="S55" s="147"/>
    </row>
    <row r="56" spans="1:19">
      <c r="A56" s="116" t="s">
        <v>625</v>
      </c>
      <c r="B56" s="117">
        <v>5.0802866733194202E-2</v>
      </c>
      <c r="C56" s="117"/>
      <c r="D56" s="117"/>
      <c r="E56" s="117"/>
      <c r="F56" s="117"/>
      <c r="G56" s="117"/>
      <c r="H56" s="117"/>
      <c r="I56" s="117"/>
      <c r="J56" s="117"/>
      <c r="K56" s="117"/>
      <c r="L56" s="117"/>
      <c r="M56" s="117">
        <v>0</v>
      </c>
      <c r="N56" s="117"/>
      <c r="O56" s="117"/>
      <c r="P56" s="133"/>
      <c r="Q56" s="149"/>
      <c r="S56" s="147"/>
    </row>
    <row r="57" spans="1:19">
      <c r="A57" s="116" t="s">
        <v>626</v>
      </c>
      <c r="B57" s="117"/>
      <c r="C57" s="117"/>
      <c r="D57" s="117"/>
      <c r="E57" s="117"/>
      <c r="F57" s="117"/>
      <c r="G57" s="117"/>
      <c r="H57" s="117"/>
      <c r="I57" s="117"/>
      <c r="J57" s="117"/>
      <c r="K57" s="117"/>
      <c r="L57" s="117">
        <v>1.7272974689286</v>
      </c>
      <c r="M57" s="117"/>
      <c r="N57" s="117">
        <v>106.24911548580199</v>
      </c>
      <c r="O57" s="117"/>
      <c r="P57" s="133"/>
      <c r="Q57" s="149"/>
      <c r="S57" s="147"/>
    </row>
    <row r="58" spans="1:19">
      <c r="A58" s="116" t="s">
        <v>627</v>
      </c>
      <c r="B58" s="117">
        <v>0.84332758777102401</v>
      </c>
      <c r="C58" s="117">
        <v>7.3149295744783398</v>
      </c>
      <c r="D58" s="117">
        <v>6.0963440079833102</v>
      </c>
      <c r="E58" s="117">
        <v>6.0861834346366699</v>
      </c>
      <c r="F58" s="117">
        <v>7.1255977553116203</v>
      </c>
      <c r="G58" s="117">
        <v>22.7190420030845</v>
      </c>
      <c r="H58" s="117"/>
      <c r="I58" s="117">
        <v>12.1564037211004</v>
      </c>
      <c r="J58" s="117">
        <v>12.5379018441156</v>
      </c>
      <c r="K58" s="117">
        <v>6.7059784087816396</v>
      </c>
      <c r="L58" s="117">
        <v>4.4300099791345398</v>
      </c>
      <c r="M58" s="117">
        <v>17.679397623151601</v>
      </c>
      <c r="N58" s="117">
        <v>19.548943118933099</v>
      </c>
      <c r="O58" s="117"/>
      <c r="P58" s="133"/>
      <c r="Q58" s="149">
        <v>38.5696541966797</v>
      </c>
      <c r="S58" s="147"/>
    </row>
    <row r="59" spans="1:19">
      <c r="A59" s="116" t="s">
        <v>628</v>
      </c>
      <c r="B59" s="117">
        <v>0.70107956091807999</v>
      </c>
      <c r="C59" s="117">
        <v>1.5139254286491901</v>
      </c>
      <c r="D59" s="117">
        <v>3.0481720039916498</v>
      </c>
      <c r="E59" s="117">
        <v>3.0481720039916498</v>
      </c>
      <c r="F59" s="117">
        <v>3.0481720039916498</v>
      </c>
      <c r="G59" s="117">
        <v>3.0481720039916498</v>
      </c>
      <c r="H59" s="117">
        <v>3.0481720039916498</v>
      </c>
      <c r="I59" s="117">
        <v>3.0481720039916498</v>
      </c>
      <c r="J59" s="117">
        <v>3.0481720039916498</v>
      </c>
      <c r="K59" s="117">
        <v>3.0481720039916498</v>
      </c>
      <c r="L59" s="117">
        <v>2.04227524267441</v>
      </c>
      <c r="M59" s="117">
        <v>3.0481720039916498</v>
      </c>
      <c r="N59" s="117">
        <v>18.563367504309198</v>
      </c>
      <c r="O59" s="117">
        <v>14.0001930508936</v>
      </c>
      <c r="P59" s="133">
        <v>27.911094983216898</v>
      </c>
      <c r="Q59" s="149">
        <v>4.5824185793341199</v>
      </c>
      <c r="S59" s="147"/>
    </row>
    <row r="60" spans="1:19">
      <c r="A60" s="120"/>
      <c r="B60" s="121"/>
      <c r="C60" s="121"/>
      <c r="D60" s="121"/>
      <c r="E60" s="121"/>
      <c r="F60" s="121"/>
      <c r="G60" s="121"/>
      <c r="H60" s="121"/>
      <c r="I60" s="121"/>
      <c r="J60" s="121"/>
      <c r="K60" s="121"/>
      <c r="L60" s="121"/>
      <c r="M60" s="135"/>
      <c r="N60" s="135"/>
      <c r="O60" s="135"/>
      <c r="P60" s="136"/>
      <c r="Q60" s="150"/>
      <c r="S60" s="147"/>
    </row>
    <row r="61" spans="1:19">
      <c r="A61" s="342" t="s">
        <v>629</v>
      </c>
      <c r="B61" s="122">
        <f t="shared" ref="B61:G61" si="6">SUM(B17:B60)</f>
        <v>93.924340016329552</v>
      </c>
      <c r="C61" s="122">
        <f t="shared" si="6"/>
        <v>301.42603798226133</v>
      </c>
      <c r="D61" s="122">
        <f t="shared" si="6"/>
        <v>405.4068765308898</v>
      </c>
      <c r="E61" s="122">
        <f t="shared" si="6"/>
        <v>414.6834799963712</v>
      </c>
      <c r="F61" s="122">
        <f t="shared" si="6"/>
        <v>292.14950796777651</v>
      </c>
      <c r="G61" s="122">
        <f t="shared" si="6"/>
        <v>590.67477093350192</v>
      </c>
      <c r="H61" s="122">
        <v>478.57156506317699</v>
      </c>
      <c r="I61" s="122">
        <f t="shared" ref="I61:L61" si="7">SUM(I17:I60)</f>
        <v>498.4125525651155</v>
      </c>
      <c r="J61" s="122">
        <f t="shared" si="7"/>
        <v>514.05397560873917</v>
      </c>
      <c r="K61" s="122">
        <f t="shared" si="7"/>
        <v>207.80766171243178</v>
      </c>
      <c r="L61" s="122">
        <f t="shared" si="7"/>
        <v>301.5861380749343</v>
      </c>
      <c r="M61" s="122">
        <f>SUM(M17:M59)</f>
        <v>728.03556200671335</v>
      </c>
      <c r="N61" s="122">
        <f>SUM(N17:N60)</f>
        <v>1460.023587045268</v>
      </c>
      <c r="O61" s="122">
        <f>SUM(O17:O60)</f>
        <v>1760.3242733919994</v>
      </c>
      <c r="P61" s="137">
        <f>SUM(P17:P60)</f>
        <v>3543.3373854667525</v>
      </c>
      <c r="Q61" s="151">
        <f>SUM(Q17:Q59)</f>
        <v>1017.6550987444438</v>
      </c>
      <c r="S61" s="147"/>
    </row>
    <row r="62" spans="1:19">
      <c r="A62" s="123"/>
      <c r="B62" s="124"/>
      <c r="C62" s="124"/>
      <c r="D62" s="124"/>
      <c r="E62" s="124"/>
      <c r="F62" s="124"/>
      <c r="G62" s="124"/>
      <c r="H62" s="124"/>
      <c r="I62" s="124"/>
      <c r="J62" s="124"/>
      <c r="K62" s="124"/>
      <c r="L62" s="124"/>
      <c r="M62" s="124"/>
      <c r="N62" s="124"/>
      <c r="O62" s="138"/>
      <c r="P62" s="139"/>
      <c r="Q62" s="152"/>
      <c r="S62" s="147"/>
    </row>
    <row r="63" spans="1:19">
      <c r="A63" s="125"/>
      <c r="B63" s="126"/>
      <c r="C63" s="126"/>
      <c r="D63" s="126"/>
      <c r="E63" s="126"/>
      <c r="F63" s="126"/>
      <c r="G63" s="126"/>
      <c r="H63" s="126"/>
      <c r="I63" s="126"/>
      <c r="J63" s="126"/>
      <c r="K63" s="126"/>
      <c r="L63" s="126"/>
      <c r="M63" s="126"/>
      <c r="N63" s="126"/>
      <c r="O63" s="140"/>
      <c r="P63" s="140"/>
      <c r="Q63" s="126"/>
      <c r="S63" s="147"/>
    </row>
    <row r="64" spans="1:19">
      <c r="A64" s="119" t="s">
        <v>973</v>
      </c>
      <c r="B64" s="117">
        <f>SUM(B17:B56)</f>
        <v>92.379932867640449</v>
      </c>
      <c r="C64" s="117">
        <f t="shared" ref="C64:Q64" si="8">SUM(C17:C56)</f>
        <v>292.59718297913378</v>
      </c>
      <c r="D64" s="117">
        <f t="shared" si="8"/>
        <v>396.26236051891487</v>
      </c>
      <c r="E64" s="117">
        <f t="shared" si="8"/>
        <v>405.54912455774291</v>
      </c>
      <c r="F64" s="117">
        <f t="shared" si="8"/>
        <v>281.97573820847327</v>
      </c>
      <c r="G64" s="117">
        <f t="shared" si="8"/>
        <v>564.90755692642574</v>
      </c>
      <c r="H64" s="117">
        <f t="shared" si="8"/>
        <v>316.26335843236825</v>
      </c>
      <c r="I64" s="117">
        <f t="shared" si="8"/>
        <v>483.20797684002349</v>
      </c>
      <c r="J64" s="117">
        <f t="shared" si="8"/>
        <v>498.46790176063195</v>
      </c>
      <c r="K64" s="117">
        <f t="shared" si="8"/>
        <v>198.05351129965848</v>
      </c>
      <c r="L64" s="117">
        <f t="shared" si="8"/>
        <v>293.38655538419675</v>
      </c>
      <c r="M64" s="117">
        <f t="shared" si="8"/>
        <v>707.30799237957001</v>
      </c>
      <c r="N64" s="117">
        <f t="shared" si="8"/>
        <v>1315.6621609362239</v>
      </c>
      <c r="O64" s="117">
        <f t="shared" si="8"/>
        <v>1746.3240803411059</v>
      </c>
      <c r="P64" s="117">
        <f t="shared" si="8"/>
        <v>3515.4262904835355</v>
      </c>
      <c r="Q64" s="117">
        <f t="shared" si="8"/>
        <v>974.50302596842994</v>
      </c>
      <c r="S64" s="147"/>
    </row>
    <row r="65" spans="1:19">
      <c r="A65" s="119"/>
      <c r="B65" s="119"/>
      <c r="C65" s="119"/>
      <c r="D65" s="119"/>
      <c r="E65" s="119"/>
      <c r="F65" s="119"/>
      <c r="G65" s="119"/>
      <c r="H65" s="119"/>
      <c r="I65" s="119"/>
      <c r="J65" s="119"/>
      <c r="K65" s="119"/>
      <c r="L65" s="119"/>
      <c r="M65" s="119"/>
      <c r="N65" s="119"/>
      <c r="O65" s="119"/>
      <c r="P65" s="119"/>
      <c r="Q65" s="119"/>
      <c r="S65" s="147"/>
    </row>
    <row r="66" spans="1:19">
      <c r="A66" s="119" t="s">
        <v>515</v>
      </c>
      <c r="B66" s="117">
        <f t="shared" ref="B66:Q66" si="9">SUM(B17:B33)</f>
        <v>57.447881701896101</v>
      </c>
      <c r="C66" s="153">
        <f t="shared" si="9"/>
        <v>192.464064293837</v>
      </c>
      <c r="D66" s="117">
        <f t="shared" si="9"/>
        <v>232.67712963802953</v>
      </c>
      <c r="E66" s="117">
        <f t="shared" si="9"/>
        <v>268.68620157851768</v>
      </c>
      <c r="F66" s="153">
        <f t="shared" si="9"/>
        <v>184.35677208483759</v>
      </c>
      <c r="G66" s="153">
        <f t="shared" si="9"/>
        <v>324.75224530527032</v>
      </c>
      <c r="H66" s="117">
        <f t="shared" si="9"/>
        <v>285.00408237321926</v>
      </c>
      <c r="I66" s="153">
        <f t="shared" si="9"/>
        <v>294.55603765355301</v>
      </c>
      <c r="J66" s="153">
        <f t="shared" si="9"/>
        <v>281.53305033179834</v>
      </c>
      <c r="K66" s="117">
        <f t="shared" si="9"/>
        <v>131.56839028844308</v>
      </c>
      <c r="L66" s="153">
        <f t="shared" si="9"/>
        <v>211.959720584233</v>
      </c>
      <c r="M66" s="117">
        <f t="shared" si="9"/>
        <v>478.38011430644997</v>
      </c>
      <c r="N66" s="117">
        <f t="shared" si="9"/>
        <v>959.75759775015865</v>
      </c>
      <c r="O66" s="117">
        <f t="shared" si="9"/>
        <v>1337.7184460128829</v>
      </c>
      <c r="P66" s="117">
        <f t="shared" si="9"/>
        <v>2281.2722489340476</v>
      </c>
      <c r="Q66" s="153">
        <f t="shared" si="9"/>
        <v>771.59920668148447</v>
      </c>
      <c r="S66" s="147"/>
    </row>
    <row r="67" spans="1:19">
      <c r="A67" s="154">
        <v>110</v>
      </c>
      <c r="B67" s="117">
        <f>SUM(B17:B22)</f>
        <v>31.121836160754814</v>
      </c>
      <c r="C67" s="153">
        <f t="shared" ref="C67:Q67" si="10">SUM(C17:C22)</f>
        <v>123.88482723961181</v>
      </c>
      <c r="D67" s="117">
        <f t="shared" si="10"/>
        <v>130.05533883697717</v>
      </c>
      <c r="E67" s="117">
        <f t="shared" si="10"/>
        <v>144.93041821645653</v>
      </c>
      <c r="F67" s="153">
        <f t="shared" si="10"/>
        <v>108.55860116224595</v>
      </c>
      <c r="G67" s="153">
        <f t="shared" si="10"/>
        <v>181.84378118479503</v>
      </c>
      <c r="H67" s="117">
        <f t="shared" si="10"/>
        <v>171.20566089086421</v>
      </c>
      <c r="I67" s="153">
        <f t="shared" si="10"/>
        <v>177.06187094362886</v>
      </c>
      <c r="J67" s="153">
        <f t="shared" si="10"/>
        <v>157.85858337702899</v>
      </c>
      <c r="K67" s="117">
        <f t="shared" si="10"/>
        <v>72.522119667241924</v>
      </c>
      <c r="L67" s="153">
        <f t="shared" si="10"/>
        <v>116.92787807311984</v>
      </c>
      <c r="M67" s="117">
        <f t="shared" si="10"/>
        <v>208.3527170461762</v>
      </c>
      <c r="N67" s="117">
        <f t="shared" si="10"/>
        <v>442.86891045994713</v>
      </c>
      <c r="O67" s="117">
        <f t="shared" si="10"/>
        <v>621.20856594393604</v>
      </c>
      <c r="P67" s="117">
        <f t="shared" si="10"/>
        <v>975.49632586410235</v>
      </c>
      <c r="Q67" s="153">
        <f t="shared" si="10"/>
        <v>329.93459754604044</v>
      </c>
      <c r="S67" s="147"/>
    </row>
    <row r="68" spans="1:19">
      <c r="A68" s="154">
        <v>120</v>
      </c>
      <c r="B68" s="117">
        <f>SUM(B23:B25)</f>
        <v>9.1445160119749698</v>
      </c>
      <c r="C68" s="153">
        <f t="shared" ref="C68:Q68" si="11">SUM(C23:C25)</f>
        <v>24.840134465542292</v>
      </c>
      <c r="D68" s="117">
        <f t="shared" si="11"/>
        <v>35.562006713235924</v>
      </c>
      <c r="E68" s="117">
        <f t="shared" si="11"/>
        <v>48.770752063866453</v>
      </c>
      <c r="F68" s="153">
        <f t="shared" si="11"/>
        <v>32.958112730424062</v>
      </c>
      <c r="G68" s="153">
        <f t="shared" si="11"/>
        <v>55.202394992288795</v>
      </c>
      <c r="H68" s="117">
        <f t="shared" si="11"/>
        <v>43.690465390546898</v>
      </c>
      <c r="I68" s="153">
        <f t="shared" si="11"/>
        <v>44.9903644995725</v>
      </c>
      <c r="J68" s="153">
        <f t="shared" si="11"/>
        <v>45.631173386775302</v>
      </c>
      <c r="K68" s="117">
        <f t="shared" si="11"/>
        <v>17.06162488047725</v>
      </c>
      <c r="L68" s="153">
        <f t="shared" si="11"/>
        <v>31.650185974780051</v>
      </c>
      <c r="M68" s="117">
        <f t="shared" si="11"/>
        <v>60.780549759593484</v>
      </c>
      <c r="N68" s="117">
        <f t="shared" si="11"/>
        <v>177.6576249659802</v>
      </c>
      <c r="O68" s="117">
        <f t="shared" si="11"/>
        <v>163.00224766397571</v>
      </c>
      <c r="P68" s="117">
        <f t="shared" si="11"/>
        <v>505.24467023496362</v>
      </c>
      <c r="Q68" s="153">
        <f t="shared" si="11"/>
        <v>142.1010347908915</v>
      </c>
      <c r="S68" s="147"/>
    </row>
    <row r="69" spans="1:19">
      <c r="A69" s="154">
        <v>130</v>
      </c>
      <c r="B69" s="117">
        <f>SUM(B26:B29)</f>
        <v>12.863285856844801</v>
      </c>
      <c r="C69" s="153">
        <f t="shared" ref="C69:Q69" si="12">SUM(C26:C29)</f>
        <v>31.8343463666878</v>
      </c>
      <c r="D69" s="117">
        <f t="shared" si="12"/>
        <v>50.8028667331942</v>
      </c>
      <c r="E69" s="117">
        <f t="shared" si="12"/>
        <v>52.936587135988397</v>
      </c>
      <c r="F69" s="153">
        <f t="shared" si="12"/>
        <v>30.978829848172499</v>
      </c>
      <c r="G69" s="153">
        <f t="shared" si="12"/>
        <v>61.014242946566299</v>
      </c>
      <c r="H69" s="117">
        <f t="shared" si="12"/>
        <v>48.770752063866503</v>
      </c>
      <c r="I69" s="153">
        <f t="shared" si="12"/>
        <v>50.437427624592402</v>
      </c>
      <c r="J69" s="153">
        <f t="shared" si="12"/>
        <v>57.607967431733599</v>
      </c>
      <c r="K69" s="117">
        <f t="shared" si="12"/>
        <v>23.9325954821736</v>
      </c>
      <c r="L69" s="153">
        <f t="shared" si="12"/>
        <v>38.0818289032024</v>
      </c>
      <c r="M69" s="117">
        <f t="shared" si="12"/>
        <v>157.49904744624871</v>
      </c>
      <c r="N69" s="117">
        <f t="shared" si="12"/>
        <v>276.26598929511039</v>
      </c>
      <c r="O69" s="117">
        <f t="shared" si="12"/>
        <v>339.60468286310402</v>
      </c>
      <c r="P69" s="117">
        <f t="shared" si="12"/>
        <v>510.35543862832299</v>
      </c>
      <c r="Q69" s="153">
        <f t="shared" si="12"/>
        <v>232.58283951737303</v>
      </c>
      <c r="S69" s="147"/>
    </row>
    <row r="70" spans="1:19">
      <c r="A70" s="154">
        <v>140</v>
      </c>
      <c r="B70" s="117">
        <f>SUM(B30:B33)</f>
        <v>4.3182436723215103</v>
      </c>
      <c r="C70" s="153">
        <f t="shared" ref="C70:Q70" si="13">SUM(C30:C33)</f>
        <v>11.9047562219951</v>
      </c>
      <c r="D70" s="117">
        <f t="shared" si="13"/>
        <v>16.2569173546222</v>
      </c>
      <c r="E70" s="117">
        <f t="shared" si="13"/>
        <v>22.048444162206302</v>
      </c>
      <c r="F70" s="153">
        <f t="shared" si="13"/>
        <v>11.8612283439951</v>
      </c>
      <c r="G70" s="153">
        <f t="shared" si="13"/>
        <v>26.6918261816202</v>
      </c>
      <c r="H70" s="117">
        <f t="shared" si="13"/>
        <v>21.337204027941599</v>
      </c>
      <c r="I70" s="153">
        <f t="shared" si="13"/>
        <v>22.066374585759199</v>
      </c>
      <c r="J70" s="153">
        <f t="shared" si="13"/>
        <v>20.4353261362605</v>
      </c>
      <c r="K70" s="117">
        <f t="shared" si="13"/>
        <v>18.05205025855032</v>
      </c>
      <c r="L70" s="153">
        <f t="shared" si="13"/>
        <v>25.2998276331307</v>
      </c>
      <c r="M70" s="117">
        <f t="shared" si="13"/>
        <v>51.747800054431671</v>
      </c>
      <c r="N70" s="117">
        <f t="shared" si="13"/>
        <v>62.965073029120852</v>
      </c>
      <c r="O70" s="117">
        <f t="shared" si="13"/>
        <v>213.9029495418672</v>
      </c>
      <c r="P70" s="117">
        <f t="shared" si="13"/>
        <v>290.17581420665908</v>
      </c>
      <c r="Q70" s="153">
        <f t="shared" si="13"/>
        <v>66.980734827179461</v>
      </c>
      <c r="S70" s="147"/>
    </row>
    <row r="71" spans="1:19">
      <c r="A71" s="154">
        <v>150</v>
      </c>
      <c r="B71" s="117">
        <f t="shared" ref="B71:G71" si="14">SUM(B34:B39)</f>
        <v>15.454232060237684</v>
      </c>
      <c r="C71" s="153">
        <f t="shared" si="14"/>
        <v>37.225621201124959</v>
      </c>
      <c r="D71" s="117">
        <f t="shared" si="14"/>
        <v>70.107956091808006</v>
      </c>
      <c r="E71" s="117">
        <f t="shared" si="14"/>
        <v>47.449877528803427</v>
      </c>
      <c r="F71" s="153">
        <f t="shared" si="14"/>
        <v>41.467088896444935</v>
      </c>
      <c r="G71" s="153">
        <f t="shared" si="14"/>
        <v>123.14614896126278</v>
      </c>
      <c r="H71" s="117"/>
      <c r="I71" s="153">
        <f t="shared" ref="I71:Q71" si="15">SUM(I34:I39)</f>
        <v>85.513857389095548</v>
      </c>
      <c r="J71" s="153">
        <f t="shared" si="15"/>
        <v>110.93137598657356</v>
      </c>
      <c r="K71" s="117">
        <f t="shared" si="15"/>
        <v>21.589309301776332</v>
      </c>
      <c r="L71" s="153">
        <f t="shared" si="15"/>
        <v>17.26281411593941</v>
      </c>
      <c r="M71" s="117">
        <f t="shared" si="15"/>
        <v>63.737276603465446</v>
      </c>
      <c r="N71" s="117">
        <f t="shared" si="15"/>
        <v>108.44379932867646</v>
      </c>
      <c r="O71" s="117"/>
      <c r="P71" s="117">
        <f>SUM(P34:P39)</f>
        <v>518.90048081284613</v>
      </c>
      <c r="Q71" s="153">
        <f t="shared" si="15"/>
        <v>115.94585865916729</v>
      </c>
      <c r="S71" s="147"/>
    </row>
    <row r="72" spans="1:19">
      <c r="A72" s="154">
        <v>160</v>
      </c>
      <c r="B72" s="117">
        <f>SUM(B40:B47)</f>
        <v>7.1225619159938258</v>
      </c>
      <c r="C72" s="153">
        <f t="shared" ref="C72:Q72" si="16">SUM(C40:C47)</f>
        <v>11.430435853396533</v>
      </c>
      <c r="D72" s="117">
        <f t="shared" si="16"/>
        <v>23.369318697269357</v>
      </c>
      <c r="E72" s="117">
        <f t="shared" si="16"/>
        <v>22.353261362605458</v>
      </c>
      <c r="F72" s="153">
        <f t="shared" si="16"/>
        <v>9.2164248024949664</v>
      </c>
      <c r="G72" s="153">
        <f t="shared" si="16"/>
        <v>47.480359248843243</v>
      </c>
      <c r="H72" s="117">
        <f t="shared" si="16"/>
        <v>21.337204027941588</v>
      </c>
      <c r="I72" s="153">
        <f t="shared" si="16"/>
        <v>38.365102913160143</v>
      </c>
      <c r="J72" s="153">
        <f t="shared" si="16"/>
        <v>42.705823536526928</v>
      </c>
      <c r="K72" s="117">
        <f t="shared" si="16"/>
        <v>14.389491459236787</v>
      </c>
      <c r="L72" s="153">
        <f t="shared" si="16"/>
        <v>23.003538056790333</v>
      </c>
      <c r="M72" s="117">
        <f t="shared" si="16"/>
        <v>62.558650095255459</v>
      </c>
      <c r="N72" s="117">
        <f t="shared" si="16"/>
        <v>69.579606277782773</v>
      </c>
      <c r="O72" s="117">
        <f t="shared" si="16"/>
        <v>151.50208908645558</v>
      </c>
      <c r="P72" s="117">
        <f t="shared" si="16"/>
        <v>344.12845867731119</v>
      </c>
      <c r="Q72" s="153">
        <f t="shared" si="16"/>
        <v>39.537839063775792</v>
      </c>
      <c r="S72" s="147"/>
    </row>
    <row r="73" spans="1:19">
      <c r="A73" s="154">
        <v>170</v>
      </c>
      <c r="B73" s="117">
        <f>SUM(B48:B49)</f>
        <v>0.96525446793069003</v>
      </c>
      <c r="C73" s="153">
        <f t="shared" ref="C73:Q73" si="17">SUM(C48:C49)</f>
        <v>0.59947382745169198</v>
      </c>
      <c r="D73" s="117">
        <f t="shared" si="17"/>
        <v>2.0321146693277701</v>
      </c>
      <c r="E73" s="117">
        <f t="shared" si="17"/>
        <v>2.0321146693277701</v>
      </c>
      <c r="F73" s="153">
        <f t="shared" si="17"/>
        <v>1.9406695092080199</v>
      </c>
      <c r="G73" s="153">
        <f t="shared" si="17"/>
        <v>2.2861290029937398</v>
      </c>
      <c r="H73" s="117">
        <f t="shared" si="17"/>
        <v>2.2861290029937398</v>
      </c>
      <c r="I73" s="153">
        <f t="shared" si="17"/>
        <v>2.2861290029937398</v>
      </c>
      <c r="J73" s="153">
        <f t="shared" si="17"/>
        <v>2.2861290029937398</v>
      </c>
      <c r="K73" s="117">
        <f t="shared" si="17"/>
        <v>0.55360337476186194</v>
      </c>
      <c r="L73" s="153">
        <f t="shared" si="17"/>
        <v>1.58504944207566</v>
      </c>
      <c r="M73" s="117">
        <f t="shared" si="17"/>
        <v>2.7535153769391298</v>
      </c>
      <c r="N73" s="117">
        <f t="shared" si="17"/>
        <v>7.0717590492606401</v>
      </c>
      <c r="O73" s="117">
        <f t="shared" si="17"/>
        <v>4.2000579152680801</v>
      </c>
      <c r="P73" s="117">
        <f t="shared" si="17"/>
        <v>23.521727297468942</v>
      </c>
      <c r="Q73" s="153">
        <f t="shared" si="17"/>
        <v>2.20484441622063</v>
      </c>
      <c r="S73" s="147"/>
    </row>
    <row r="74" spans="1:19">
      <c r="A74" s="154">
        <v>180</v>
      </c>
      <c r="B74" s="117">
        <f>SUM(B50:B56)</f>
        <v>11.390002721582155</v>
      </c>
      <c r="C74" s="153">
        <f t="shared" ref="C74:Q74" si="18">SUM(C50:C56)</f>
        <v>50.877587803323607</v>
      </c>
      <c r="D74" s="117">
        <f t="shared" si="18"/>
        <v>68.075841422480295</v>
      </c>
      <c r="E74" s="117">
        <f t="shared" si="18"/>
        <v>65.0276694184886</v>
      </c>
      <c r="F74" s="153">
        <f t="shared" si="18"/>
        <v>44.994782915487718</v>
      </c>
      <c r="G74" s="153">
        <f t="shared" si="18"/>
        <v>67.24267440805589</v>
      </c>
      <c r="H74" s="117">
        <f t="shared" si="18"/>
        <v>6.6779461126735002</v>
      </c>
      <c r="I74" s="153">
        <f t="shared" si="18"/>
        <v>62.486849881221126</v>
      </c>
      <c r="J74" s="153">
        <f t="shared" si="18"/>
        <v>61.0115229027395</v>
      </c>
      <c r="K74" s="117">
        <f t="shared" si="18"/>
        <v>29.952716875440419</v>
      </c>
      <c r="L74" s="153">
        <f t="shared" si="18"/>
        <v>39.575433185158282</v>
      </c>
      <c r="M74" s="117">
        <f t="shared" si="18"/>
        <v>99.878435997459931</v>
      </c>
      <c r="N74" s="117">
        <f t="shared" si="18"/>
        <v>170.80939853034562</v>
      </c>
      <c r="O74" s="117">
        <f t="shared" si="18"/>
        <v>252.90348732649909</v>
      </c>
      <c r="P74" s="117">
        <f t="shared" si="18"/>
        <v>347.60337476186226</v>
      </c>
      <c r="Q74" s="153">
        <f t="shared" si="18"/>
        <v>45.215277147781919</v>
      </c>
      <c r="S74" s="147"/>
    </row>
    <row r="75" spans="1:19">
      <c r="A75" s="154">
        <v>190</v>
      </c>
      <c r="B75" s="117">
        <f>SUM(B57:B59)</f>
        <v>1.544407148689104</v>
      </c>
      <c r="C75" s="153">
        <f t="shared" ref="C75:Q75" si="19">SUM(C57:C59)</f>
        <v>8.8288550031275292</v>
      </c>
      <c r="D75" s="117">
        <f t="shared" si="19"/>
        <v>9.1445160119749609</v>
      </c>
      <c r="E75" s="117">
        <f t="shared" si="19"/>
        <v>9.1343554386283188</v>
      </c>
      <c r="F75" s="153">
        <f t="shared" si="19"/>
        <v>10.173769759303269</v>
      </c>
      <c r="G75" s="153">
        <f t="shared" si="19"/>
        <v>25.767214007076149</v>
      </c>
      <c r="H75" s="117">
        <f t="shared" si="19"/>
        <v>3.0481720039916498</v>
      </c>
      <c r="I75" s="153">
        <f t="shared" si="19"/>
        <v>15.204575725092049</v>
      </c>
      <c r="J75" s="153">
        <f t="shared" si="19"/>
        <v>15.586073848107251</v>
      </c>
      <c r="K75" s="117">
        <f t="shared" si="19"/>
        <v>9.7541504127732885</v>
      </c>
      <c r="L75" s="153">
        <f t="shared" si="19"/>
        <v>8.1995826907375502</v>
      </c>
      <c r="M75" s="117">
        <f t="shared" si="19"/>
        <v>20.72756962714325</v>
      </c>
      <c r="N75" s="117">
        <f t="shared" si="19"/>
        <v>144.36142610904429</v>
      </c>
      <c r="O75" s="117">
        <f t="shared" si="19"/>
        <v>14.0001930508936</v>
      </c>
      <c r="P75" s="117">
        <f t="shared" si="19"/>
        <v>27.911094983216898</v>
      </c>
      <c r="Q75" s="153">
        <f t="shared" si="19"/>
        <v>43.152072776013817</v>
      </c>
      <c r="S75" s="147"/>
    </row>
    <row r="76" spans="1:19">
      <c r="A76" s="154">
        <v>200</v>
      </c>
      <c r="B76" s="119"/>
      <c r="C76" s="153">
        <v>166.377996585652</v>
      </c>
      <c r="D76" s="155">
        <v>182.890320239499</v>
      </c>
      <c r="E76" s="155">
        <v>182.890320239499</v>
      </c>
      <c r="F76" s="153">
        <v>154.17653996189799</v>
      </c>
      <c r="G76" s="153">
        <v>231.75251746348499</v>
      </c>
      <c r="H76" s="155">
        <v>169.70189603556199</v>
      </c>
      <c r="I76" s="153">
        <v>180.38419667967</v>
      </c>
      <c r="J76" s="153">
        <v>177.67794611267399</v>
      </c>
      <c r="K76" s="155">
        <v>101.321237412683</v>
      </c>
      <c r="L76" s="153">
        <v>118.817744715595</v>
      </c>
      <c r="M76" s="155">
        <v>301.40324775469497</v>
      </c>
      <c r="N76" s="155">
        <v>305.934863467296</v>
      </c>
      <c r="O76" s="155">
        <v>547.24848044996804</v>
      </c>
      <c r="P76" s="155">
        <v>827.17227614986803</v>
      </c>
      <c r="Q76" s="177">
        <v>274.11</v>
      </c>
      <c r="S76" s="147"/>
    </row>
    <row r="77" spans="1:19">
      <c r="A77" s="154">
        <v>300</v>
      </c>
      <c r="B77" s="119"/>
      <c r="C77" s="153">
        <v>40.288333742653499</v>
      </c>
      <c r="D77" s="155">
        <v>74.1721854304636</v>
      </c>
      <c r="E77" s="155">
        <v>74.1721854304636</v>
      </c>
      <c r="F77" s="153">
        <v>35.643291300009103</v>
      </c>
      <c r="G77" s="153">
        <v>66.663521727297507</v>
      </c>
      <c r="H77" s="155"/>
      <c r="I77" s="153">
        <v>71.051485429186101</v>
      </c>
      <c r="J77" s="153">
        <v>70.473736732286994</v>
      </c>
      <c r="K77" s="155">
        <v>25.472557380023598</v>
      </c>
      <c r="L77" s="153">
        <v>46.047718406967299</v>
      </c>
      <c r="M77" s="155">
        <v>82.066950920802</v>
      </c>
      <c r="N77" s="155">
        <v>245.07302912092899</v>
      </c>
      <c r="O77" s="155">
        <v>280.22861290029903</v>
      </c>
      <c r="P77" s="155">
        <v>383.79533702258902</v>
      </c>
      <c r="Q77" s="177">
        <v>113.49</v>
      </c>
      <c r="S77" s="147"/>
    </row>
    <row r="78" spans="1:19">
      <c r="A78" s="154">
        <v>400</v>
      </c>
      <c r="B78" s="119"/>
      <c r="C78" s="153">
        <v>56.785895155999597</v>
      </c>
      <c r="D78" s="155">
        <v>109.591944116847</v>
      </c>
      <c r="E78" s="155">
        <v>109.591944116847</v>
      </c>
      <c r="F78" s="153">
        <v>31.203120747527901</v>
      </c>
      <c r="G78" s="153">
        <v>62.284314614896097</v>
      </c>
      <c r="H78" s="155"/>
      <c r="I78" s="153">
        <v>57.704687046185597</v>
      </c>
      <c r="J78" s="153">
        <v>64.001451510478105</v>
      </c>
      <c r="K78" s="155">
        <v>24.944207565998401</v>
      </c>
      <c r="L78" s="153">
        <v>44.249296924612203</v>
      </c>
      <c r="M78" s="155">
        <v>63.950648643744898</v>
      </c>
      <c r="N78" s="155">
        <v>143.56890138800699</v>
      </c>
      <c r="O78" s="155">
        <v>292.42130091626598</v>
      </c>
      <c r="P78" s="155">
        <v>422.49696089993603</v>
      </c>
      <c r="Q78" s="177">
        <v>28.38</v>
      </c>
      <c r="S78" s="147"/>
    </row>
    <row r="79" spans="1:19">
      <c r="A79" s="154">
        <v>420</v>
      </c>
      <c r="B79" s="119"/>
      <c r="C79" s="153">
        <v>2.0117935226344899</v>
      </c>
      <c r="D79" s="155">
        <v>5.4867096071849799</v>
      </c>
      <c r="E79" s="155">
        <v>5.4867096071849799</v>
      </c>
      <c r="F79" s="153">
        <v>6.2690737548761701</v>
      </c>
      <c r="G79" s="153">
        <v>4.9786809398530298</v>
      </c>
      <c r="H79" s="155"/>
      <c r="I79" s="153">
        <v>5.4867096071849799</v>
      </c>
      <c r="J79" s="153">
        <v>6.0150594212102</v>
      </c>
      <c r="K79" s="155">
        <v>1.5444071486891</v>
      </c>
      <c r="L79" s="153">
        <v>1.7984214823550799</v>
      </c>
      <c r="M79" s="155">
        <v>6.0150594212102</v>
      </c>
      <c r="N79" s="155">
        <v>6.2995554749160796</v>
      </c>
      <c r="O79" s="155">
        <v>9.8557561462396794</v>
      </c>
      <c r="P79" s="155">
        <v>7.4781819831261904</v>
      </c>
      <c r="Q79" s="177">
        <f>0.34+1.38+0.43+0.44+1.94+0.02</f>
        <v>4.5499999999999989</v>
      </c>
      <c r="S79" s="147"/>
    </row>
    <row r="80" spans="1:19">
      <c r="A80" s="154">
        <v>430</v>
      </c>
      <c r="B80" s="119"/>
      <c r="C80" s="153">
        <v>4.8034877080668803</v>
      </c>
      <c r="D80" s="155">
        <v>10.719404880703999</v>
      </c>
      <c r="E80" s="155">
        <v>10.719404880703999</v>
      </c>
      <c r="F80" s="153">
        <v>3.33266805769754</v>
      </c>
      <c r="G80" s="153">
        <v>10.627959720584199</v>
      </c>
      <c r="H80" s="155"/>
      <c r="I80" s="153">
        <v>11.247742243046201</v>
      </c>
      <c r="J80" s="153">
        <v>10.770207747437199</v>
      </c>
      <c r="K80" s="155">
        <v>3.56636124467023</v>
      </c>
      <c r="L80" s="153">
        <v>5.1717318334391704</v>
      </c>
      <c r="M80" s="155">
        <v>17.0087997822734</v>
      </c>
      <c r="N80" s="155">
        <v>14.428014152227201</v>
      </c>
      <c r="O80" s="155">
        <v>23.267712963803</v>
      </c>
      <c r="P80" s="155">
        <v>53.779914723759397</v>
      </c>
      <c r="Q80" s="177">
        <f>0.98+2.13+2.15+0.98+1.06+1.6+0.4</f>
        <v>9.3000000000000007</v>
      </c>
      <c r="S80" s="147"/>
    </row>
    <row r="81" spans="1:19">
      <c r="A81" s="154" t="s">
        <v>631</v>
      </c>
      <c r="B81" s="119"/>
      <c r="C81" s="153">
        <v>6.8152812307013697</v>
      </c>
      <c r="D81" s="155">
        <v>16.206114487889</v>
      </c>
      <c r="E81" s="155">
        <v>16.206114487889</v>
      </c>
      <c r="F81" s="153">
        <v>9.6017418125737102</v>
      </c>
      <c r="G81" s="153">
        <v>15.6066406604373</v>
      </c>
      <c r="H81" s="155"/>
      <c r="I81" s="153">
        <v>16.734451850231199</v>
      </c>
      <c r="J81" s="153">
        <v>16.785267168647401</v>
      </c>
      <c r="K81" s="155">
        <v>5.11076839335934</v>
      </c>
      <c r="L81" s="153">
        <v>6.9701533157942501</v>
      </c>
      <c r="M81" s="155">
        <v>23.0238592034836</v>
      </c>
      <c r="N81" s="155">
        <v>20.7275696271432</v>
      </c>
      <c r="O81" s="155">
        <v>33.123469110042599</v>
      </c>
      <c r="P81" s="155">
        <v>61.258096706885603</v>
      </c>
      <c r="Q81" s="177">
        <f>SUM(Q79:Q80)</f>
        <v>13.85</v>
      </c>
      <c r="S81" s="147"/>
    </row>
    <row r="82" spans="1:19">
      <c r="A82" s="154">
        <v>500</v>
      </c>
      <c r="B82" s="119"/>
      <c r="C82" s="153">
        <v>67.778137141669703</v>
      </c>
      <c r="D82" s="155">
        <v>134.11956817563299</v>
      </c>
      <c r="E82" s="155">
        <v>134.11956817563299</v>
      </c>
      <c r="F82" s="153">
        <v>57.762859475641797</v>
      </c>
      <c r="G82" s="153">
        <v>213.15866823913601</v>
      </c>
      <c r="H82" s="155">
        <v>169.73237775560199</v>
      </c>
      <c r="I82" s="153">
        <v>172.478497953534</v>
      </c>
      <c r="J82" s="153">
        <v>170.321691009707</v>
      </c>
      <c r="K82" s="155">
        <v>61.268257280232199</v>
      </c>
      <c r="L82" s="153">
        <v>92.7660346548127</v>
      </c>
      <c r="M82" s="155">
        <v>192.86800326589901</v>
      </c>
      <c r="N82" s="155">
        <v>524.48879615349699</v>
      </c>
      <c r="O82" s="155">
        <v>738.57207656717799</v>
      </c>
      <c r="P82" s="155">
        <v>1036.05334301007</v>
      </c>
      <c r="Q82" s="177">
        <v>267.83</v>
      </c>
      <c r="S82" s="147"/>
    </row>
    <row r="83" spans="1:19">
      <c r="A83" s="154">
        <v>600</v>
      </c>
      <c r="B83" s="119"/>
      <c r="C83" s="153">
        <v>57.461660857875501</v>
      </c>
      <c r="D83" s="155">
        <v>60.963440079833099</v>
      </c>
      <c r="E83" s="155">
        <v>61.359702440352002</v>
      </c>
      <c r="F83" s="153">
        <v>54.806132631769898</v>
      </c>
      <c r="G83" s="153">
        <v>137.350630499864</v>
      </c>
      <c r="H83" s="155"/>
      <c r="I83" s="153">
        <v>105.83627411232</v>
      </c>
      <c r="J83" s="153">
        <v>103.88170189603601</v>
      </c>
      <c r="K83" s="155">
        <v>40.672775106595303</v>
      </c>
      <c r="L83" s="153">
        <v>67.547491608455104</v>
      </c>
      <c r="M83" s="155">
        <v>91.475641839789503</v>
      </c>
      <c r="N83" s="155">
        <v>357.65218180168699</v>
      </c>
      <c r="O83" s="155">
        <v>466.06549941032398</v>
      </c>
      <c r="P83" s="155">
        <v>605.23487253923599</v>
      </c>
      <c r="Q83" s="177">
        <v>189.77</v>
      </c>
      <c r="S83" s="147"/>
    </row>
    <row r="84" spans="1:19">
      <c r="A84" s="154">
        <v>700</v>
      </c>
      <c r="B84" s="119"/>
      <c r="C84" s="153">
        <v>39.5048034110496</v>
      </c>
      <c r="D84" s="155">
        <v>25.4014333665971</v>
      </c>
      <c r="E84" s="155">
        <v>25.4014333665971</v>
      </c>
      <c r="F84" s="153">
        <v>50.122108318969403</v>
      </c>
      <c r="G84" s="153">
        <v>39.047083371133098</v>
      </c>
      <c r="H84" s="155"/>
      <c r="I84" s="153">
        <v>43.1123149777737</v>
      </c>
      <c r="J84" s="153">
        <v>45.570171459675201</v>
      </c>
      <c r="K84" s="155">
        <v>20.270343826544501</v>
      </c>
      <c r="L84" s="153">
        <v>23.989113671414302</v>
      </c>
      <c r="M84" s="155">
        <v>72.495690828268195</v>
      </c>
      <c r="N84" s="155">
        <v>100.589676131725</v>
      </c>
      <c r="O84" s="155">
        <v>170.79923795699901</v>
      </c>
      <c r="P84" s="155">
        <v>266.89794066950901</v>
      </c>
      <c r="Q84" s="177">
        <v>13.81</v>
      </c>
      <c r="S84" s="147"/>
    </row>
    <row r="85" spans="1:19">
      <c r="A85" s="154"/>
      <c r="B85" s="119"/>
      <c r="C85" s="117"/>
      <c r="D85" s="119"/>
      <c r="E85" s="119"/>
      <c r="F85" s="119"/>
      <c r="G85" s="119"/>
      <c r="H85" s="119"/>
      <c r="I85" s="117"/>
      <c r="J85" s="119"/>
      <c r="K85" s="119"/>
      <c r="L85" s="119"/>
      <c r="M85" s="119"/>
      <c r="N85" s="119"/>
      <c r="O85" s="119"/>
      <c r="P85" s="119"/>
      <c r="Q85" s="119"/>
      <c r="S85" s="147"/>
    </row>
    <row r="86" spans="1:19">
      <c r="A86" s="154" t="s">
        <v>632</v>
      </c>
      <c r="B86" s="119"/>
      <c r="C86" s="119">
        <f t="shared" ref="C86:Q86" si="20">C50/C76</f>
        <v>0.15492086862021395</v>
      </c>
      <c r="D86" s="119">
        <f t="shared" si="20"/>
        <v>0.12222222222222259</v>
      </c>
      <c r="E86" s="119">
        <f t="shared" si="20"/>
        <v>0.11666666666666693</v>
      </c>
      <c r="F86" s="119">
        <f t="shared" si="20"/>
        <v>0.14341527173674226</v>
      </c>
      <c r="G86" s="119">
        <f t="shared" si="20"/>
        <v>0.10951817265114654</v>
      </c>
      <c r="H86" s="119">
        <f t="shared" si="20"/>
        <v>0</v>
      </c>
      <c r="I86" s="119">
        <f t="shared" si="20"/>
        <v>0.12257875568407998</v>
      </c>
      <c r="J86" s="119">
        <f t="shared" si="20"/>
        <v>0.11666666666666611</v>
      </c>
      <c r="K86" s="119">
        <f t="shared" si="20"/>
        <v>0.11316751905334899</v>
      </c>
      <c r="L86" s="119">
        <f t="shared" si="20"/>
        <v>0.13588164870873892</v>
      </c>
      <c r="M86" s="119">
        <f t="shared" si="20"/>
        <v>0.12466289104638625</v>
      </c>
      <c r="N86" s="119">
        <f t="shared" si="20"/>
        <v>0.15071404848887401</v>
      </c>
      <c r="O86" s="119">
        <f t="shared" si="20"/>
        <v>0.15550737281841814</v>
      </c>
      <c r="P86" s="119">
        <f t="shared" si="20"/>
        <v>0.1266429185603741</v>
      </c>
      <c r="Q86" s="119">
        <f t="shared" si="20"/>
        <v>5.5752172735704271E-2</v>
      </c>
      <c r="S86" s="147"/>
    </row>
    <row r="87" spans="1:19">
      <c r="A87" s="154"/>
      <c r="B87" s="119"/>
      <c r="C87" s="117"/>
      <c r="D87" s="119"/>
      <c r="E87" s="119"/>
      <c r="F87" s="119"/>
      <c r="G87" s="119"/>
      <c r="H87" s="119"/>
      <c r="I87" s="117"/>
      <c r="J87" s="119"/>
      <c r="K87" s="119"/>
      <c r="L87" s="119"/>
      <c r="M87" s="119"/>
      <c r="N87" s="119"/>
      <c r="O87" s="119"/>
      <c r="P87" s="119"/>
      <c r="Q87" s="119"/>
      <c r="S87" s="147"/>
    </row>
    <row r="88" spans="1:19">
      <c r="A88" s="119" t="s">
        <v>633</v>
      </c>
      <c r="B88" s="119">
        <v>800</v>
      </c>
      <c r="C88" s="119"/>
      <c r="D88" s="119">
        <f>4*470</f>
        <v>1880</v>
      </c>
      <c r="E88" s="119"/>
      <c r="F88" s="119"/>
      <c r="G88" s="119"/>
      <c r="H88" s="119"/>
      <c r="I88" s="119"/>
      <c r="J88" s="119"/>
      <c r="K88" s="119"/>
      <c r="L88" s="119">
        <v>1200</v>
      </c>
      <c r="M88" s="119">
        <f>3*750</f>
        <v>2250</v>
      </c>
      <c r="N88" s="119">
        <v>3000</v>
      </c>
      <c r="O88" s="170">
        <v>7725.2</v>
      </c>
      <c r="P88" s="119">
        <v>7500</v>
      </c>
      <c r="Q88" s="119">
        <f>3*910</f>
        <v>2730</v>
      </c>
      <c r="S88" s="147"/>
    </row>
    <row r="89" spans="1:19">
      <c r="A89" s="154" t="s">
        <v>634</v>
      </c>
      <c r="B89" s="156">
        <f>(23000+3058)*0.7457</f>
        <v>19431.4506</v>
      </c>
      <c r="C89" s="157"/>
      <c r="D89" s="156">
        <f>(30000+3000*2)*0.7457</f>
        <v>26845.200000000001</v>
      </c>
      <c r="E89" s="157"/>
      <c r="F89" s="157"/>
      <c r="G89" s="157"/>
      <c r="H89" s="157"/>
      <c r="I89" s="157"/>
      <c r="J89" s="157"/>
      <c r="K89" s="157"/>
      <c r="L89" s="156">
        <f>(23000+3058)*0.7457</f>
        <v>19431.4506</v>
      </c>
      <c r="M89" s="171">
        <f>20000+1640*2</f>
        <v>23280</v>
      </c>
      <c r="N89" s="171">
        <f>40000*0.7457</f>
        <v>29828</v>
      </c>
      <c r="O89" s="170">
        <v>80880.2</v>
      </c>
      <c r="P89" s="171">
        <f>90000*0.7457</f>
        <v>67113</v>
      </c>
      <c r="Q89" s="156">
        <f>4*3700.2</f>
        <v>14800.8</v>
      </c>
      <c r="S89" s="147"/>
    </row>
    <row r="90" spans="1:19">
      <c r="A90" s="154" t="s">
        <v>635</v>
      </c>
      <c r="B90" s="119">
        <v>38</v>
      </c>
      <c r="C90" s="119">
        <v>39</v>
      </c>
      <c r="D90" s="119">
        <f>16+7+41+4+6</f>
        <v>74</v>
      </c>
      <c r="E90" s="119"/>
      <c r="F90" s="119"/>
      <c r="G90" s="119"/>
      <c r="H90" s="119">
        <v>88</v>
      </c>
      <c r="I90" s="119">
        <v>85</v>
      </c>
      <c r="J90" s="119"/>
      <c r="K90" s="119"/>
      <c r="L90" s="119">
        <v>58</v>
      </c>
      <c r="M90" s="119">
        <v>74</v>
      </c>
      <c r="N90" s="119">
        <f>16+198</f>
        <v>214</v>
      </c>
      <c r="O90" s="170">
        <v>262</v>
      </c>
      <c r="P90" s="119">
        <f>32+348</f>
        <v>380</v>
      </c>
      <c r="Q90" s="119">
        <v>108</v>
      </c>
      <c r="S90" s="147"/>
    </row>
    <row r="91" spans="1:19">
      <c r="A91" s="119"/>
      <c r="B91" s="119"/>
      <c r="C91" s="119" t="s">
        <v>567</v>
      </c>
      <c r="D91" s="119"/>
      <c r="E91" s="119"/>
      <c r="F91" s="119"/>
      <c r="G91" s="119"/>
      <c r="H91" s="119"/>
      <c r="I91" s="119"/>
      <c r="J91" s="119"/>
      <c r="K91" s="119"/>
      <c r="L91" s="119"/>
      <c r="M91" s="119"/>
      <c r="N91" s="119"/>
      <c r="O91" s="119"/>
      <c r="P91" s="119"/>
      <c r="Q91" s="119"/>
      <c r="S91" s="147"/>
    </row>
    <row r="92" spans="1:19">
      <c r="A92" s="154" t="s">
        <v>636</v>
      </c>
      <c r="B92" s="158">
        <f>B90*B11</f>
        <v>760.06446231855853</v>
      </c>
      <c r="C92" s="158">
        <f>C90*C11</f>
        <v>1515.3815334739591</v>
      </c>
      <c r="D92" s="158">
        <f>D90*D11</f>
        <v>4538.3619711181964</v>
      </c>
      <c r="E92" s="158"/>
      <c r="F92" s="158"/>
      <c r="G92" s="158"/>
      <c r="H92" s="158">
        <f>H90*H11</f>
        <v>4016.0643414003775</v>
      </c>
      <c r="I92" s="158">
        <f>I90*I11</f>
        <v>4140.6155792610289</v>
      </c>
      <c r="J92" s="158"/>
      <c r="K92" s="158"/>
      <c r="L92" s="158">
        <f t="shared" ref="L92:Q92" si="21">L90*L11</f>
        <v>2341.6195654597523</v>
      </c>
      <c r="M92" s="158">
        <f t="shared" si="21"/>
        <v>7078.5000740867645</v>
      </c>
      <c r="N92" s="158">
        <f t="shared" si="21"/>
        <v>33526.973959865813</v>
      </c>
      <c r="O92" s="158">
        <f t="shared" si="21"/>
        <v>58233.168000000005</v>
      </c>
      <c r="P92" s="158">
        <f t="shared" si="21"/>
        <v>125059.56635999998</v>
      </c>
      <c r="Q92" s="158">
        <f t="shared" si="21"/>
        <v>13648.410688648864</v>
      </c>
      <c r="S92" s="147"/>
    </row>
    <row r="93" spans="1:19">
      <c r="A93" s="154" t="s">
        <v>637</v>
      </c>
      <c r="B93" s="158">
        <f>B88*B11</f>
        <v>16001.357101443338</v>
      </c>
      <c r="C93" s="158"/>
      <c r="D93" s="158">
        <f>D88*D11</f>
        <v>115298.92575273255</v>
      </c>
      <c r="E93" s="158"/>
      <c r="F93" s="158"/>
      <c r="G93" s="158"/>
      <c r="H93" s="158"/>
      <c r="I93" s="158"/>
      <c r="J93" s="158"/>
      <c r="K93" s="158"/>
      <c r="L93" s="158">
        <f t="shared" ref="L93:Q93" si="22">L88*L11</f>
        <v>48447.301354339703</v>
      </c>
      <c r="M93" s="158">
        <f t="shared" si="22"/>
        <v>215224.66441480027</v>
      </c>
      <c r="N93" s="158">
        <f t="shared" si="22"/>
        <v>470004.30784858618</v>
      </c>
      <c r="O93" s="158">
        <f t="shared" si="22"/>
        <v>1717033.8528</v>
      </c>
      <c r="P93" s="158">
        <f t="shared" si="22"/>
        <v>2468280.9149999996</v>
      </c>
      <c r="Q93" s="158">
        <f t="shared" si="22"/>
        <v>345001.49240751297</v>
      </c>
      <c r="S93" s="147"/>
    </row>
    <row r="94" spans="1:19">
      <c r="S94" s="147"/>
    </row>
    <row r="95" spans="1:19">
      <c r="A95" s="103" t="s">
        <v>564</v>
      </c>
      <c r="B95" s="114">
        <f t="shared" ref="B95:Q95" si="23">B2*B4</f>
        <v>512.75983184329073</v>
      </c>
      <c r="C95" s="114">
        <f t="shared" si="23"/>
        <v>527.93993840363805</v>
      </c>
      <c r="D95" s="114">
        <f t="shared" si="23"/>
        <v>1017.7868459295943</v>
      </c>
      <c r="E95" s="114">
        <f t="shared" si="23"/>
        <v>1017.7868459295943</v>
      </c>
      <c r="F95" s="114">
        <f t="shared" si="23"/>
        <v>550.74261509896337</v>
      </c>
      <c r="G95" s="114">
        <f t="shared" si="23"/>
        <v>1038.9706292010667</v>
      </c>
      <c r="H95" s="114">
        <f t="shared" si="23"/>
        <v>829.17979753006443</v>
      </c>
      <c r="I95" s="114">
        <f t="shared" si="23"/>
        <v>857.51591386022915</v>
      </c>
      <c r="J95" s="114">
        <f t="shared" si="23"/>
        <v>927.56650964036032</v>
      </c>
      <c r="K95" s="114">
        <f t="shared" si="23"/>
        <v>329.18326358976111</v>
      </c>
      <c r="L95" s="114">
        <f t="shared" si="23"/>
        <v>663.2695137845003</v>
      </c>
      <c r="M95" s="114">
        <f t="shared" si="23"/>
        <v>1275.5669348939286</v>
      </c>
      <c r="N95" s="114">
        <f t="shared" si="23"/>
        <v>1713.322370210713</v>
      </c>
      <c r="O95" s="107">
        <f t="shared" si="23"/>
        <v>2524.5</v>
      </c>
      <c r="P95" s="128">
        <f t="shared" si="23"/>
        <v>2905.6543999999999</v>
      </c>
      <c r="Q95" s="148">
        <f t="shared" si="23"/>
        <v>1121.2740589793127</v>
      </c>
      <c r="S95" s="147"/>
    </row>
    <row r="96" spans="1:19">
      <c r="A96" s="103" t="s">
        <v>565</v>
      </c>
      <c r="B96" s="114">
        <f t="shared" ref="B96:Q96" si="24">B2*B5</f>
        <v>238.6238744473423</v>
      </c>
      <c r="C96" s="114">
        <f t="shared" si="24"/>
        <v>411.22115260722626</v>
      </c>
      <c r="D96" s="114">
        <f t="shared" si="24"/>
        <v>590.05539965303012</v>
      </c>
      <c r="E96" s="114">
        <f t="shared" si="24"/>
        <v>590.05539965303012</v>
      </c>
      <c r="F96" s="114">
        <f t="shared" si="24"/>
        <v>411.22115260722626</v>
      </c>
      <c r="G96" s="114">
        <f t="shared" si="24"/>
        <v>525.89554799886196</v>
      </c>
      <c r="H96" s="114">
        <f t="shared" si="24"/>
        <v>467.89431432053834</v>
      </c>
      <c r="I96" s="114">
        <f t="shared" si="24"/>
        <v>477.06871264054922</v>
      </c>
      <c r="J96" s="114">
        <f t="shared" si="24"/>
        <v>477.06871264054922</v>
      </c>
      <c r="K96" s="114">
        <f t="shared" si="24"/>
        <v>301.08550624317007</v>
      </c>
      <c r="L96" s="114">
        <f t="shared" si="24"/>
        <v>426.7233308723093</v>
      </c>
      <c r="M96" s="114">
        <f t="shared" si="24"/>
        <v>810.92056159871061</v>
      </c>
      <c r="N96" s="114">
        <f t="shared" si="24"/>
        <v>1137.1608651840984</v>
      </c>
      <c r="O96" s="107">
        <f t="shared" si="24"/>
        <v>1323</v>
      </c>
      <c r="P96" s="128">
        <f t="shared" si="24"/>
        <v>1830.39</v>
      </c>
      <c r="Q96" s="148">
        <f t="shared" si="24"/>
        <v>844.41626663874365</v>
      </c>
      <c r="S96" s="147"/>
    </row>
    <row r="97" spans="1:19">
      <c r="A97" s="339" t="s">
        <v>566</v>
      </c>
      <c r="B97" s="111"/>
      <c r="C97" s="107">
        <v>43.282126310655897</v>
      </c>
      <c r="D97" s="108">
        <v>55.626676420385301</v>
      </c>
      <c r="E97" s="108">
        <v>55.626676420385301</v>
      </c>
      <c r="F97" s="107">
        <v>43.282126310655897</v>
      </c>
      <c r="G97" s="105" t="s">
        <v>567</v>
      </c>
      <c r="H97" s="108">
        <v>54.864667154352603</v>
      </c>
      <c r="I97" s="110">
        <v>54.864667154352603</v>
      </c>
      <c r="J97" s="110">
        <v>54.864667154352603</v>
      </c>
      <c r="K97" s="107"/>
      <c r="L97" s="108">
        <v>55.626676420385301</v>
      </c>
      <c r="M97" s="119"/>
      <c r="N97" s="107"/>
      <c r="O97" s="119"/>
      <c r="P97" s="172"/>
      <c r="Q97" s="184"/>
      <c r="S97" s="147"/>
    </row>
    <row r="98" spans="1:19">
      <c r="A98" s="103" t="s">
        <v>568</v>
      </c>
      <c r="B98" s="111"/>
      <c r="C98" s="107">
        <v>10</v>
      </c>
      <c r="D98" s="105">
        <v>11</v>
      </c>
      <c r="E98" s="105">
        <v>11</v>
      </c>
      <c r="F98" s="107">
        <v>7</v>
      </c>
      <c r="G98" s="107">
        <v>12</v>
      </c>
      <c r="H98" s="105">
        <v>12</v>
      </c>
      <c r="I98" s="107">
        <v>12</v>
      </c>
      <c r="J98" s="107">
        <v>12</v>
      </c>
      <c r="K98" s="107"/>
      <c r="L98" s="105">
        <v>11</v>
      </c>
      <c r="M98" s="119"/>
      <c r="N98" s="107"/>
      <c r="O98" s="119"/>
      <c r="P98" s="172"/>
      <c r="Q98" s="184"/>
      <c r="S98" s="147"/>
    </row>
    <row r="99" spans="1:19">
      <c r="A99" s="339" t="s">
        <v>569</v>
      </c>
      <c r="B99" s="111"/>
      <c r="C99" s="159">
        <v>0.97199999999999998</v>
      </c>
      <c r="D99" s="105"/>
      <c r="E99" s="105"/>
      <c r="F99" s="159">
        <v>0.97199999999999998</v>
      </c>
      <c r="G99" s="159"/>
      <c r="H99" s="105"/>
      <c r="I99" s="159">
        <v>1</v>
      </c>
      <c r="J99" s="159">
        <v>1</v>
      </c>
      <c r="K99" s="159"/>
      <c r="L99" s="105"/>
      <c r="M99" s="119"/>
      <c r="N99" s="159"/>
      <c r="O99" s="119"/>
      <c r="P99" s="172"/>
      <c r="Q99" s="184"/>
      <c r="S99" s="147"/>
    </row>
    <row r="100" spans="1:19">
      <c r="A100" s="339" t="s">
        <v>570</v>
      </c>
      <c r="B100" s="160"/>
      <c r="C100" s="107"/>
      <c r="D100" s="105"/>
      <c r="E100" s="105"/>
      <c r="F100" s="107"/>
      <c r="G100" s="107"/>
      <c r="H100" s="161"/>
      <c r="I100" s="107"/>
      <c r="J100" s="119"/>
      <c r="K100" s="107">
        <v>10</v>
      </c>
      <c r="L100" s="161"/>
      <c r="M100" s="173"/>
      <c r="N100" s="107"/>
      <c r="O100" s="173"/>
      <c r="P100" s="174"/>
      <c r="Q100" s="185"/>
      <c r="S100" s="147"/>
    </row>
    <row r="101" spans="1:19">
      <c r="A101" s="103"/>
      <c r="B101" s="160"/>
      <c r="C101" s="107"/>
      <c r="D101" s="105"/>
      <c r="E101" s="105"/>
      <c r="F101" s="107"/>
      <c r="G101" s="107"/>
      <c r="H101" s="161"/>
      <c r="I101" s="107"/>
      <c r="J101" s="119"/>
      <c r="K101" s="107"/>
      <c r="L101" s="161"/>
      <c r="M101" s="173"/>
      <c r="N101" s="107"/>
      <c r="O101" s="173"/>
      <c r="P101" s="174"/>
      <c r="Q101" s="185"/>
      <c r="S101" s="147"/>
    </row>
    <row r="102" spans="1:19">
      <c r="A102" s="103" t="s">
        <v>571</v>
      </c>
      <c r="B102" s="160"/>
      <c r="C102" s="107"/>
      <c r="D102" s="105"/>
      <c r="E102" s="105"/>
      <c r="F102" s="107"/>
      <c r="G102" s="107"/>
      <c r="H102" s="161"/>
      <c r="I102" s="107"/>
      <c r="J102" s="119"/>
      <c r="K102" s="107"/>
      <c r="L102" s="161" t="s">
        <v>572</v>
      </c>
      <c r="M102" s="108" t="s">
        <v>572</v>
      </c>
      <c r="N102" s="107" t="s">
        <v>572</v>
      </c>
      <c r="O102" s="173"/>
      <c r="P102" s="174"/>
      <c r="Q102" s="142" t="s">
        <v>572</v>
      </c>
      <c r="S102" s="147"/>
    </row>
    <row r="103" spans="1:19">
      <c r="A103" s="103" t="s">
        <v>573</v>
      </c>
      <c r="B103" s="160"/>
      <c r="C103" s="107"/>
      <c r="D103" s="105"/>
      <c r="E103" s="105"/>
      <c r="F103" s="107"/>
      <c r="G103" s="107"/>
      <c r="H103" s="161"/>
      <c r="I103" s="107"/>
      <c r="J103" s="119"/>
      <c r="K103" s="107"/>
      <c r="L103" s="161" t="s">
        <v>574</v>
      </c>
      <c r="M103" s="108" t="s">
        <v>572</v>
      </c>
      <c r="N103" s="107" t="s">
        <v>574</v>
      </c>
      <c r="O103" s="173"/>
      <c r="P103" s="174"/>
      <c r="Q103" s="142" t="s">
        <v>572</v>
      </c>
      <c r="S103" s="147"/>
    </row>
    <row r="104" spans="1:19">
      <c r="A104" s="103"/>
      <c r="B104" s="160"/>
      <c r="C104" s="107"/>
      <c r="D104" s="105"/>
      <c r="E104" s="105"/>
      <c r="F104" s="107"/>
      <c r="G104" s="107"/>
      <c r="H104" s="161"/>
      <c r="I104" s="107"/>
      <c r="J104" s="119"/>
      <c r="K104" s="107"/>
      <c r="L104" s="161"/>
      <c r="M104" s="173"/>
      <c r="N104" s="107"/>
      <c r="O104" s="173"/>
      <c r="P104" s="174"/>
      <c r="Q104" s="185"/>
      <c r="S104" s="147"/>
    </row>
    <row r="105" spans="1:19">
      <c r="A105" s="103" t="s">
        <v>575</v>
      </c>
      <c r="B105" s="160"/>
      <c r="C105" s="107"/>
      <c r="D105" s="105"/>
      <c r="E105" s="105"/>
      <c r="F105" s="107"/>
      <c r="G105" s="107"/>
      <c r="H105" s="161"/>
      <c r="I105" s="107"/>
      <c r="J105" s="107"/>
      <c r="K105" s="107"/>
      <c r="L105" s="161">
        <v>30205</v>
      </c>
      <c r="M105" s="173"/>
      <c r="N105" s="107"/>
      <c r="O105" s="173"/>
      <c r="P105" s="174"/>
      <c r="Q105" s="185"/>
      <c r="S105" s="147"/>
    </row>
    <row r="106" spans="1:19">
      <c r="A106" s="103" t="s">
        <v>575</v>
      </c>
      <c r="B106" s="160"/>
      <c r="C106" s="107"/>
      <c r="D106" s="105"/>
      <c r="E106" s="105"/>
      <c r="F106" s="107"/>
      <c r="G106" s="107"/>
      <c r="H106" s="161"/>
      <c r="I106" s="107"/>
      <c r="J106" s="107"/>
      <c r="K106" s="107"/>
      <c r="L106" s="161">
        <v>58985</v>
      </c>
      <c r="M106" s="173"/>
      <c r="N106" s="107"/>
      <c r="O106" s="173"/>
      <c r="P106" s="174"/>
      <c r="Q106" s="185"/>
      <c r="S106" s="147"/>
    </row>
    <row r="107" spans="1:19">
      <c r="A107" s="103" t="s">
        <v>576</v>
      </c>
      <c r="B107" s="160"/>
      <c r="C107" s="107"/>
      <c r="D107" s="105"/>
      <c r="E107" s="105"/>
      <c r="F107" s="107"/>
      <c r="G107" s="107"/>
      <c r="H107" s="161"/>
      <c r="I107" s="107"/>
      <c r="J107" s="107"/>
      <c r="K107" s="107"/>
      <c r="L107" s="161">
        <v>89187</v>
      </c>
      <c r="M107" s="173"/>
      <c r="N107" s="107"/>
      <c r="O107" s="173"/>
      <c r="P107" s="173"/>
      <c r="Q107" s="185"/>
      <c r="S107" s="147"/>
    </row>
    <row r="108" spans="1:19">
      <c r="A108" s="116"/>
      <c r="B108" s="160"/>
      <c r="C108" s="107"/>
      <c r="D108" s="105"/>
      <c r="E108" s="105"/>
      <c r="F108" s="107"/>
      <c r="G108" s="107"/>
      <c r="H108" s="161"/>
      <c r="I108" s="107"/>
      <c r="J108" s="107"/>
      <c r="K108" s="107"/>
      <c r="L108" s="161"/>
      <c r="M108" s="175"/>
      <c r="N108" s="173"/>
      <c r="O108" s="173"/>
      <c r="P108" s="174"/>
      <c r="Q108" s="141"/>
      <c r="S108" s="147"/>
    </row>
    <row r="109" spans="1:19">
      <c r="A109" s="339" t="s">
        <v>577</v>
      </c>
      <c r="B109" s="160"/>
      <c r="C109" s="107">
        <v>737.17104215555605</v>
      </c>
      <c r="D109" s="162"/>
      <c r="E109" s="162"/>
      <c r="F109" s="107">
        <v>737.17104215555605</v>
      </c>
      <c r="G109" s="163"/>
      <c r="H109" s="161"/>
      <c r="I109" s="107">
        <v>737.17104215555605</v>
      </c>
      <c r="J109" s="107">
        <v>737.17104215555605</v>
      </c>
      <c r="K109" s="163"/>
      <c r="L109" s="161"/>
      <c r="M109" s="176">
        <v>986</v>
      </c>
      <c r="N109" s="119"/>
      <c r="O109" s="177"/>
      <c r="P109" s="178"/>
      <c r="Q109" s="141"/>
      <c r="S109" s="147"/>
    </row>
    <row r="110" spans="1:19">
      <c r="A110" s="339" t="s">
        <v>578</v>
      </c>
      <c r="B110" s="160"/>
      <c r="C110" s="107">
        <v>465.772483918815</v>
      </c>
      <c r="D110" s="162"/>
      <c r="E110" s="162"/>
      <c r="F110" s="107">
        <v>528.21340847140402</v>
      </c>
      <c r="G110" s="163"/>
      <c r="H110" s="161"/>
      <c r="I110" s="107">
        <v>465.772483918815</v>
      </c>
      <c r="J110" s="107">
        <v>465.772483918815</v>
      </c>
      <c r="K110" s="163"/>
      <c r="L110" s="161"/>
      <c r="M110" s="176">
        <v>785.5</v>
      </c>
      <c r="N110" s="119"/>
      <c r="O110" s="177"/>
      <c r="P110" s="178"/>
      <c r="Q110" s="141"/>
      <c r="S110" s="147"/>
    </row>
    <row r="111" spans="1:19">
      <c r="A111" s="339" t="s">
        <v>579</v>
      </c>
      <c r="B111" s="160"/>
      <c r="C111" s="107">
        <v>71.361056631530502</v>
      </c>
      <c r="D111" s="162"/>
      <c r="E111" s="162"/>
      <c r="F111" s="107">
        <v>71.361056631530502</v>
      </c>
      <c r="G111" s="163"/>
      <c r="H111" s="161"/>
      <c r="I111" s="107">
        <v>71.361056631530502</v>
      </c>
      <c r="J111" s="107">
        <v>71.361056631530502</v>
      </c>
      <c r="K111" s="163"/>
      <c r="L111" s="161"/>
      <c r="M111" s="176">
        <v>138.69999999999999</v>
      </c>
      <c r="N111" s="119"/>
      <c r="O111" s="177"/>
      <c r="P111" s="178"/>
      <c r="Q111" s="141"/>
      <c r="S111" s="147"/>
    </row>
    <row r="112" spans="1:19">
      <c r="A112" s="339" t="s">
        <v>580</v>
      </c>
      <c r="B112" s="160"/>
      <c r="C112" s="107"/>
      <c r="D112" s="162"/>
      <c r="E112" s="162"/>
      <c r="F112" s="107">
        <v>39.418488425035903</v>
      </c>
      <c r="G112" s="163"/>
      <c r="H112" s="161"/>
      <c r="I112" s="107"/>
      <c r="J112" s="107"/>
      <c r="K112" s="163"/>
      <c r="L112" s="161"/>
      <c r="M112" s="176">
        <v>61.9</v>
      </c>
      <c r="N112" s="119"/>
      <c r="O112" s="177"/>
      <c r="P112" s="178"/>
      <c r="Q112" s="141"/>
      <c r="S112" s="147"/>
    </row>
    <row r="113" spans="1:19">
      <c r="A113" s="164" t="s">
        <v>581</v>
      </c>
      <c r="B113" s="165"/>
      <c r="C113" s="166">
        <v>1274.3045827059</v>
      </c>
      <c r="D113" s="167"/>
      <c r="E113" s="167"/>
      <c r="F113" s="166">
        <v>1376.1639956835299</v>
      </c>
      <c r="G113" s="168"/>
      <c r="H113" s="169">
        <v>800.12168854122797</v>
      </c>
      <c r="I113" s="166">
        <v>1274.3045827059</v>
      </c>
      <c r="J113" s="166">
        <v>1274.3045827059</v>
      </c>
      <c r="K113" s="168"/>
      <c r="L113" s="169">
        <v>800.12168854122797</v>
      </c>
      <c r="M113" s="179">
        <v>1972.1</v>
      </c>
      <c r="N113" s="180">
        <v>4370.8647186812404</v>
      </c>
      <c r="O113" s="181">
        <v>7261</v>
      </c>
      <c r="P113" s="182">
        <v>5437</v>
      </c>
      <c r="Q113" s="186">
        <v>2499</v>
      </c>
      <c r="S113" s="147"/>
    </row>
    <row r="114" spans="1:19">
      <c r="L114" s="183"/>
    </row>
    <row r="115" spans="1:19">
      <c r="B115" s="107">
        <v>75369</v>
      </c>
      <c r="L115" s="107">
        <v>117442</v>
      </c>
      <c r="N115" s="107">
        <v>531132</v>
      </c>
    </row>
    <row r="116" spans="1:19">
      <c r="B116" s="107">
        <f>B115/3.2808^3</f>
        <v>2134.2902687546912</v>
      </c>
      <c r="L116" s="107">
        <f>L115/3.2808^3</f>
        <v>3325.7084178254781</v>
      </c>
      <c r="N116" s="107">
        <f>N115/3.2808^3</f>
        <v>15040.532036038912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X65"/>
  <sheetViews>
    <sheetView workbookViewId="0">
      <pane xSplit="5" ySplit="1" topLeftCell="AT2" activePane="bottomRight" state="frozen"/>
      <selection pane="topRight"/>
      <selection pane="bottomLeft"/>
      <selection pane="bottomRight" activeCell="A8" sqref="A8:XFD8"/>
    </sheetView>
  </sheetViews>
  <sheetFormatPr defaultColWidth="9" defaultRowHeight="15.75"/>
  <cols>
    <col min="1" max="1" width="10.5" style="42" customWidth="1"/>
    <col min="2" max="2" width="14.625" style="43" customWidth="1"/>
    <col min="3" max="3" width="6.5" style="43" customWidth="1"/>
    <col min="4" max="4" width="14.25" style="43" customWidth="1"/>
    <col min="5" max="5" width="12.125" style="43" customWidth="1"/>
    <col min="6" max="6" width="4.5" style="42" customWidth="1"/>
    <col min="7" max="7" width="10.25" style="44" customWidth="1"/>
    <col min="8" max="8" width="4.75" style="44" customWidth="1"/>
    <col min="9" max="10" width="10.25" style="44" customWidth="1"/>
    <col min="11" max="16" width="10.25" style="45" customWidth="1"/>
    <col min="17" max="17" width="10.25" style="46" customWidth="1"/>
    <col min="18" max="18" width="10.375" style="43" customWidth="1"/>
    <col min="19" max="19" width="8.125" style="43" customWidth="1"/>
    <col min="20" max="20" width="10.375" style="43" customWidth="1"/>
    <col min="21" max="21" width="8.125" style="43" customWidth="1"/>
    <col min="22" max="22" width="6.125" style="43" customWidth="1"/>
    <col min="23" max="23" width="5.25" style="45" customWidth="1"/>
    <col min="24" max="25" width="4.625" style="45" customWidth="1"/>
    <col min="26" max="27" width="5.625" style="45" customWidth="1"/>
    <col min="28" max="28" width="10.625" style="44" customWidth="1"/>
    <col min="29" max="29" width="7.75" style="46" customWidth="1"/>
    <col min="30" max="30" width="6.125" style="46" customWidth="1"/>
    <col min="31" max="31" width="6.75" style="46" customWidth="1"/>
    <col min="36" max="36" width="6.125" style="46" customWidth="1"/>
    <col min="37" max="38" width="10.25" style="46" customWidth="1"/>
    <col min="39" max="39" width="9" style="46"/>
    <col min="40" max="40" width="4.5" style="46" customWidth="1"/>
    <col min="41" max="41" width="3.5" style="46" customWidth="1"/>
    <col min="42" max="42" width="11" style="43" customWidth="1"/>
    <col min="43" max="43" width="5.25" style="46" customWidth="1"/>
    <col min="44" max="44" width="6.25" style="46" customWidth="1"/>
    <col min="45" max="45" width="11" style="46" customWidth="1"/>
    <col min="46" max="52" width="10.25" style="46" customWidth="1"/>
    <col min="53" max="53" width="5" style="46" customWidth="1"/>
    <col min="54" max="54" width="10.25" style="46" customWidth="1"/>
    <col min="55" max="55" width="6.5" style="46" customWidth="1"/>
    <col min="56" max="56" width="6" style="46" customWidth="1"/>
    <col min="57" max="58" width="10.25" style="46" customWidth="1"/>
    <col min="59" max="59" width="3.875" style="43" customWidth="1"/>
    <col min="60" max="60" width="10.625" style="43"/>
    <col min="61" max="70" width="10.25" style="46" customWidth="1"/>
    <col min="71" max="71" width="5.625" style="44" customWidth="1"/>
    <col min="72" max="77" width="5.75" style="44" customWidth="1"/>
    <col min="78" max="78" width="6.125" style="44" customWidth="1"/>
    <col min="79" max="85" width="10.25" style="45" customWidth="1"/>
    <col min="86" max="87" width="4.75" style="45" customWidth="1"/>
    <col min="88" max="89" width="10.25" style="45" customWidth="1"/>
    <col min="90" max="98" width="6.25" style="45" customWidth="1"/>
    <col min="99" max="100" width="6.25" style="43" customWidth="1"/>
    <col min="102" max="102" width="7.75" style="46" customWidth="1"/>
    <col min="103" max="105" width="5.25" style="46" customWidth="1"/>
    <col min="106" max="16384" width="9" style="43"/>
  </cols>
  <sheetData>
    <row r="1" spans="1:154" s="36" customFormat="1" ht="12.75">
      <c r="A1" s="47" t="s">
        <v>638</v>
      </c>
      <c r="B1" s="48" t="s">
        <v>639</v>
      </c>
      <c r="C1" s="48" t="s">
        <v>640</v>
      </c>
      <c r="D1" s="48" t="s">
        <v>641</v>
      </c>
      <c r="E1" s="48" t="s">
        <v>642</v>
      </c>
      <c r="F1" s="47" t="s">
        <v>643</v>
      </c>
      <c r="G1" s="49" t="s">
        <v>256</v>
      </c>
      <c r="H1" s="49" t="s">
        <v>644</v>
      </c>
      <c r="I1" s="49" t="s">
        <v>259</v>
      </c>
      <c r="J1" s="49" t="s">
        <v>645</v>
      </c>
      <c r="K1" s="62" t="s">
        <v>646</v>
      </c>
      <c r="L1" s="62" t="s">
        <v>647</v>
      </c>
      <c r="M1" s="62" t="s">
        <v>648</v>
      </c>
      <c r="N1" s="62" t="s">
        <v>649</v>
      </c>
      <c r="O1" s="62" t="s">
        <v>650</v>
      </c>
      <c r="P1" s="62" t="s">
        <v>651</v>
      </c>
      <c r="Q1" s="70" t="s">
        <v>652</v>
      </c>
      <c r="R1" s="48" t="s">
        <v>653</v>
      </c>
      <c r="S1" s="48" t="s">
        <v>654</v>
      </c>
      <c r="T1" s="48" t="s">
        <v>655</v>
      </c>
      <c r="U1" s="48" t="s">
        <v>656</v>
      </c>
      <c r="V1" s="48" t="s">
        <v>657</v>
      </c>
      <c r="W1" s="62" t="s">
        <v>284</v>
      </c>
      <c r="X1" s="62" t="s">
        <v>282</v>
      </c>
      <c r="Y1" s="62" t="s">
        <v>658</v>
      </c>
      <c r="Z1" s="82" t="s">
        <v>659</v>
      </c>
      <c r="AA1" s="82" t="s">
        <v>660</v>
      </c>
      <c r="AB1" s="49" t="s">
        <v>661</v>
      </c>
      <c r="AC1" s="70" t="s">
        <v>275</v>
      </c>
      <c r="AD1" s="70" t="s">
        <v>662</v>
      </c>
      <c r="AE1" s="70" t="s">
        <v>663</v>
      </c>
      <c r="AJ1" s="82" t="s">
        <v>667</v>
      </c>
      <c r="AK1" s="82" t="s">
        <v>668</v>
      </c>
      <c r="AL1" s="70" t="s">
        <v>669</v>
      </c>
      <c r="AM1" s="70" t="s">
        <v>670</v>
      </c>
      <c r="AN1" s="82" t="s">
        <v>671</v>
      </c>
      <c r="AO1" s="82" t="s">
        <v>672</v>
      </c>
      <c r="AP1" s="48" t="s">
        <v>673</v>
      </c>
      <c r="AQ1" s="70" t="s">
        <v>674</v>
      </c>
      <c r="AR1" s="70" t="s">
        <v>270</v>
      </c>
      <c r="AS1" s="70" t="s">
        <v>675</v>
      </c>
      <c r="AT1" s="70" t="s">
        <v>287</v>
      </c>
      <c r="AU1" s="70" t="s">
        <v>289</v>
      </c>
      <c r="AV1" s="70" t="s">
        <v>291</v>
      </c>
      <c r="AW1" s="70" t="s">
        <v>84</v>
      </c>
      <c r="AX1" s="70" t="s">
        <v>294</v>
      </c>
      <c r="AY1" s="70" t="s">
        <v>296</v>
      </c>
      <c r="AZ1" s="70" t="s">
        <v>298</v>
      </c>
      <c r="BA1" s="70" t="s">
        <v>676</v>
      </c>
      <c r="BB1" s="70" t="s">
        <v>677</v>
      </c>
      <c r="BC1" s="48" t="s">
        <v>678</v>
      </c>
      <c r="BD1" s="70" t="s">
        <v>679</v>
      </c>
      <c r="BE1" s="70" t="s">
        <v>680</v>
      </c>
      <c r="BF1" s="70" t="s">
        <v>681</v>
      </c>
      <c r="BG1" s="48" t="s">
        <v>682</v>
      </c>
      <c r="BH1" s="48" t="s">
        <v>683</v>
      </c>
      <c r="BI1" s="70"/>
      <c r="BJ1" s="70"/>
      <c r="BK1" s="70"/>
      <c r="BL1" s="70"/>
      <c r="BM1" s="70"/>
      <c r="BN1" s="70"/>
      <c r="BO1" s="70"/>
      <c r="BP1" s="70"/>
      <c r="BQ1" s="70"/>
      <c r="BR1" s="70"/>
      <c r="BS1" s="49" t="s">
        <v>684</v>
      </c>
      <c r="BT1" s="49" t="s">
        <v>685</v>
      </c>
      <c r="BU1" s="49" t="s">
        <v>686</v>
      </c>
      <c r="BV1" s="49" t="s">
        <v>687</v>
      </c>
      <c r="BW1" s="49" t="s">
        <v>688</v>
      </c>
      <c r="BX1" s="49" t="s">
        <v>689</v>
      </c>
      <c r="BY1" s="49" t="s">
        <v>690</v>
      </c>
      <c r="BZ1" s="49" t="s">
        <v>691</v>
      </c>
      <c r="CA1" s="62" t="s">
        <v>692</v>
      </c>
      <c r="CB1" s="62" t="s">
        <v>693</v>
      </c>
      <c r="CC1" s="62" t="s">
        <v>694</v>
      </c>
      <c r="CD1" s="62" t="s">
        <v>695</v>
      </c>
      <c r="CE1" s="62" t="s">
        <v>696</v>
      </c>
      <c r="CF1" s="62" t="s">
        <v>697</v>
      </c>
      <c r="CG1" s="62" t="s">
        <v>698</v>
      </c>
      <c r="CH1" s="62" t="s">
        <v>699</v>
      </c>
      <c r="CI1" s="62" t="s">
        <v>700</v>
      </c>
      <c r="CJ1" s="62" t="s">
        <v>701</v>
      </c>
      <c r="CK1" s="62" t="s">
        <v>702</v>
      </c>
      <c r="CL1" s="62" t="s">
        <v>703</v>
      </c>
      <c r="CM1" s="62" t="s">
        <v>704</v>
      </c>
      <c r="CN1" s="62" t="s">
        <v>705</v>
      </c>
      <c r="CO1" s="62" t="s">
        <v>706</v>
      </c>
      <c r="CP1" s="62" t="s">
        <v>707</v>
      </c>
      <c r="CQ1" s="62" t="s">
        <v>708</v>
      </c>
      <c r="CR1" s="62" t="s">
        <v>709</v>
      </c>
      <c r="CS1" s="62" t="s">
        <v>710</v>
      </c>
      <c r="CT1" s="62" t="s">
        <v>711</v>
      </c>
      <c r="CU1" s="48" t="s">
        <v>712</v>
      </c>
      <c r="CV1" s="48" t="s">
        <v>713</v>
      </c>
      <c r="CX1" s="70" t="s">
        <v>714</v>
      </c>
      <c r="CY1" s="70" t="s">
        <v>715</v>
      </c>
      <c r="CZ1" s="82" t="s">
        <v>716</v>
      </c>
      <c r="DA1" s="82" t="s">
        <v>272</v>
      </c>
    </row>
    <row r="2" spans="1:154">
      <c r="A2" s="50" t="s">
        <v>766</v>
      </c>
      <c r="B2" s="43" t="s">
        <v>767</v>
      </c>
      <c r="C2" s="43" t="s">
        <v>768</v>
      </c>
      <c r="D2" s="43" t="s">
        <v>769</v>
      </c>
      <c r="E2" s="42" t="s">
        <v>770</v>
      </c>
      <c r="F2" s="51"/>
      <c r="G2" s="44">
        <v>81</v>
      </c>
      <c r="H2" s="40"/>
      <c r="I2" s="44">
        <v>77.7</v>
      </c>
      <c r="J2" s="44">
        <f t="shared" ref="J2:J20" si="0">IF(I2="",H2,I2)</f>
        <v>77.7</v>
      </c>
      <c r="K2" s="45">
        <v>11.5</v>
      </c>
      <c r="L2" s="45">
        <v>11.5</v>
      </c>
      <c r="M2" s="44">
        <f t="shared" ref="M2:M20" si="1">IF(L2="",K2,L2)</f>
        <v>11.5</v>
      </c>
      <c r="N2" s="63">
        <v>9.5</v>
      </c>
      <c r="O2" s="45">
        <v>4.2</v>
      </c>
      <c r="P2" s="53">
        <f t="shared" ref="P2:P20" si="2">N2-O2</f>
        <v>5.3</v>
      </c>
      <c r="Q2" s="46">
        <f>BF2</f>
        <v>1823.6</v>
      </c>
      <c r="R2" s="71">
        <f>S2*T2</f>
        <v>0.44541199999999997</v>
      </c>
      <c r="S2" s="71">
        <v>0.58299999999999996</v>
      </c>
      <c r="T2" s="71">
        <v>0.76400000000000001</v>
      </c>
      <c r="U2" s="71"/>
      <c r="V2" s="40"/>
      <c r="W2" s="53">
        <f t="shared" ref="W2:W20" si="3">J2/N2</f>
        <v>8.1789473684210527</v>
      </c>
      <c r="X2" s="53">
        <f t="shared" ref="X2:X20" si="4">J2/M2</f>
        <v>6.7565217391304353</v>
      </c>
      <c r="Y2" s="53">
        <f t="shared" ref="Y2:Y20" si="5">M2/O2</f>
        <v>2.7380952380952381</v>
      </c>
      <c r="Z2" s="45">
        <f>I2/O2</f>
        <v>18.5</v>
      </c>
      <c r="AA2" s="73">
        <f t="shared" ref="AA2:AA20" si="6">P2/J2</f>
        <v>6.8211068211068204E-2</v>
      </c>
      <c r="AB2" s="55">
        <f t="shared" ref="AB2:AB20" si="7">(Q2*2204.6/2240)/(0.01*J2*3.2808)^3</f>
        <v>108.34504219007422</v>
      </c>
      <c r="AC2" s="74">
        <f t="shared" ref="AC2:AC20" si="8">J2*M2*N2</f>
        <v>8488.7250000000004</v>
      </c>
      <c r="AD2" s="74">
        <f t="shared" ref="AD2:AD20" si="9">J2*(M2+N2)</f>
        <v>1631.7</v>
      </c>
      <c r="AE2" s="74">
        <f t="shared" ref="AE2:AE20" si="10">J2*(M2+2*N2)</f>
        <v>2369.85</v>
      </c>
      <c r="AF2" s="37"/>
      <c r="AG2" s="37"/>
      <c r="AH2" s="37"/>
      <c r="AI2" s="37"/>
      <c r="AJ2" s="84"/>
      <c r="AK2" s="84"/>
      <c r="AL2" s="87">
        <v>5440</v>
      </c>
      <c r="AM2" s="46">
        <f t="shared" ref="AM2:AM15" si="11">AL2^0.5</f>
        <v>73.756355658343097</v>
      </c>
      <c r="AN2" s="84"/>
      <c r="AO2" s="84"/>
      <c r="AP2" s="43" t="s">
        <v>263</v>
      </c>
      <c r="AQ2" s="84"/>
      <c r="AR2" s="46">
        <v>105</v>
      </c>
      <c r="AS2" s="46">
        <f>AR2*AC2</f>
        <v>891316.125</v>
      </c>
      <c r="AT2" s="46">
        <v>743.5</v>
      </c>
      <c r="AU2" s="43">
        <v>169</v>
      </c>
      <c r="AV2" s="46">
        <v>83.4</v>
      </c>
      <c r="AW2" s="46">
        <v>50.6</v>
      </c>
      <c r="AX2" s="43">
        <v>217</v>
      </c>
      <c r="AY2" s="46">
        <v>171.1</v>
      </c>
      <c r="AZ2" s="46">
        <v>12.9</v>
      </c>
      <c r="BA2" s="46">
        <f t="shared" ref="BA2:BA15" si="12">SUM(AT2:AZ2)</f>
        <v>1447.5</v>
      </c>
      <c r="BB2" s="46">
        <v>0</v>
      </c>
      <c r="BC2" s="46">
        <f t="shared" ref="BC2:BC15" si="13">SUM(BA2:BB2)</f>
        <v>1447.5</v>
      </c>
      <c r="BD2" s="40"/>
      <c r="BE2" s="46">
        <v>376.1</v>
      </c>
      <c r="BF2" s="46">
        <f>SUM(BC2:BE2)</f>
        <v>1823.6</v>
      </c>
      <c r="BG2" s="42"/>
      <c r="BH2" s="42"/>
      <c r="BS2" s="44">
        <f t="shared" ref="BS2:BY8" si="14">AT2/$BC2*100</f>
        <v>51.364421416234883</v>
      </c>
      <c r="BT2" s="44">
        <f t="shared" si="14"/>
        <v>11.675302245250432</v>
      </c>
      <c r="BU2" s="44">
        <f t="shared" si="14"/>
        <v>5.7616580310880838</v>
      </c>
      <c r="BV2" s="44">
        <f t="shared" si="14"/>
        <v>3.4956822107081176</v>
      </c>
      <c r="BW2" s="44">
        <f t="shared" si="14"/>
        <v>14.991364421416234</v>
      </c>
      <c r="BX2" s="44">
        <f t="shared" si="14"/>
        <v>11.820379965457684</v>
      </c>
      <c r="BY2" s="44">
        <f t="shared" si="14"/>
        <v>0.89119170984455953</v>
      </c>
      <c r="BZ2" s="44">
        <f>BB2/$BC2*100</f>
        <v>0</v>
      </c>
      <c r="CA2" s="45">
        <v>5.18</v>
      </c>
      <c r="CB2" s="45">
        <v>3.19</v>
      </c>
      <c r="CC2" s="45">
        <v>5.98</v>
      </c>
      <c r="CD2" s="45">
        <v>9.43</v>
      </c>
      <c r="CE2" s="45">
        <v>6.25</v>
      </c>
      <c r="CF2" s="45">
        <v>6.62</v>
      </c>
      <c r="CG2" s="45">
        <v>10.38</v>
      </c>
      <c r="CH2" s="40"/>
      <c r="CI2" s="45">
        <v>5.52</v>
      </c>
      <c r="CJ2" s="40"/>
      <c r="CK2" s="40"/>
      <c r="CL2" s="45">
        <f t="shared" ref="CL2:CT2" si="15">CA2/$N2</f>
        <v>0.54526315789473678</v>
      </c>
      <c r="CM2" s="45">
        <f t="shared" si="15"/>
        <v>0.33578947368421053</v>
      </c>
      <c r="CN2" s="45">
        <f t="shared" si="15"/>
        <v>0.62947368421052641</v>
      </c>
      <c r="CO2" s="45">
        <f t="shared" si="15"/>
        <v>0.99263157894736842</v>
      </c>
      <c r="CP2" s="45">
        <f t="shared" si="15"/>
        <v>0.65789473684210531</v>
      </c>
      <c r="CQ2" s="45">
        <f t="shared" si="15"/>
        <v>0.69684210526315793</v>
      </c>
      <c r="CR2" s="45">
        <f t="shared" si="15"/>
        <v>1.0926315789473684</v>
      </c>
      <c r="CS2" s="45">
        <f t="shared" si="15"/>
        <v>0</v>
      </c>
      <c r="CT2" s="45">
        <f t="shared" si="15"/>
        <v>0.58105263157894738</v>
      </c>
      <c r="CU2" s="40"/>
      <c r="CV2" s="40"/>
      <c r="CW2" s="37"/>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row>
    <row r="3" spans="1:154">
      <c r="A3" s="50" t="s">
        <v>766</v>
      </c>
      <c r="B3" s="43" t="s">
        <v>767</v>
      </c>
      <c r="C3" s="43" t="s">
        <v>768</v>
      </c>
      <c r="D3" s="43" t="s">
        <v>771</v>
      </c>
      <c r="E3" s="43" t="s">
        <v>720</v>
      </c>
      <c r="F3" s="40"/>
      <c r="G3" s="44">
        <v>81</v>
      </c>
      <c r="H3" s="40"/>
      <c r="I3" s="44">
        <v>77.7</v>
      </c>
      <c r="J3" s="44">
        <f t="shared" si="0"/>
        <v>77.7</v>
      </c>
      <c r="K3" s="45">
        <v>11.6</v>
      </c>
      <c r="L3" s="40"/>
      <c r="M3" s="44">
        <f t="shared" si="1"/>
        <v>11.6</v>
      </c>
      <c r="N3" s="63">
        <v>9.5</v>
      </c>
      <c r="O3" s="45">
        <v>3.9</v>
      </c>
      <c r="P3" s="53">
        <f t="shared" si="2"/>
        <v>5.6</v>
      </c>
      <c r="Q3" s="46">
        <v>1606</v>
      </c>
      <c r="R3" s="71">
        <f>Q3/(1.025*I3*K3*O3)</f>
        <v>0.44573635826789737</v>
      </c>
      <c r="S3" s="71">
        <v>0.59399999999999997</v>
      </c>
      <c r="T3" s="71">
        <v>0.76</v>
      </c>
      <c r="U3" s="71">
        <v>0.76500000000000001</v>
      </c>
      <c r="V3" s="43">
        <v>4.8599999999999997E-2</v>
      </c>
      <c r="W3" s="53">
        <f t="shared" si="3"/>
        <v>8.1789473684210527</v>
      </c>
      <c r="X3" s="53">
        <f t="shared" si="4"/>
        <v>6.6982758620689662</v>
      </c>
      <c r="Y3" s="53">
        <f t="shared" si="5"/>
        <v>2.9743589743589745</v>
      </c>
      <c r="Z3" s="45">
        <f>I3/O3</f>
        <v>19.923076923076923</v>
      </c>
      <c r="AA3" s="73">
        <f t="shared" si="6"/>
        <v>7.2072072072072071E-2</v>
      </c>
      <c r="AB3" s="55">
        <f t="shared" si="7"/>
        <v>95.416833602357542</v>
      </c>
      <c r="AC3" s="74">
        <f t="shared" si="8"/>
        <v>8562.5400000000009</v>
      </c>
      <c r="AD3" s="74">
        <f t="shared" si="9"/>
        <v>1639.4700000000003</v>
      </c>
      <c r="AE3" s="74">
        <f t="shared" si="10"/>
        <v>2377.6200000000003</v>
      </c>
      <c r="AF3" s="40"/>
      <c r="AG3" s="40"/>
      <c r="AH3" s="40"/>
      <c r="AI3" s="40"/>
      <c r="AJ3" s="84"/>
      <c r="AK3" s="84"/>
      <c r="AL3" s="87">
        <v>5440</v>
      </c>
      <c r="AM3" s="46">
        <f t="shared" si="11"/>
        <v>73.756355658343097</v>
      </c>
      <c r="AN3" s="84"/>
      <c r="AO3" s="84"/>
      <c r="AP3" s="43" t="s">
        <v>263</v>
      </c>
      <c r="AQ3" s="84"/>
      <c r="AR3" s="46">
        <v>105</v>
      </c>
      <c r="AS3" s="46">
        <f>AR3*AC3</f>
        <v>899066.70000000007</v>
      </c>
      <c r="AT3" s="46">
        <v>585</v>
      </c>
      <c r="AU3" s="46">
        <v>168</v>
      </c>
      <c r="AV3" s="46">
        <v>64</v>
      </c>
      <c r="AW3" s="46">
        <v>38</v>
      </c>
      <c r="AX3" s="46">
        <v>210</v>
      </c>
      <c r="AY3" s="46">
        <v>183</v>
      </c>
      <c r="AZ3" s="46">
        <v>11</v>
      </c>
      <c r="BA3" s="46">
        <f t="shared" si="12"/>
        <v>1259</v>
      </c>
      <c r="BB3" s="46">
        <v>0</v>
      </c>
      <c r="BC3" s="46">
        <f t="shared" si="13"/>
        <v>1259</v>
      </c>
      <c r="BD3" s="40"/>
      <c r="BE3" s="46">
        <v>348</v>
      </c>
      <c r="BF3" s="46">
        <v>1606</v>
      </c>
      <c r="BG3" s="40"/>
      <c r="BH3" s="40"/>
      <c r="BI3" s="40"/>
      <c r="BJ3" s="40"/>
      <c r="BK3" s="40"/>
      <c r="BL3" s="40"/>
      <c r="BM3" s="40"/>
      <c r="BN3" s="40"/>
      <c r="BO3" s="40"/>
      <c r="BP3" s="40"/>
      <c r="BQ3" s="40"/>
      <c r="BR3" s="40"/>
      <c r="BS3" s="44">
        <f t="shared" si="14"/>
        <v>46.465448768864178</v>
      </c>
      <c r="BT3" s="44">
        <f t="shared" si="14"/>
        <v>13.343923749007146</v>
      </c>
      <c r="BU3" s="44">
        <f t="shared" si="14"/>
        <v>5.0833995234312948</v>
      </c>
      <c r="BV3" s="44">
        <f t="shared" si="14"/>
        <v>3.0182684670373314</v>
      </c>
      <c r="BW3" s="44">
        <f t="shared" si="14"/>
        <v>16.679904686258936</v>
      </c>
      <c r="BX3" s="44">
        <f t="shared" si="14"/>
        <v>14.535345512311359</v>
      </c>
      <c r="BY3" s="44">
        <f t="shared" si="14"/>
        <v>0.87370929308975376</v>
      </c>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row>
    <row r="4" spans="1:154" s="37" customFormat="1">
      <c r="A4" s="42" t="s">
        <v>764</v>
      </c>
      <c r="B4" s="40"/>
      <c r="C4" s="43" t="s">
        <v>755</v>
      </c>
      <c r="D4" s="43" t="s">
        <v>765</v>
      </c>
      <c r="E4" s="43" t="s">
        <v>720</v>
      </c>
      <c r="F4" s="42">
        <v>1981</v>
      </c>
      <c r="G4" s="40"/>
      <c r="H4" s="43">
        <v>72</v>
      </c>
      <c r="I4" s="40"/>
      <c r="J4" s="44">
        <f t="shared" si="0"/>
        <v>72</v>
      </c>
      <c r="K4" s="43">
        <v>11.5</v>
      </c>
      <c r="L4" s="40"/>
      <c r="M4" s="44">
        <f t="shared" si="1"/>
        <v>11.5</v>
      </c>
      <c r="N4" s="43">
        <v>7.3</v>
      </c>
      <c r="O4" s="43">
        <v>3.42</v>
      </c>
      <c r="P4" s="53">
        <f t="shared" si="2"/>
        <v>3.88</v>
      </c>
      <c r="Q4" s="46">
        <v>1450</v>
      </c>
      <c r="R4" s="71">
        <f>S4*T4</f>
        <v>0.4864</v>
      </c>
      <c r="S4" s="71">
        <v>0.64</v>
      </c>
      <c r="T4" s="71">
        <v>0.76</v>
      </c>
      <c r="U4" s="71"/>
      <c r="V4" s="42"/>
      <c r="W4" s="53">
        <f t="shared" si="3"/>
        <v>9.8630136986301373</v>
      </c>
      <c r="X4" s="53">
        <f t="shared" si="4"/>
        <v>6.2608695652173916</v>
      </c>
      <c r="Y4" s="53">
        <f t="shared" si="5"/>
        <v>3.3625730994152048</v>
      </c>
      <c r="Z4" s="43">
        <v>22.3</v>
      </c>
      <c r="AA4" s="73">
        <f t="shared" si="6"/>
        <v>5.3888888888888889E-2</v>
      </c>
      <c r="AB4" s="55">
        <f t="shared" si="7"/>
        <v>108.27121960355596</v>
      </c>
      <c r="AC4" s="74">
        <f t="shared" si="8"/>
        <v>6044.4</v>
      </c>
      <c r="AD4" s="74">
        <f t="shared" si="9"/>
        <v>1353.6000000000001</v>
      </c>
      <c r="AE4" s="74">
        <f t="shared" si="10"/>
        <v>1879.2</v>
      </c>
      <c r="AF4" s="40"/>
      <c r="AG4" s="40"/>
      <c r="AH4" s="40"/>
      <c r="AI4" s="40"/>
      <c r="AJ4" s="43">
        <v>2</v>
      </c>
      <c r="AK4" s="46">
        <v>1879.92</v>
      </c>
      <c r="AL4" s="87">
        <f>AJ4*AK4</f>
        <v>3759.84</v>
      </c>
      <c r="AM4" s="46">
        <f t="shared" si="11"/>
        <v>61.317534196997848</v>
      </c>
      <c r="AN4" s="43">
        <v>19.5</v>
      </c>
      <c r="AO4" s="43">
        <v>12</v>
      </c>
      <c r="AP4" s="43" t="s">
        <v>760</v>
      </c>
      <c r="AQ4" s="84"/>
      <c r="AR4" s="43">
        <v>50</v>
      </c>
      <c r="AS4" s="84"/>
      <c r="AT4" s="46">
        <v>613.35</v>
      </c>
      <c r="AU4" s="46">
        <v>113.1</v>
      </c>
      <c r="AV4" s="46">
        <v>56.55</v>
      </c>
      <c r="AW4" s="46">
        <v>30.45</v>
      </c>
      <c r="AX4" s="46">
        <v>100.05</v>
      </c>
      <c r="AY4" s="46">
        <v>108.75</v>
      </c>
      <c r="AZ4" s="46">
        <v>14.5</v>
      </c>
      <c r="BA4" s="46">
        <f t="shared" si="12"/>
        <v>1036.75</v>
      </c>
      <c r="BB4" s="42"/>
      <c r="BC4" s="46">
        <f t="shared" si="13"/>
        <v>1036.75</v>
      </c>
      <c r="BD4" s="42"/>
      <c r="BE4" s="46">
        <v>413.25</v>
      </c>
      <c r="BF4" s="43">
        <v>1450</v>
      </c>
      <c r="BG4" s="43">
        <f>AN4/SQRT(J4*3.2808)</f>
        <v>1.2687570983029122</v>
      </c>
      <c r="BH4" s="43">
        <f>BG4*1.6878/SQRT(32.174)</f>
        <v>0.37752606276901729</v>
      </c>
      <c r="BI4" s="43"/>
      <c r="BJ4" s="43"/>
      <c r="BK4" s="43"/>
      <c r="BL4" s="43"/>
      <c r="BM4" s="43"/>
      <c r="BN4" s="43"/>
      <c r="BO4" s="43"/>
      <c r="BP4" s="43"/>
      <c r="BQ4" s="43"/>
      <c r="BR4" s="43"/>
      <c r="BS4" s="44">
        <f t="shared" si="14"/>
        <v>59.16083916083916</v>
      </c>
      <c r="BT4" s="44">
        <f t="shared" si="14"/>
        <v>10.909090909090908</v>
      </c>
      <c r="BU4" s="44">
        <f t="shared" si="14"/>
        <v>5.4545454545454541</v>
      </c>
      <c r="BV4" s="44">
        <f t="shared" si="14"/>
        <v>2.9370629370629371</v>
      </c>
      <c r="BW4" s="44">
        <f t="shared" si="14"/>
        <v>9.65034965034965</v>
      </c>
      <c r="BX4" s="44">
        <f t="shared" si="14"/>
        <v>10.48951048951049</v>
      </c>
      <c r="BY4" s="44">
        <f t="shared" si="14"/>
        <v>1.3986013986013985</v>
      </c>
      <c r="BZ4" s="44">
        <f>BB4/$BC4*100</f>
        <v>0</v>
      </c>
      <c r="CA4" s="40"/>
      <c r="CB4" s="43"/>
      <c r="CC4" s="43"/>
      <c r="CD4" s="43"/>
      <c r="CE4" s="43"/>
      <c r="CF4" s="43"/>
      <c r="CG4" s="43"/>
      <c r="CH4" s="43"/>
      <c r="CI4" s="43"/>
      <c r="CJ4" s="43"/>
      <c r="CK4" s="43"/>
      <c r="CL4" s="43"/>
      <c r="CM4" s="43"/>
      <c r="CN4" s="43"/>
      <c r="CO4" s="43"/>
      <c r="CP4" s="43"/>
      <c r="CQ4" s="40"/>
      <c r="CR4" s="43"/>
      <c r="CS4" s="43"/>
      <c r="CT4" s="43"/>
      <c r="CU4" s="42"/>
      <c r="CV4" s="42"/>
      <c r="CW4" s="40"/>
      <c r="CX4" s="42"/>
      <c r="CY4" s="40"/>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row>
    <row r="5" spans="1:154" s="37" customFormat="1">
      <c r="A5" s="42" t="s">
        <v>754</v>
      </c>
      <c r="B5" s="40"/>
      <c r="C5" s="43" t="s">
        <v>755</v>
      </c>
      <c r="D5" s="43" t="s">
        <v>756</v>
      </c>
      <c r="E5" s="43" t="s">
        <v>720</v>
      </c>
      <c r="F5" s="42">
        <v>1977</v>
      </c>
      <c r="G5" s="40"/>
      <c r="H5" s="43">
        <v>54</v>
      </c>
      <c r="I5" s="40"/>
      <c r="J5" s="44">
        <f t="shared" si="0"/>
        <v>54</v>
      </c>
      <c r="K5" s="43">
        <v>10.89</v>
      </c>
      <c r="L5" s="40"/>
      <c r="M5" s="44">
        <f t="shared" si="1"/>
        <v>10.89</v>
      </c>
      <c r="N5" s="43">
        <v>6.81</v>
      </c>
      <c r="O5" s="43">
        <v>4.17</v>
      </c>
      <c r="P5" s="53">
        <f t="shared" si="2"/>
        <v>2.6399999999999997</v>
      </c>
      <c r="Q5" s="46">
        <v>1210</v>
      </c>
      <c r="R5" s="71">
        <f>S5*T5</f>
        <v>0.47250000000000003</v>
      </c>
      <c r="S5" s="71">
        <v>0.63</v>
      </c>
      <c r="T5" s="71">
        <v>0.75</v>
      </c>
      <c r="U5" s="71"/>
      <c r="V5" s="40"/>
      <c r="W5" s="53">
        <f t="shared" si="3"/>
        <v>7.929515418502203</v>
      </c>
      <c r="X5" s="53">
        <f t="shared" si="4"/>
        <v>4.9586776859504127</v>
      </c>
      <c r="Y5" s="53">
        <f t="shared" si="5"/>
        <v>2.6115107913669067</v>
      </c>
      <c r="Z5" s="43">
        <v>12.8</v>
      </c>
      <c r="AA5" s="73">
        <f t="shared" si="6"/>
        <v>4.8888888888888885E-2</v>
      </c>
      <c r="AB5" s="55">
        <f t="shared" si="7"/>
        <v>214.1640675887451</v>
      </c>
      <c r="AC5" s="74">
        <f t="shared" si="8"/>
        <v>4004.6886</v>
      </c>
      <c r="AD5" s="74">
        <f t="shared" si="9"/>
        <v>955.8</v>
      </c>
      <c r="AE5" s="74">
        <f t="shared" si="10"/>
        <v>1323.54</v>
      </c>
      <c r="AF5" s="42"/>
      <c r="AG5" s="42"/>
      <c r="AH5" s="42"/>
      <c r="AI5" s="42"/>
      <c r="AJ5" s="43">
        <v>1</v>
      </c>
      <c r="AK5" s="46">
        <v>3245.1</v>
      </c>
      <c r="AL5" s="87">
        <f>AJ5*AK5</f>
        <v>3245.1</v>
      </c>
      <c r="AM5" s="46">
        <f t="shared" si="11"/>
        <v>56.965779201201137</v>
      </c>
      <c r="AN5" s="43">
        <v>16</v>
      </c>
      <c r="AO5" s="43">
        <v>12</v>
      </c>
      <c r="AP5" s="43" t="s">
        <v>757</v>
      </c>
      <c r="AQ5" s="84"/>
      <c r="AR5" s="43">
        <v>39</v>
      </c>
      <c r="AS5" s="84"/>
      <c r="AT5" s="46">
        <v>505.78</v>
      </c>
      <c r="AU5" s="46">
        <v>94.38</v>
      </c>
      <c r="AV5" s="46">
        <v>45.98</v>
      </c>
      <c r="AW5" s="46">
        <v>26.62</v>
      </c>
      <c r="AX5" s="46">
        <v>95.59</v>
      </c>
      <c r="AY5" s="46">
        <v>89.54</v>
      </c>
      <c r="AZ5" s="46">
        <v>12.1</v>
      </c>
      <c r="BA5" s="46">
        <f t="shared" si="12"/>
        <v>869.99</v>
      </c>
      <c r="BB5" s="40"/>
      <c r="BC5" s="46">
        <f t="shared" si="13"/>
        <v>869.99</v>
      </c>
      <c r="BD5" s="40"/>
      <c r="BE5" s="46">
        <v>340.01</v>
      </c>
      <c r="BF5" s="43">
        <v>1210</v>
      </c>
      <c r="BG5" s="43">
        <f>AN5/SQRT(J5*3.2808)</f>
        <v>1.2020795934218418</v>
      </c>
      <c r="BH5" s="43">
        <f>BG5*1.6878/SQRT(32.174)</f>
        <v>0.35768578291822223</v>
      </c>
      <c r="BI5" s="43"/>
      <c r="BJ5" s="43"/>
      <c r="BK5" s="43"/>
      <c r="BL5" s="43"/>
      <c r="BM5" s="43"/>
      <c r="BN5" s="43"/>
      <c r="BO5" s="43"/>
      <c r="BP5" s="43"/>
      <c r="BQ5" s="43"/>
      <c r="BR5" s="43"/>
      <c r="BS5" s="44">
        <f t="shared" si="14"/>
        <v>58.136300417246169</v>
      </c>
      <c r="BT5" s="44">
        <f t="shared" si="14"/>
        <v>10.848400556328233</v>
      </c>
      <c r="BU5" s="44">
        <f t="shared" si="14"/>
        <v>5.285118219749652</v>
      </c>
      <c r="BV5" s="44">
        <f t="shared" si="14"/>
        <v>3.05980528511822</v>
      </c>
      <c r="BW5" s="44">
        <f t="shared" si="14"/>
        <v>10.987482614742698</v>
      </c>
      <c r="BX5" s="44">
        <f t="shared" si="14"/>
        <v>10.292072322670375</v>
      </c>
      <c r="BY5" s="44">
        <f t="shared" si="14"/>
        <v>1.3908205841446453</v>
      </c>
      <c r="BZ5" s="44">
        <f>BB5/$BC5*100</f>
        <v>0</v>
      </c>
      <c r="CA5" s="40"/>
      <c r="CB5" s="43"/>
      <c r="CC5" s="43"/>
      <c r="CD5" s="43"/>
      <c r="CE5" s="43"/>
      <c r="CF5" s="43"/>
      <c r="CG5" s="43"/>
      <c r="CH5" s="43"/>
      <c r="CI5" s="43"/>
      <c r="CJ5" s="43"/>
      <c r="CK5" s="43"/>
      <c r="CL5" s="43"/>
      <c r="CM5" s="43"/>
      <c r="CN5" s="43"/>
      <c r="CO5" s="43"/>
      <c r="CP5" s="43"/>
      <c r="CQ5" s="40"/>
      <c r="CR5" s="43"/>
      <c r="CS5" s="43"/>
      <c r="CT5" s="43"/>
      <c r="CU5" s="40"/>
      <c r="CV5" s="40"/>
      <c r="CW5" s="42"/>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row>
    <row r="6" spans="1:154" s="37" customFormat="1">
      <c r="A6" s="42" t="s">
        <v>772</v>
      </c>
      <c r="B6" s="43"/>
      <c r="C6" s="43" t="s">
        <v>773</v>
      </c>
      <c r="D6" s="43" t="s">
        <v>774</v>
      </c>
      <c r="E6" s="43" t="s">
        <v>720</v>
      </c>
      <c r="F6" s="42">
        <v>1981</v>
      </c>
      <c r="G6" s="43"/>
      <c r="H6" s="43">
        <v>94</v>
      </c>
      <c r="I6" s="43"/>
      <c r="J6" s="44">
        <f t="shared" si="0"/>
        <v>94</v>
      </c>
      <c r="K6" s="43">
        <v>13.1</v>
      </c>
      <c r="L6" s="43"/>
      <c r="M6" s="44">
        <f t="shared" si="1"/>
        <v>13.1</v>
      </c>
      <c r="N6" s="43">
        <v>8.25</v>
      </c>
      <c r="O6" s="43">
        <v>4.32</v>
      </c>
      <c r="P6" s="53">
        <f t="shared" si="2"/>
        <v>3.9299999999999997</v>
      </c>
      <c r="Q6" s="46">
        <v>3200</v>
      </c>
      <c r="R6" s="71">
        <f>S6*T6</f>
        <v>0.54270000000000007</v>
      </c>
      <c r="S6" s="71">
        <v>0.67</v>
      </c>
      <c r="T6" s="71">
        <v>0.81</v>
      </c>
      <c r="U6" s="71"/>
      <c r="V6" s="43"/>
      <c r="W6" s="53">
        <f t="shared" si="3"/>
        <v>11.393939393939394</v>
      </c>
      <c r="X6" s="53">
        <f t="shared" si="4"/>
        <v>7.1755725190839694</v>
      </c>
      <c r="Y6" s="53">
        <f t="shared" si="5"/>
        <v>3.032407407407407</v>
      </c>
      <c r="Z6" s="43">
        <v>24.5</v>
      </c>
      <c r="AA6" s="73">
        <f t="shared" si="6"/>
        <v>4.1808510638297866E-2</v>
      </c>
      <c r="AB6" s="55">
        <f t="shared" si="7"/>
        <v>107.37642326834904</v>
      </c>
      <c r="AC6" s="74">
        <f t="shared" si="8"/>
        <v>10159.049999999999</v>
      </c>
      <c r="AD6" s="74">
        <f t="shared" si="9"/>
        <v>2006.9</v>
      </c>
      <c r="AE6" s="74">
        <f t="shared" si="10"/>
        <v>2782.4</v>
      </c>
      <c r="AF6" s="40"/>
      <c r="AG6" s="40"/>
      <c r="AH6" s="40"/>
      <c r="AI6" s="40"/>
      <c r="AJ6" s="43">
        <v>2</v>
      </c>
      <c r="AK6" s="46">
        <v>5371.2</v>
      </c>
      <c r="AL6" s="87">
        <f>AJ6*AK6</f>
        <v>10742.4</v>
      </c>
      <c r="AM6" s="46">
        <f t="shared" si="11"/>
        <v>103.64554983210809</v>
      </c>
      <c r="AN6" s="43">
        <v>22.5</v>
      </c>
      <c r="AO6" s="43">
        <v>15</v>
      </c>
      <c r="AP6" s="43" t="s">
        <v>757</v>
      </c>
      <c r="AQ6" s="84"/>
      <c r="AR6" s="43">
        <v>46</v>
      </c>
      <c r="AS6" s="43"/>
      <c r="AT6" s="46">
        <v>1584</v>
      </c>
      <c r="AU6" s="46">
        <v>380.8</v>
      </c>
      <c r="AV6" s="46">
        <v>144</v>
      </c>
      <c r="AW6" s="46">
        <v>41.6</v>
      </c>
      <c r="AX6" s="46">
        <v>224</v>
      </c>
      <c r="AY6" s="46">
        <v>92.8</v>
      </c>
      <c r="AZ6" s="46">
        <v>57.6</v>
      </c>
      <c r="BA6" s="46">
        <f t="shared" si="12"/>
        <v>2524.8000000000002</v>
      </c>
      <c r="BB6" s="43"/>
      <c r="BC6" s="46">
        <f t="shared" si="13"/>
        <v>2524.8000000000002</v>
      </c>
      <c r="BD6" s="43"/>
      <c r="BE6" s="46">
        <v>675.2</v>
      </c>
      <c r="BF6" s="43">
        <v>3200</v>
      </c>
      <c r="BG6" s="43">
        <f>AN6/SQRT(J6*3.2808)</f>
        <v>1.2812347617012532</v>
      </c>
      <c r="BH6" s="43">
        <f>BG6*1.6878/SQRT(32.174)</f>
        <v>0.38123886417255914</v>
      </c>
      <c r="BI6" s="43"/>
      <c r="BJ6" s="43"/>
      <c r="BK6" s="43"/>
      <c r="BL6" s="43"/>
      <c r="BM6" s="43"/>
      <c r="BN6" s="43"/>
      <c r="BO6" s="43"/>
      <c r="BP6" s="43"/>
      <c r="BQ6" s="43"/>
      <c r="BR6" s="43"/>
      <c r="BS6" s="44">
        <f t="shared" si="14"/>
        <v>62.73764258555132</v>
      </c>
      <c r="BT6" s="44">
        <f t="shared" si="14"/>
        <v>15.082382762991129</v>
      </c>
      <c r="BU6" s="44">
        <f t="shared" si="14"/>
        <v>5.7034220532319386</v>
      </c>
      <c r="BV6" s="44">
        <f t="shared" si="14"/>
        <v>1.6476552598225602</v>
      </c>
      <c r="BW6" s="44">
        <f t="shared" si="14"/>
        <v>8.8719898605830156</v>
      </c>
      <c r="BX6" s="44">
        <f t="shared" si="14"/>
        <v>3.6755386565272499</v>
      </c>
      <c r="BY6" s="44">
        <f t="shared" si="14"/>
        <v>2.2813688212927752</v>
      </c>
      <c r="BZ6" s="44">
        <f>BB6/$BC6*100</f>
        <v>0</v>
      </c>
      <c r="CA6" s="43"/>
      <c r="CB6" s="43"/>
      <c r="CC6" s="43"/>
      <c r="CD6" s="43"/>
      <c r="CE6" s="43"/>
      <c r="CF6" s="43"/>
      <c r="CG6" s="43"/>
      <c r="CH6" s="43"/>
      <c r="CI6" s="43"/>
      <c r="CJ6" s="43"/>
      <c r="CK6" s="43"/>
      <c r="CL6" s="43"/>
      <c r="CM6" s="43"/>
      <c r="CN6" s="43"/>
      <c r="CO6" s="43"/>
      <c r="CP6" s="43"/>
      <c r="CQ6" s="43"/>
      <c r="CR6" s="43"/>
      <c r="CS6" s="43"/>
      <c r="CT6" s="43"/>
      <c r="CU6" s="43"/>
      <c r="CV6" s="43"/>
      <c r="CW6" s="40"/>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row>
    <row r="7" spans="1:154">
      <c r="A7" s="42" t="s">
        <v>758</v>
      </c>
      <c r="B7" s="40"/>
      <c r="C7" s="43" t="s">
        <v>755</v>
      </c>
      <c r="D7" s="43" t="s">
        <v>759</v>
      </c>
      <c r="E7" s="43" t="s">
        <v>720</v>
      </c>
      <c r="F7" s="42">
        <v>1983</v>
      </c>
      <c r="G7" s="43"/>
      <c r="H7" s="43">
        <v>63</v>
      </c>
      <c r="I7" s="43"/>
      <c r="J7" s="44">
        <f t="shared" si="0"/>
        <v>63</v>
      </c>
      <c r="K7" s="43">
        <v>10</v>
      </c>
      <c r="L7" s="43"/>
      <c r="M7" s="44">
        <f t="shared" si="1"/>
        <v>10</v>
      </c>
      <c r="N7" s="43">
        <v>5.5</v>
      </c>
      <c r="O7" s="43">
        <v>2.72</v>
      </c>
      <c r="P7" s="53">
        <f t="shared" si="2"/>
        <v>2.78</v>
      </c>
      <c r="Q7" s="46">
        <v>662</v>
      </c>
      <c r="R7" s="71">
        <f>S7*T7</f>
        <v>0.40019999999999994</v>
      </c>
      <c r="S7" s="71">
        <v>0.57999999999999996</v>
      </c>
      <c r="T7" s="71">
        <v>0.69</v>
      </c>
      <c r="U7" s="71"/>
      <c r="V7" s="40"/>
      <c r="W7" s="53">
        <f t="shared" si="3"/>
        <v>11.454545454545455</v>
      </c>
      <c r="X7" s="53">
        <f t="shared" si="4"/>
        <v>6.3</v>
      </c>
      <c r="Y7" s="53">
        <f t="shared" si="5"/>
        <v>3.6764705882352939</v>
      </c>
      <c r="Z7" s="43">
        <v>21.7</v>
      </c>
      <c r="AA7" s="73">
        <f t="shared" si="6"/>
        <v>4.4126984126984126E-2</v>
      </c>
      <c r="AB7" s="55">
        <f t="shared" si="7"/>
        <v>73.786830717417644</v>
      </c>
      <c r="AC7" s="74">
        <f t="shared" si="8"/>
        <v>3465</v>
      </c>
      <c r="AD7" s="74">
        <f t="shared" si="9"/>
        <v>976.5</v>
      </c>
      <c r="AE7" s="74">
        <f t="shared" si="10"/>
        <v>1323</v>
      </c>
      <c r="AF7" s="43"/>
      <c r="AG7" s="43"/>
      <c r="AH7" s="43"/>
      <c r="AI7" s="43"/>
      <c r="AJ7" s="43">
        <v>2</v>
      </c>
      <c r="AK7" s="88">
        <v>5292.1239999999998</v>
      </c>
      <c r="AL7" s="89">
        <f>AJ7*AK7</f>
        <v>10584.248</v>
      </c>
      <c r="AM7" s="46">
        <f t="shared" si="11"/>
        <v>102.87977449430961</v>
      </c>
      <c r="AN7" s="43">
        <v>28</v>
      </c>
      <c r="AO7" s="43">
        <v>12</v>
      </c>
      <c r="AP7" s="43" t="s">
        <v>760</v>
      </c>
      <c r="AQ7" s="84"/>
      <c r="AR7" s="43">
        <v>44</v>
      </c>
      <c r="AS7" s="84"/>
      <c r="AT7" s="46">
        <v>217.136</v>
      </c>
      <c r="AU7" s="46">
        <v>162.852</v>
      </c>
      <c r="AV7" s="46">
        <v>25.155999999999999</v>
      </c>
      <c r="AW7" s="46">
        <v>27.803999999999998</v>
      </c>
      <c r="AX7" s="46">
        <v>52.298000000000002</v>
      </c>
      <c r="AY7" s="46">
        <v>44.353999999999999</v>
      </c>
      <c r="AZ7" s="46">
        <v>12.577999999999999</v>
      </c>
      <c r="BA7" s="46">
        <f t="shared" si="12"/>
        <v>542.178</v>
      </c>
      <c r="BB7" s="43"/>
      <c r="BC7" s="46">
        <f t="shared" si="13"/>
        <v>542.178</v>
      </c>
      <c r="BD7" s="43"/>
      <c r="BE7" s="46">
        <v>119.822</v>
      </c>
      <c r="BF7" s="43">
        <v>662</v>
      </c>
      <c r="BG7" s="43">
        <f>AN7/SQRT(J7*3.2808)</f>
        <v>1.947591535953626</v>
      </c>
      <c r="BH7" s="43">
        <f>BG7*1.6878/SQRT(32.174)</f>
        <v>0.57951720265000051</v>
      </c>
      <c r="BI7" s="43"/>
      <c r="BJ7" s="43"/>
      <c r="BK7" s="43"/>
      <c r="BL7" s="43"/>
      <c r="BM7" s="43"/>
      <c r="BN7" s="43"/>
      <c r="BO7" s="43"/>
      <c r="BP7" s="43"/>
      <c r="BQ7" s="43"/>
      <c r="BR7" s="43"/>
      <c r="BS7" s="44">
        <f t="shared" si="14"/>
        <v>40.048840048840049</v>
      </c>
      <c r="BT7" s="44">
        <f t="shared" si="14"/>
        <v>30.036630036630036</v>
      </c>
      <c r="BU7" s="44">
        <f t="shared" si="14"/>
        <v>4.6398046398046393</v>
      </c>
      <c r="BV7" s="44">
        <f t="shared" si="14"/>
        <v>5.1282051282051277</v>
      </c>
      <c r="BW7" s="44">
        <f t="shared" si="14"/>
        <v>9.6459096459096472</v>
      </c>
      <c r="BX7" s="44">
        <f t="shared" si="14"/>
        <v>8.1807081807081801</v>
      </c>
      <c r="BY7" s="44">
        <f t="shared" si="14"/>
        <v>2.3199023199023197</v>
      </c>
      <c r="BZ7" s="44">
        <f>BB7/$BC7*100</f>
        <v>0</v>
      </c>
      <c r="CA7" s="43"/>
      <c r="CB7" s="43"/>
      <c r="CC7" s="43"/>
      <c r="CD7" s="43"/>
      <c r="CE7" s="43"/>
      <c r="CF7" s="43"/>
      <c r="CG7" s="43"/>
      <c r="CH7" s="43"/>
      <c r="CI7" s="43"/>
      <c r="CJ7" s="43"/>
      <c r="CK7" s="43"/>
      <c r="CL7" s="43"/>
      <c r="CM7" s="43"/>
      <c r="CN7" s="43"/>
      <c r="CO7" s="43"/>
      <c r="CP7" s="43"/>
      <c r="CQ7" s="43"/>
      <c r="CR7" s="43"/>
      <c r="CS7" s="43"/>
      <c r="CT7" s="43"/>
      <c r="CU7" s="40"/>
      <c r="CV7" s="40"/>
      <c r="CW7" s="43"/>
      <c r="CX7" s="43"/>
      <c r="CY7" s="43"/>
      <c r="CZ7" s="43"/>
      <c r="DA7" s="43"/>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row>
    <row r="8" spans="1:154">
      <c r="A8" s="51"/>
      <c r="B8" s="43" t="s">
        <v>761</v>
      </c>
      <c r="C8" s="43" t="s">
        <v>762</v>
      </c>
      <c r="D8" s="43" t="s">
        <v>763</v>
      </c>
      <c r="E8" s="43" t="s">
        <v>720</v>
      </c>
      <c r="F8" s="42">
        <v>1983</v>
      </c>
      <c r="G8" s="40"/>
      <c r="H8" s="43">
        <v>67</v>
      </c>
      <c r="I8" s="40"/>
      <c r="J8" s="44">
        <f t="shared" si="0"/>
        <v>67</v>
      </c>
      <c r="K8" s="43">
        <v>10.6</v>
      </c>
      <c r="L8" s="42"/>
      <c r="M8" s="44">
        <f t="shared" si="1"/>
        <v>10.6</v>
      </c>
      <c r="N8" s="43">
        <v>5.5</v>
      </c>
      <c r="O8" s="43">
        <v>3</v>
      </c>
      <c r="P8" s="53">
        <f t="shared" si="2"/>
        <v>2.5</v>
      </c>
      <c r="Q8" s="46">
        <v>1100</v>
      </c>
      <c r="R8" s="71">
        <f>S8*T8</f>
        <v>0.48799999999999999</v>
      </c>
      <c r="S8" s="71">
        <v>0.61</v>
      </c>
      <c r="T8" s="71">
        <v>0.8</v>
      </c>
      <c r="U8" s="71"/>
      <c r="V8" s="42"/>
      <c r="W8" s="53">
        <f t="shared" si="3"/>
        <v>12.181818181818182</v>
      </c>
      <c r="X8" s="53">
        <f t="shared" si="4"/>
        <v>6.3207547169811322</v>
      </c>
      <c r="Y8" s="53">
        <f t="shared" si="5"/>
        <v>3.5333333333333332</v>
      </c>
      <c r="Z8" s="43">
        <v>24.3</v>
      </c>
      <c r="AA8" s="73">
        <f t="shared" si="6"/>
        <v>3.7313432835820892E-2</v>
      </c>
      <c r="AB8" s="55">
        <f t="shared" si="7"/>
        <v>101.93205806805344</v>
      </c>
      <c r="AC8" s="74">
        <f t="shared" si="8"/>
        <v>3906.0999999999995</v>
      </c>
      <c r="AD8" s="74">
        <f t="shared" si="9"/>
        <v>1078.7</v>
      </c>
      <c r="AE8" s="74">
        <f t="shared" si="10"/>
        <v>1447.2</v>
      </c>
      <c r="AF8" s="38"/>
      <c r="AG8" s="38"/>
      <c r="AH8" s="38"/>
      <c r="AI8" s="38"/>
      <c r="AJ8" s="43">
        <v>2</v>
      </c>
      <c r="AK8" s="46">
        <v>4699.8</v>
      </c>
      <c r="AL8" s="89">
        <f>AJ8*AK8</f>
        <v>9399.6</v>
      </c>
      <c r="AM8" s="46">
        <f t="shared" si="11"/>
        <v>96.951534283888464</v>
      </c>
      <c r="AN8" s="43">
        <v>22</v>
      </c>
      <c r="AO8" s="43">
        <v>14</v>
      </c>
      <c r="AP8" s="43" t="s">
        <v>760</v>
      </c>
      <c r="AQ8" s="84"/>
      <c r="AR8" s="43">
        <v>74</v>
      </c>
      <c r="AS8" s="84"/>
      <c r="AT8" s="46">
        <v>429</v>
      </c>
      <c r="AU8" s="46">
        <v>108.9</v>
      </c>
      <c r="AV8" s="46">
        <v>41.8</v>
      </c>
      <c r="AW8" s="46">
        <v>24.2</v>
      </c>
      <c r="AX8" s="46">
        <v>86.9</v>
      </c>
      <c r="AY8" s="46">
        <v>103.4</v>
      </c>
      <c r="AZ8" s="46">
        <v>28.6</v>
      </c>
      <c r="BA8" s="46">
        <f t="shared" si="12"/>
        <v>822.8</v>
      </c>
      <c r="BB8" s="40"/>
      <c r="BC8" s="46">
        <f t="shared" si="13"/>
        <v>822.8</v>
      </c>
      <c r="BD8" s="40"/>
      <c r="BE8" s="46">
        <v>277.2</v>
      </c>
      <c r="BF8" s="43">
        <v>1100</v>
      </c>
      <c r="BG8" s="43">
        <f>AN8/SQRT(J8*3.2808)</f>
        <v>1.4838684512636591</v>
      </c>
      <c r="BH8" s="43">
        <f>BG8*1.6878/SQRT(32.174)</f>
        <v>0.44153369846919488</v>
      </c>
      <c r="BI8" s="43"/>
      <c r="BJ8" s="43"/>
      <c r="BK8" s="43"/>
      <c r="BL8" s="43"/>
      <c r="BM8" s="43"/>
      <c r="BN8" s="43"/>
      <c r="BO8" s="43"/>
      <c r="BP8" s="43"/>
      <c r="BQ8" s="43"/>
      <c r="BR8" s="43"/>
      <c r="BS8" s="44">
        <f t="shared" si="14"/>
        <v>52.139037433155075</v>
      </c>
      <c r="BT8" s="44">
        <f t="shared" si="14"/>
        <v>13.23529411764706</v>
      </c>
      <c r="BU8" s="44">
        <f t="shared" si="14"/>
        <v>5.0802139037433154</v>
      </c>
      <c r="BV8" s="44">
        <f t="shared" si="14"/>
        <v>2.9411764705882351</v>
      </c>
      <c r="BW8" s="44">
        <f t="shared" si="14"/>
        <v>10.561497326203211</v>
      </c>
      <c r="BX8" s="44">
        <f t="shared" si="14"/>
        <v>12.566844919786096</v>
      </c>
      <c r="BY8" s="44">
        <f t="shared" si="14"/>
        <v>3.4759358288770059</v>
      </c>
      <c r="BZ8" s="44">
        <f>BB8/$BC8*100</f>
        <v>0</v>
      </c>
      <c r="CA8" s="40"/>
      <c r="CB8" s="43"/>
      <c r="CC8" s="43"/>
      <c r="CD8" s="43"/>
      <c r="CE8" s="43"/>
      <c r="CF8" s="43"/>
      <c r="CG8" s="43"/>
      <c r="CH8" s="43"/>
      <c r="CI8" s="43"/>
      <c r="CJ8" s="43"/>
      <c r="CK8" s="43"/>
      <c r="CL8" s="43"/>
      <c r="CM8" s="43"/>
      <c r="CN8" s="43"/>
      <c r="CO8" s="43"/>
      <c r="CP8" s="43"/>
      <c r="CQ8" s="40"/>
      <c r="CR8" s="43"/>
      <c r="CS8" s="43"/>
      <c r="CT8" s="43"/>
      <c r="CU8" s="42"/>
      <c r="CV8" s="42"/>
      <c r="CW8" s="38"/>
      <c r="CX8" s="40"/>
      <c r="CY8" s="40"/>
      <c r="CZ8" s="40"/>
      <c r="DA8" s="40"/>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row>
    <row r="9" spans="1:154" ht="12.75">
      <c r="A9" s="42" t="s">
        <v>820</v>
      </c>
      <c r="B9" s="52" t="s">
        <v>821</v>
      </c>
      <c r="C9" s="43" t="s">
        <v>718</v>
      </c>
      <c r="D9" s="43" t="s">
        <v>822</v>
      </c>
      <c r="E9" s="43" t="s">
        <v>720</v>
      </c>
      <c r="F9" s="42">
        <v>1959</v>
      </c>
      <c r="G9" s="43"/>
      <c r="H9" s="43"/>
      <c r="I9" s="44">
        <v>91.745915630334096</v>
      </c>
      <c r="J9" s="44">
        <f t="shared" si="0"/>
        <v>91.745915630334096</v>
      </c>
      <c r="K9" s="43"/>
      <c r="L9" s="45">
        <v>11.7654230675445</v>
      </c>
      <c r="M9" s="44">
        <f t="shared" si="1"/>
        <v>11.7654230675445</v>
      </c>
      <c r="N9" s="45">
        <v>6.4923189465983899</v>
      </c>
      <c r="O9" s="45">
        <v>3.6576444769568401</v>
      </c>
      <c r="P9" s="53">
        <f t="shared" si="2"/>
        <v>2.8346744696415498</v>
      </c>
      <c r="Q9" s="46">
        <v>1704.9442075659999</v>
      </c>
      <c r="R9" s="71">
        <f>Q9/(1.025*I9*L9*O9)</f>
        <v>0.42129909759039297</v>
      </c>
      <c r="S9" s="71">
        <v>0.56000000000000005</v>
      </c>
      <c r="T9" s="71">
        <v>0.79</v>
      </c>
      <c r="U9" s="71">
        <v>0.68</v>
      </c>
      <c r="V9" s="52"/>
      <c r="W9" s="53">
        <f t="shared" si="3"/>
        <v>14.131455399061039</v>
      </c>
      <c r="X9" s="53">
        <f t="shared" si="4"/>
        <v>7.7979274611399001</v>
      </c>
      <c r="Y9" s="53">
        <f t="shared" si="5"/>
        <v>3.2166666666666659</v>
      </c>
      <c r="Z9" s="45">
        <f>I9/O9</f>
        <v>25.083333333333339</v>
      </c>
      <c r="AA9" s="73">
        <f t="shared" si="6"/>
        <v>3.0897009966777387E-2</v>
      </c>
      <c r="AB9" s="55">
        <f t="shared" si="7"/>
        <v>61.530786973264995</v>
      </c>
      <c r="AC9" s="74">
        <f t="shared" si="8"/>
        <v>7008.000672990016</v>
      </c>
      <c r="AD9" s="74">
        <f t="shared" si="9"/>
        <v>1675.0732584299599</v>
      </c>
      <c r="AE9" s="74">
        <f t="shared" si="10"/>
        <v>2270.7170047497953</v>
      </c>
      <c r="AF9" s="37"/>
      <c r="AG9" s="37"/>
      <c r="AH9" s="37"/>
      <c r="AI9" s="37"/>
      <c r="AJ9" s="43"/>
      <c r="AK9" s="43"/>
      <c r="AL9" s="87">
        <v>7159</v>
      </c>
      <c r="AM9" s="46">
        <f t="shared" si="11"/>
        <v>84.610874005650132</v>
      </c>
      <c r="AN9" s="43"/>
      <c r="AO9" s="43">
        <v>12</v>
      </c>
      <c r="AP9" s="43" t="s">
        <v>263</v>
      </c>
      <c r="AQ9" s="43">
        <v>600</v>
      </c>
      <c r="AR9" s="43"/>
      <c r="AS9" s="43"/>
      <c r="AT9" s="46">
        <v>589</v>
      </c>
      <c r="AU9" s="46">
        <v>228</v>
      </c>
      <c r="AV9" s="46">
        <v>82</v>
      </c>
      <c r="AW9" s="46">
        <v>44</v>
      </c>
      <c r="AX9" s="46">
        <v>146</v>
      </c>
      <c r="AY9" s="46">
        <v>138</v>
      </c>
      <c r="AZ9" s="46">
        <v>41</v>
      </c>
      <c r="BA9" s="46">
        <f t="shared" si="12"/>
        <v>1268</v>
      </c>
      <c r="BB9" s="95"/>
      <c r="BC9" s="46">
        <f t="shared" si="13"/>
        <v>1268</v>
      </c>
      <c r="BD9" s="43"/>
      <c r="BE9" s="80"/>
      <c r="BF9" s="80"/>
      <c r="BI9" s="80"/>
      <c r="BJ9" s="80"/>
      <c r="BK9" s="80"/>
      <c r="BL9" s="80"/>
      <c r="BM9" s="80"/>
      <c r="BN9" s="80"/>
      <c r="BO9" s="80"/>
      <c r="BP9" s="80"/>
      <c r="BQ9" s="80"/>
      <c r="BR9" s="80"/>
      <c r="BS9" s="44">
        <v>46.5</v>
      </c>
      <c r="BT9" s="44">
        <v>18</v>
      </c>
      <c r="BU9" s="44">
        <v>6.5</v>
      </c>
      <c r="BV9" s="44">
        <v>3.5</v>
      </c>
      <c r="BW9" s="44">
        <v>11.5</v>
      </c>
      <c r="BX9" s="44">
        <v>10.9</v>
      </c>
      <c r="BY9" s="44">
        <v>3.2</v>
      </c>
      <c r="BZ9" s="80"/>
      <c r="CA9" s="43"/>
      <c r="CB9" s="43"/>
      <c r="CC9" s="43"/>
      <c r="CD9" s="43"/>
      <c r="CE9" s="43"/>
      <c r="CF9" s="43"/>
      <c r="CG9" s="43"/>
      <c r="CH9" s="43"/>
      <c r="CI9" s="43"/>
      <c r="CJ9" s="43"/>
      <c r="CK9" s="43"/>
      <c r="CL9" s="43"/>
      <c r="CM9" s="43"/>
      <c r="CN9" s="43"/>
      <c r="CO9" s="43"/>
      <c r="CP9" s="43"/>
      <c r="CQ9" s="43"/>
      <c r="CR9" s="43"/>
      <c r="CS9" s="43"/>
      <c r="CT9" s="43"/>
      <c r="CU9" s="52"/>
      <c r="CV9" s="52"/>
      <c r="CW9" s="37"/>
      <c r="CX9" s="43">
        <v>49.375</v>
      </c>
      <c r="CY9" s="46">
        <v>6864.25401884246</v>
      </c>
      <c r="CZ9" s="46">
        <v>6040.4869008221303</v>
      </c>
      <c r="DA9" s="46">
        <v>823.76711802032605</v>
      </c>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row>
    <row r="10" spans="1:154" s="38" customFormat="1" ht="12.75">
      <c r="A10" s="37" t="s">
        <v>724</v>
      </c>
      <c r="B10" s="37"/>
      <c r="C10" s="37" t="s">
        <v>725</v>
      </c>
      <c r="D10" s="37" t="s">
        <v>726</v>
      </c>
      <c r="E10" s="37" t="s">
        <v>727</v>
      </c>
      <c r="F10" s="37">
        <v>1973</v>
      </c>
      <c r="G10" s="53"/>
      <c r="H10" s="53">
        <v>48.768593026091203</v>
      </c>
      <c r="I10" s="53"/>
      <c r="J10" s="44">
        <f t="shared" si="0"/>
        <v>48.768593026091203</v>
      </c>
      <c r="K10" s="53">
        <v>7.6200926603267503</v>
      </c>
      <c r="L10" s="53">
        <v>7.6200926603267503</v>
      </c>
      <c r="M10" s="44">
        <f t="shared" si="1"/>
        <v>7.6200926603267503</v>
      </c>
      <c r="N10" s="53">
        <v>4.8768593026091196</v>
      </c>
      <c r="O10" s="53">
        <v>2.22252702592864</v>
      </c>
      <c r="P10" s="53">
        <f t="shared" si="2"/>
        <v>2.6543322766804796</v>
      </c>
      <c r="Q10" s="55">
        <f>BF10</f>
        <v>430.18651909643518</v>
      </c>
      <c r="R10" s="37"/>
      <c r="S10" s="37"/>
      <c r="T10" s="37"/>
      <c r="U10" s="37"/>
      <c r="V10" s="37"/>
      <c r="W10" s="53">
        <f t="shared" si="3"/>
        <v>10.000000000000002</v>
      </c>
      <c r="X10" s="53">
        <f t="shared" si="4"/>
        <v>6.4</v>
      </c>
      <c r="Y10" s="53">
        <f t="shared" si="5"/>
        <v>3.4285714285714217</v>
      </c>
      <c r="Z10" s="53">
        <f>H10/O10</f>
        <v>21.942857142857097</v>
      </c>
      <c r="AA10" s="73">
        <f t="shared" si="6"/>
        <v>5.442708333333323E-2</v>
      </c>
      <c r="AB10" s="55">
        <f t="shared" si="7"/>
        <v>103.3662196568081</v>
      </c>
      <c r="AC10" s="74">
        <f t="shared" si="8"/>
        <v>1812.3442954039499</v>
      </c>
      <c r="AD10" s="74">
        <f t="shared" si="9"/>
        <v>609.45876434703109</v>
      </c>
      <c r="AE10" s="74">
        <f t="shared" si="10"/>
        <v>847.29633092148219</v>
      </c>
      <c r="AF10" s="37"/>
      <c r="AG10" s="37"/>
      <c r="AH10" s="37"/>
      <c r="AI10" s="37"/>
      <c r="AJ10" s="74">
        <v>2</v>
      </c>
      <c r="AK10" s="74">
        <f>AL10/AJ10</f>
        <v>5726.9760000000006</v>
      </c>
      <c r="AL10" s="90">
        <f>15360*0.7457</f>
        <v>11453.952000000001</v>
      </c>
      <c r="AM10" s="74">
        <f t="shared" si="11"/>
        <v>107.02313768526879</v>
      </c>
      <c r="AN10" s="74">
        <v>31</v>
      </c>
      <c r="AO10" s="74">
        <v>14</v>
      </c>
      <c r="AP10" s="37" t="s">
        <v>728</v>
      </c>
      <c r="AQ10" s="84"/>
      <c r="AR10" s="84"/>
      <c r="AS10" s="84"/>
      <c r="AT10" s="74">
        <v>74.1721854304636</v>
      </c>
      <c r="AU10" s="74">
        <v>127.007166832986</v>
      </c>
      <c r="AV10" s="74">
        <v>13.208745350630499</v>
      </c>
      <c r="AW10" s="74">
        <v>11.176630681302701</v>
      </c>
      <c r="AX10" s="74">
        <v>27.4335480359249</v>
      </c>
      <c r="AY10" s="74">
        <v>26.417490701260999</v>
      </c>
      <c r="AZ10" s="74">
        <v>13.208745350630499</v>
      </c>
      <c r="BA10" s="74">
        <f t="shared" si="12"/>
        <v>292.6245123831992</v>
      </c>
      <c r="BB10" s="74">
        <v>35.562006713236002</v>
      </c>
      <c r="BC10" s="74">
        <f t="shared" si="13"/>
        <v>328.18651909643518</v>
      </c>
      <c r="BD10" s="84"/>
      <c r="BE10" s="74">
        <v>102</v>
      </c>
      <c r="BF10" s="74">
        <f>SUM(BC10:BE10)</f>
        <v>430.18651909643518</v>
      </c>
      <c r="BG10" s="37"/>
      <c r="BH10" s="37"/>
      <c r="BI10" s="74"/>
      <c r="BJ10" s="74"/>
      <c r="BK10" s="74"/>
      <c r="BL10" s="74"/>
      <c r="BM10" s="74"/>
      <c r="BN10" s="74"/>
      <c r="BO10" s="74"/>
      <c r="BP10" s="74"/>
      <c r="BQ10" s="74"/>
      <c r="BR10" s="74"/>
      <c r="BS10" s="55">
        <f t="shared" ref="BS10:BY14" si="16">AT10/$BC10*100</f>
        <v>22.600619195046416</v>
      </c>
      <c r="BT10" s="55">
        <f t="shared" si="16"/>
        <v>38.699690402476854</v>
      </c>
      <c r="BU10" s="55">
        <f t="shared" si="16"/>
        <v>4.0247678018575792</v>
      </c>
      <c r="BV10" s="55">
        <f t="shared" si="16"/>
        <v>3.4055727554179427</v>
      </c>
      <c r="BW10" s="55">
        <f t="shared" si="16"/>
        <v>8.359133126934978</v>
      </c>
      <c r="BX10" s="55">
        <f t="shared" si="16"/>
        <v>8.0495356037151584</v>
      </c>
      <c r="BY10" s="55">
        <f t="shared" si="16"/>
        <v>4.0247678018575792</v>
      </c>
      <c r="BZ10" s="55">
        <f>BB10/$BC10*100</f>
        <v>10.835913312693496</v>
      </c>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74"/>
      <c r="CZ10" s="74"/>
      <c r="DA10" s="74"/>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row>
    <row r="11" spans="1:154" s="37" customFormat="1">
      <c r="A11" s="37" t="s">
        <v>736</v>
      </c>
      <c r="B11" s="40"/>
      <c r="C11" s="40"/>
      <c r="D11" s="37" t="s">
        <v>737</v>
      </c>
      <c r="E11" s="37" t="s">
        <v>727</v>
      </c>
      <c r="F11" s="37">
        <v>1973</v>
      </c>
      <c r="G11" s="53"/>
      <c r="H11" s="53">
        <v>51.816630090221899</v>
      </c>
      <c r="I11" s="53"/>
      <c r="J11" s="44">
        <f t="shared" si="0"/>
        <v>51.816630090221899</v>
      </c>
      <c r="K11" s="53">
        <v>7.7724945135332799</v>
      </c>
      <c r="L11" s="53">
        <v>7.7724945135332799</v>
      </c>
      <c r="M11" s="44">
        <f t="shared" si="1"/>
        <v>7.7724945135332799</v>
      </c>
      <c r="N11" s="53">
        <v>4.8768593026091196</v>
      </c>
      <c r="O11" s="53">
        <v>2.22252702592864</v>
      </c>
      <c r="P11" s="53">
        <f t="shared" si="2"/>
        <v>2.6543322766804796</v>
      </c>
      <c r="Q11" s="55">
        <f>BF11</f>
        <v>441.33103510841022</v>
      </c>
      <c r="R11" s="40"/>
      <c r="S11" s="40"/>
      <c r="T11" s="40"/>
      <c r="U11" s="40"/>
      <c r="V11" s="40"/>
      <c r="W11" s="53">
        <f t="shared" si="3"/>
        <v>10.625</v>
      </c>
      <c r="X11" s="53">
        <f t="shared" si="4"/>
        <v>6.6666666666666705</v>
      </c>
      <c r="Y11" s="53">
        <f t="shared" si="5"/>
        <v>3.4971428571428476</v>
      </c>
      <c r="Z11" s="53">
        <f>H11/O11</f>
        <v>23.314285714285667</v>
      </c>
      <c r="AA11" s="73">
        <f t="shared" si="6"/>
        <v>5.1225490196078333E-2</v>
      </c>
      <c r="AB11" s="55">
        <f t="shared" si="7"/>
        <v>88.409612980140196</v>
      </c>
      <c r="AC11" s="74">
        <f t="shared" si="8"/>
        <v>1964.128130144029</v>
      </c>
      <c r="AD11" s="74">
        <f t="shared" si="9"/>
        <v>655.44688757138749</v>
      </c>
      <c r="AE11" s="74">
        <f t="shared" si="10"/>
        <v>908.14930205674182</v>
      </c>
      <c r="AJ11" s="74">
        <v>2</v>
      </c>
      <c r="AK11" s="74">
        <f>AL11/AJ11</f>
        <v>5726.9760000000006</v>
      </c>
      <c r="AL11" s="90">
        <f>15360*0.7457</f>
        <v>11453.952000000001</v>
      </c>
      <c r="AM11" s="74">
        <f t="shared" si="11"/>
        <v>107.02313768526879</v>
      </c>
      <c r="AN11" s="84"/>
      <c r="AO11" s="74"/>
      <c r="AP11" s="37" t="s">
        <v>728</v>
      </c>
      <c r="AQ11" s="84"/>
      <c r="AR11" s="84"/>
      <c r="AS11" s="84"/>
      <c r="AT11" s="74">
        <v>80.268529438446905</v>
      </c>
      <c r="AU11" s="74">
        <v>127.007166832986</v>
      </c>
      <c r="AV11" s="74">
        <v>13.208745350630499</v>
      </c>
      <c r="AW11" s="74">
        <v>11.176630681302701</v>
      </c>
      <c r="AX11" s="74">
        <v>28.449605370588799</v>
      </c>
      <c r="AY11" s="74">
        <v>27.4335480359249</v>
      </c>
      <c r="AZ11" s="74">
        <v>13.208745350630499</v>
      </c>
      <c r="BA11" s="74">
        <f t="shared" si="12"/>
        <v>300.75297106051033</v>
      </c>
      <c r="BB11" s="74">
        <v>36.5780640478999</v>
      </c>
      <c r="BC11" s="74">
        <f t="shared" si="13"/>
        <v>337.33103510841022</v>
      </c>
      <c r="BD11" s="84"/>
      <c r="BE11" s="74">
        <v>104</v>
      </c>
      <c r="BF11" s="74">
        <f>SUM(BC11:BE11)</f>
        <v>441.33103510841022</v>
      </c>
      <c r="BG11" s="40"/>
      <c r="BH11" s="40"/>
      <c r="BI11" s="74"/>
      <c r="BJ11" s="74"/>
      <c r="BK11" s="74"/>
      <c r="BL11" s="74"/>
      <c r="BM11" s="74"/>
      <c r="BN11" s="74"/>
      <c r="BO11" s="74"/>
      <c r="BP11" s="74"/>
      <c r="BQ11" s="74"/>
      <c r="BR11" s="74"/>
      <c r="BS11" s="55">
        <f t="shared" si="16"/>
        <v>23.795180722891534</v>
      </c>
      <c r="BT11" s="55">
        <f t="shared" si="16"/>
        <v>37.650602409638623</v>
      </c>
      <c r="BU11" s="55">
        <f t="shared" si="16"/>
        <v>3.9156626506024037</v>
      </c>
      <c r="BV11" s="55">
        <f t="shared" si="16"/>
        <v>3.3132530120481785</v>
      </c>
      <c r="BW11" s="55">
        <f t="shared" si="16"/>
        <v>8.4337349397590309</v>
      </c>
      <c r="BX11" s="55">
        <f t="shared" si="16"/>
        <v>8.1325301204819187</v>
      </c>
      <c r="BY11" s="55">
        <f t="shared" si="16"/>
        <v>3.9156626506024037</v>
      </c>
      <c r="BZ11" s="55">
        <f>BB11/$BC11*100</f>
        <v>10.843373493975902</v>
      </c>
      <c r="CA11" s="40"/>
      <c r="CB11" s="40"/>
      <c r="CC11" s="40"/>
      <c r="CD11" s="40"/>
      <c r="CE11" s="40"/>
      <c r="CF11" s="40"/>
      <c r="CG11" s="40"/>
      <c r="CH11" s="40"/>
      <c r="CI11" s="40"/>
      <c r="CJ11" s="40"/>
      <c r="CK11" s="40"/>
      <c r="CL11" s="40"/>
      <c r="CM11" s="40"/>
      <c r="CN11" s="40"/>
      <c r="CO11" s="40"/>
      <c r="CP11" s="40"/>
      <c r="CQ11" s="40"/>
      <c r="CR11" s="40"/>
      <c r="CS11" s="40"/>
      <c r="CT11" s="40"/>
      <c r="CU11" s="40"/>
      <c r="CV11" s="40"/>
      <c r="CX11" s="40"/>
      <c r="CY11" s="74"/>
      <c r="CZ11" s="74"/>
      <c r="DA11" s="74"/>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row>
    <row r="12" spans="1:154" s="37" customFormat="1">
      <c r="A12" s="37" t="s">
        <v>745</v>
      </c>
      <c r="B12" s="40"/>
      <c r="C12" s="40"/>
      <c r="D12" s="37" t="s">
        <v>746</v>
      </c>
      <c r="E12" s="37" t="s">
        <v>727</v>
      </c>
      <c r="F12" s="37">
        <v>1973</v>
      </c>
      <c r="G12" s="53">
        <v>57.912704218483299</v>
      </c>
      <c r="H12" s="53">
        <v>54.864667154352603</v>
      </c>
      <c r="I12" s="53"/>
      <c r="J12" s="44">
        <f t="shared" si="0"/>
        <v>54.864667154352603</v>
      </c>
      <c r="K12" s="53">
        <v>7.9248963667398202</v>
      </c>
      <c r="L12" s="53">
        <v>7.9248963667398202</v>
      </c>
      <c r="M12" s="44">
        <f t="shared" si="1"/>
        <v>7.9248963667398202</v>
      </c>
      <c r="N12" s="53">
        <v>4.8768593026091196</v>
      </c>
      <c r="O12" s="53">
        <v>2.22252702592864</v>
      </c>
      <c r="P12" s="53">
        <f t="shared" si="2"/>
        <v>2.6543322766804796</v>
      </c>
      <c r="Q12" s="55">
        <f>BF12</f>
        <v>451.45949378572044</v>
      </c>
      <c r="R12" s="37">
        <v>0.48</v>
      </c>
      <c r="S12" s="37">
        <v>0.67</v>
      </c>
      <c r="T12" s="37">
        <v>0.72</v>
      </c>
      <c r="U12" s="40"/>
      <c r="V12" s="40"/>
      <c r="W12" s="53">
        <f t="shared" si="3"/>
        <v>11.250000000000002</v>
      </c>
      <c r="X12" s="53">
        <f t="shared" si="4"/>
        <v>6.9230769230769234</v>
      </c>
      <c r="Y12" s="53">
        <f t="shared" si="5"/>
        <v>3.5657142857142783</v>
      </c>
      <c r="Z12" s="53">
        <f>H12/O12</f>
        <v>24.685714285714237</v>
      </c>
      <c r="AA12" s="73">
        <f t="shared" si="6"/>
        <v>4.8379629629629536E-2</v>
      </c>
      <c r="AB12" s="55">
        <f t="shared" si="7"/>
        <v>76.187383646874281</v>
      </c>
      <c r="AC12" s="74">
        <f t="shared" si="8"/>
        <v>2120.4428256226211</v>
      </c>
      <c r="AD12" s="74">
        <f t="shared" si="9"/>
        <v>702.36406379017592</v>
      </c>
      <c r="AE12" s="74">
        <f t="shared" si="10"/>
        <v>969.93132618643347</v>
      </c>
      <c r="AF12" s="40"/>
      <c r="AG12" s="40"/>
      <c r="AH12" s="40"/>
      <c r="AI12" s="40"/>
      <c r="AJ12" s="74">
        <v>2</v>
      </c>
      <c r="AK12" s="74">
        <f>AL12/AJ12</f>
        <v>5726.9760000000006</v>
      </c>
      <c r="AL12" s="90">
        <f>15360*0.7457</f>
        <v>11453.952000000001</v>
      </c>
      <c r="AM12" s="74">
        <f t="shared" si="11"/>
        <v>107.02313768526879</v>
      </c>
      <c r="AN12" s="74">
        <v>29.8</v>
      </c>
      <c r="AO12" s="74"/>
      <c r="AP12" s="37" t="s">
        <v>728</v>
      </c>
      <c r="AQ12" s="84"/>
      <c r="AR12" s="84"/>
      <c r="AS12" s="84"/>
      <c r="AT12" s="74">
        <v>85.348816111766297</v>
      </c>
      <c r="AU12" s="74">
        <v>128.023224167649</v>
      </c>
      <c r="AV12" s="74">
        <v>13.208745350630499</v>
      </c>
      <c r="AW12" s="74">
        <v>11.176630681302701</v>
      </c>
      <c r="AX12" s="74">
        <v>29.465662705252701</v>
      </c>
      <c r="AY12" s="74">
        <v>28.449605370588799</v>
      </c>
      <c r="AZ12" s="74">
        <v>13.208745350630499</v>
      </c>
      <c r="BA12" s="74">
        <f t="shared" si="12"/>
        <v>308.88142973782055</v>
      </c>
      <c r="BB12" s="74">
        <v>36.5780640478999</v>
      </c>
      <c r="BC12" s="74">
        <f t="shared" si="13"/>
        <v>345.45949378572044</v>
      </c>
      <c r="BD12" s="84"/>
      <c r="BE12" s="74">
        <v>106</v>
      </c>
      <c r="BF12" s="74">
        <f>SUM(BC12:BE12)</f>
        <v>451.45949378572044</v>
      </c>
      <c r="BG12" s="40"/>
      <c r="BH12" s="40"/>
      <c r="BI12" s="74"/>
      <c r="BJ12" s="74"/>
      <c r="BK12" s="74"/>
      <c r="BL12" s="74"/>
      <c r="BM12" s="74"/>
      <c r="BN12" s="74"/>
      <c r="BO12" s="74"/>
      <c r="BP12" s="74"/>
      <c r="BQ12" s="74"/>
      <c r="BR12" s="74"/>
      <c r="BS12" s="55">
        <f t="shared" si="16"/>
        <v>24.705882352941195</v>
      </c>
      <c r="BT12" s="55">
        <f t="shared" si="16"/>
        <v>37.058823529411669</v>
      </c>
      <c r="BU12" s="55">
        <f t="shared" si="16"/>
        <v>3.8235294117647096</v>
      </c>
      <c r="BV12" s="55">
        <f t="shared" si="16"/>
        <v>3.2352941176470527</v>
      </c>
      <c r="BW12" s="55">
        <f t="shared" si="16"/>
        <v>8.5294117647059036</v>
      </c>
      <c r="BX12" s="55">
        <f t="shared" si="16"/>
        <v>8.2352941176470758</v>
      </c>
      <c r="BY12" s="55">
        <f t="shared" si="16"/>
        <v>3.8235294117647096</v>
      </c>
      <c r="BZ12" s="55">
        <f>BB12/$BC12*100</f>
        <v>10.588235294117673</v>
      </c>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74"/>
      <c r="CZ12" s="74"/>
      <c r="DA12" s="74"/>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row>
    <row r="13" spans="1:154">
      <c r="A13" s="37" t="s">
        <v>747</v>
      </c>
      <c r="B13" s="37"/>
      <c r="C13" s="37"/>
      <c r="D13" s="37" t="s">
        <v>748</v>
      </c>
      <c r="E13" s="37" t="s">
        <v>727</v>
      </c>
      <c r="F13" s="41">
        <v>1973</v>
      </c>
      <c r="G13" s="53">
        <v>57.912704218483299</v>
      </c>
      <c r="H13" s="53">
        <v>54.864667154352603</v>
      </c>
      <c r="I13" s="53"/>
      <c r="J13" s="44">
        <f t="shared" si="0"/>
        <v>54.864667154352603</v>
      </c>
      <c r="K13" s="53">
        <v>7.9248963667398202</v>
      </c>
      <c r="L13" s="60">
        <v>7.9248963667398202</v>
      </c>
      <c r="M13" s="44">
        <f t="shared" si="1"/>
        <v>7.9248963667398202</v>
      </c>
      <c r="N13" s="53">
        <v>4.8768593026091196</v>
      </c>
      <c r="O13" s="53">
        <v>2.22252702592864</v>
      </c>
      <c r="P13" s="53">
        <f t="shared" si="2"/>
        <v>2.6543322766804796</v>
      </c>
      <c r="Q13" s="55">
        <f>BF13</f>
        <v>451.16502766941852</v>
      </c>
      <c r="R13" s="37">
        <v>0.48</v>
      </c>
      <c r="S13" s="37">
        <v>0.67</v>
      </c>
      <c r="T13" s="37">
        <v>0.72</v>
      </c>
      <c r="U13" s="37"/>
      <c r="V13" s="37"/>
      <c r="W13" s="53">
        <f t="shared" si="3"/>
        <v>11.250000000000002</v>
      </c>
      <c r="X13" s="53">
        <f t="shared" si="4"/>
        <v>6.9230769230769234</v>
      </c>
      <c r="Y13" s="53">
        <f t="shared" si="5"/>
        <v>3.5657142857142783</v>
      </c>
      <c r="Z13" s="53">
        <f>H13/O13</f>
        <v>24.685714285714237</v>
      </c>
      <c r="AA13" s="73">
        <f t="shared" si="6"/>
        <v>4.8379629629629536E-2</v>
      </c>
      <c r="AB13" s="55">
        <f t="shared" si="7"/>
        <v>76.137690145502603</v>
      </c>
      <c r="AC13" s="74">
        <f t="shared" si="8"/>
        <v>2120.4428256226211</v>
      </c>
      <c r="AD13" s="74">
        <f t="shared" si="9"/>
        <v>702.36406379017592</v>
      </c>
      <c r="AE13" s="74">
        <f t="shared" si="10"/>
        <v>969.93132618643347</v>
      </c>
      <c r="AF13" s="41"/>
      <c r="AG13" s="41"/>
      <c r="AH13" s="41"/>
      <c r="AI13" s="41"/>
      <c r="AJ13" s="74">
        <v>2</v>
      </c>
      <c r="AK13" s="74">
        <f>AL13/AJ13</f>
        <v>5726.9760000000006</v>
      </c>
      <c r="AL13" s="90">
        <f>15360*0.7457</f>
        <v>11453.952000000001</v>
      </c>
      <c r="AM13" s="74">
        <f t="shared" si="11"/>
        <v>107.02313768526879</v>
      </c>
      <c r="AN13" s="74">
        <v>29.8</v>
      </c>
      <c r="AO13" s="74"/>
      <c r="AP13" s="37" t="s">
        <v>728</v>
      </c>
      <c r="AQ13" s="84"/>
      <c r="AR13" s="84"/>
      <c r="AS13" s="84"/>
      <c r="AT13" s="74">
        <v>84.129547310169698</v>
      </c>
      <c r="AU13" s="74">
        <v>139.40306631588501</v>
      </c>
      <c r="AV13" s="74">
        <v>13.107139617164099</v>
      </c>
      <c r="AW13" s="74">
        <v>12.5991109498322</v>
      </c>
      <c r="AX13" s="74">
        <v>29.059239771387102</v>
      </c>
      <c r="AY13" s="74">
        <v>27.9415767032568</v>
      </c>
      <c r="AZ13" s="74">
        <v>13.8183797514288</v>
      </c>
      <c r="BA13" s="74">
        <f t="shared" si="12"/>
        <v>320.05806041912376</v>
      </c>
      <c r="BB13" s="74">
        <v>38.406967250294798</v>
      </c>
      <c r="BC13" s="74">
        <f t="shared" si="13"/>
        <v>358.46502766941853</v>
      </c>
      <c r="BD13" s="84"/>
      <c r="BE13" s="74">
        <v>92.7</v>
      </c>
      <c r="BF13" s="74">
        <f>SUM(BC13:BE13)</f>
        <v>451.16502766941852</v>
      </c>
      <c r="BG13" s="40"/>
      <c r="BH13" s="40"/>
      <c r="BI13" s="86"/>
      <c r="BJ13" s="86"/>
      <c r="BK13" s="86"/>
      <c r="BL13" s="86"/>
      <c r="BM13" s="86"/>
      <c r="BN13" s="86"/>
      <c r="BO13" s="86"/>
      <c r="BP13" s="86"/>
      <c r="BQ13" s="86"/>
      <c r="BR13" s="86"/>
      <c r="BS13" s="55">
        <f t="shared" si="16"/>
        <v>23.469387755102051</v>
      </c>
      <c r="BT13" s="55">
        <f t="shared" si="16"/>
        <v>38.888888888888893</v>
      </c>
      <c r="BU13" s="55">
        <f t="shared" si="16"/>
        <v>3.65646258503401</v>
      </c>
      <c r="BV13" s="55">
        <f t="shared" si="16"/>
        <v>3.5147392290249519</v>
      </c>
      <c r="BW13" s="55">
        <f t="shared" si="16"/>
        <v>8.1065759637188215</v>
      </c>
      <c r="BX13" s="55">
        <f t="shared" si="16"/>
        <v>7.7947845804988578</v>
      </c>
      <c r="BY13" s="55">
        <f t="shared" si="16"/>
        <v>3.8548752834467028</v>
      </c>
      <c r="BZ13" s="55">
        <f>BB13/$BC13*100</f>
        <v>10.714285714285701</v>
      </c>
      <c r="CA13" s="37"/>
      <c r="CB13" s="40"/>
      <c r="CC13" s="40"/>
      <c r="CD13" s="40"/>
      <c r="CE13" s="40"/>
      <c r="CF13" s="40"/>
      <c r="CG13" s="40"/>
      <c r="CH13" s="40"/>
      <c r="CI13" s="40"/>
      <c r="CJ13" s="40"/>
      <c r="CK13" s="40"/>
      <c r="CL13" s="40"/>
      <c r="CM13" s="40"/>
      <c r="CN13" s="40"/>
      <c r="CO13" s="40"/>
      <c r="CP13" s="40"/>
      <c r="CQ13" s="40"/>
      <c r="CR13" s="40"/>
      <c r="CS13" s="40"/>
      <c r="CT13" s="40"/>
      <c r="CU13" s="40"/>
      <c r="CV13" s="40"/>
      <c r="CW13" s="41"/>
      <c r="CX13"/>
      <c r="CY13" s="86"/>
      <c r="CZ13" s="86"/>
      <c r="DA13" s="86"/>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row>
    <row r="14" spans="1:154" s="37" customFormat="1">
      <c r="A14" s="37" t="s">
        <v>749</v>
      </c>
      <c r="B14" s="40"/>
      <c r="C14" s="40"/>
      <c r="D14" s="37" t="s">
        <v>750</v>
      </c>
      <c r="E14" s="37" t="s">
        <v>727</v>
      </c>
      <c r="F14" s="37">
        <v>1973</v>
      </c>
      <c r="G14" s="53"/>
      <c r="H14" s="53">
        <v>57.912704218483299</v>
      </c>
      <c r="I14" s="53"/>
      <c r="J14" s="44">
        <f t="shared" si="0"/>
        <v>57.912704218483299</v>
      </c>
      <c r="K14" s="53">
        <v>8.0772982199463499</v>
      </c>
      <c r="L14" s="53">
        <v>8.0772982199463499</v>
      </c>
      <c r="M14" s="44">
        <f t="shared" si="1"/>
        <v>8.0772982199463499</v>
      </c>
      <c r="N14" s="53">
        <v>4.8768593026091196</v>
      </c>
      <c r="O14" s="53">
        <v>2.22252702592864</v>
      </c>
      <c r="P14" s="53">
        <f t="shared" si="2"/>
        <v>2.6543322766804796</v>
      </c>
      <c r="Q14" s="55">
        <f>BF14</f>
        <v>461.5879524630314</v>
      </c>
      <c r="R14" s="40"/>
      <c r="S14" s="40"/>
      <c r="T14" s="40"/>
      <c r="U14" s="40"/>
      <c r="V14" s="40"/>
      <c r="W14" s="53">
        <f t="shared" si="3"/>
        <v>11.875</v>
      </c>
      <c r="X14" s="53">
        <f t="shared" si="4"/>
        <v>7.1698113207547216</v>
      </c>
      <c r="Y14" s="53">
        <f t="shared" si="5"/>
        <v>3.6342857142857046</v>
      </c>
      <c r="Z14" s="53">
        <f>H14/O14</f>
        <v>26.057142857142804</v>
      </c>
      <c r="AA14" s="73">
        <f t="shared" si="6"/>
        <v>4.5833333333333247E-2</v>
      </c>
      <c r="AB14" s="55">
        <f t="shared" si="7"/>
        <v>66.233155603690562</v>
      </c>
      <c r="AC14" s="74">
        <f t="shared" si="8"/>
        <v>2281.2883818397204</v>
      </c>
      <c r="AD14" s="74">
        <f t="shared" si="9"/>
        <v>750.21029300339535</v>
      </c>
      <c r="AE14" s="74">
        <f t="shared" si="10"/>
        <v>1032.6424033105559</v>
      </c>
      <c r="AJ14" s="74">
        <v>2</v>
      </c>
      <c r="AK14" s="74">
        <f>AL14/AJ14</f>
        <v>5726.9760000000006</v>
      </c>
      <c r="AL14" s="90">
        <f>15360*0.7457</f>
        <v>11453.952000000001</v>
      </c>
      <c r="AM14" s="74">
        <f t="shared" si="11"/>
        <v>107.02313768526879</v>
      </c>
      <c r="AN14" s="84"/>
      <c r="AO14" s="74"/>
      <c r="AP14" s="37" t="s">
        <v>728</v>
      </c>
      <c r="AQ14" s="84"/>
      <c r="AR14" s="84"/>
      <c r="AS14" s="84"/>
      <c r="AT14" s="74">
        <v>90.429102785085703</v>
      </c>
      <c r="AU14" s="74">
        <v>129.039281502313</v>
      </c>
      <c r="AV14" s="74">
        <v>13.208745350630499</v>
      </c>
      <c r="AW14" s="74">
        <v>11.176630681302701</v>
      </c>
      <c r="AX14" s="74">
        <v>30.4817200399165</v>
      </c>
      <c r="AY14" s="74">
        <v>28.449605370588799</v>
      </c>
      <c r="AZ14" s="74">
        <v>13.208745350630499</v>
      </c>
      <c r="BA14" s="74">
        <f t="shared" si="12"/>
        <v>315.99383108046771</v>
      </c>
      <c r="BB14" s="74">
        <v>37.594121382563699</v>
      </c>
      <c r="BC14" s="74">
        <f t="shared" si="13"/>
        <v>353.5879524630314</v>
      </c>
      <c r="BD14" s="84"/>
      <c r="BE14" s="74">
        <v>108</v>
      </c>
      <c r="BF14" s="74">
        <f>SUM(BC14:BE14)</f>
        <v>461.5879524630314</v>
      </c>
      <c r="BG14" s="40"/>
      <c r="BH14" s="40"/>
      <c r="BI14" s="74"/>
      <c r="BJ14" s="74"/>
      <c r="BK14" s="74"/>
      <c r="BL14" s="74"/>
      <c r="BM14" s="74"/>
      <c r="BN14" s="74"/>
      <c r="BO14" s="74"/>
      <c r="BP14" s="74"/>
      <c r="BQ14" s="74"/>
      <c r="BR14" s="74"/>
      <c r="BS14" s="55">
        <f t="shared" si="16"/>
        <v>25.57471264367819</v>
      </c>
      <c r="BT14" s="55">
        <f t="shared" si="16"/>
        <v>36.494252873563163</v>
      </c>
      <c r="BU14" s="55">
        <f t="shared" si="16"/>
        <v>3.7356321839080504</v>
      </c>
      <c r="BV14" s="55">
        <f t="shared" si="16"/>
        <v>3.1609195402298806</v>
      </c>
      <c r="BW14" s="55">
        <f t="shared" si="16"/>
        <v>8.6206896551724146</v>
      </c>
      <c r="BX14" s="55">
        <f t="shared" si="16"/>
        <v>8.045977011494271</v>
      </c>
      <c r="BY14" s="55">
        <f t="shared" si="16"/>
        <v>3.7356321839080504</v>
      </c>
      <c r="BZ14" s="55">
        <f>BB14/$BC14*100</f>
        <v>10.632183908045983</v>
      </c>
      <c r="CA14" s="40"/>
      <c r="CB14" s="40"/>
      <c r="CC14" s="40"/>
      <c r="CD14" s="40"/>
      <c r="CE14" s="40"/>
      <c r="CF14" s="40"/>
      <c r="CG14" s="40"/>
      <c r="CH14" s="40"/>
      <c r="CI14" s="40"/>
      <c r="CJ14" s="40"/>
      <c r="CK14" s="40"/>
      <c r="CL14" s="40"/>
      <c r="CM14" s="40"/>
      <c r="CN14" s="40"/>
      <c r="CO14" s="40"/>
      <c r="CP14" s="40"/>
      <c r="CQ14" s="40"/>
      <c r="CR14" s="40"/>
      <c r="CS14" s="40"/>
      <c r="CT14" s="40"/>
      <c r="CU14" s="40"/>
      <c r="CV14" s="40"/>
      <c r="CX14" s="40"/>
      <c r="CY14" s="74"/>
      <c r="CZ14" s="74"/>
      <c r="DA14" s="74"/>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row>
    <row r="15" spans="1:154" s="37" customFormat="1" ht="12.75">
      <c r="A15" s="42" t="s">
        <v>751</v>
      </c>
      <c r="B15" s="43" t="s">
        <v>751</v>
      </c>
      <c r="C15" s="43" t="s">
        <v>752</v>
      </c>
      <c r="D15" s="43" t="s">
        <v>753</v>
      </c>
      <c r="E15" s="43" t="s">
        <v>732</v>
      </c>
      <c r="F15" s="42"/>
      <c r="G15" s="44">
        <v>61.692270178005401</v>
      </c>
      <c r="H15" s="42"/>
      <c r="I15" s="44">
        <v>57.973664959765898</v>
      </c>
      <c r="J15" s="44">
        <f t="shared" si="0"/>
        <v>57.973664959765898</v>
      </c>
      <c r="K15" s="44">
        <v>7.1933674713484503</v>
      </c>
      <c r="L15" s="42"/>
      <c r="M15" s="44">
        <f t="shared" si="1"/>
        <v>7.1933674713484503</v>
      </c>
      <c r="N15" s="64">
        <v>5.2511582540843698</v>
      </c>
      <c r="O15" s="44">
        <v>2.5298707632284798</v>
      </c>
      <c r="P15" s="53">
        <f t="shared" si="2"/>
        <v>2.7212874908558899</v>
      </c>
      <c r="Q15" s="46">
        <v>487.70752063866502</v>
      </c>
      <c r="R15" s="71">
        <v>0.45400000000000001</v>
      </c>
      <c r="S15" s="71">
        <v>0.67300000000000004</v>
      </c>
      <c r="T15" s="71">
        <v>0.67500000000000004</v>
      </c>
      <c r="U15" s="71"/>
      <c r="V15" s="43">
        <v>5.3999999999999999E-2</v>
      </c>
      <c r="W15" s="53">
        <f t="shared" si="3"/>
        <v>11.040167169723704</v>
      </c>
      <c r="X15" s="53">
        <f t="shared" si="4"/>
        <v>8.0593220338983045</v>
      </c>
      <c r="Y15" s="53">
        <f t="shared" si="5"/>
        <v>2.8433734939759043</v>
      </c>
      <c r="Z15" s="45">
        <f>I15/O15</f>
        <v>22.915662650602414</v>
      </c>
      <c r="AA15" s="73">
        <f t="shared" si="6"/>
        <v>4.694006309148268E-2</v>
      </c>
      <c r="AB15" s="55">
        <f t="shared" si="7"/>
        <v>69.760518453476209</v>
      </c>
      <c r="AC15" s="74">
        <f t="shared" si="8"/>
        <v>2189.8688694351122</v>
      </c>
      <c r="AD15" s="74">
        <f t="shared" si="9"/>
        <v>721.45476498943003</v>
      </c>
      <c r="AE15" s="74">
        <f t="shared" si="10"/>
        <v>1025.8836542624265</v>
      </c>
      <c r="AF15" s="57"/>
      <c r="AG15" s="57"/>
      <c r="AH15" s="57"/>
      <c r="AI15" s="57"/>
      <c r="AJ15" s="84"/>
      <c r="AK15" s="84"/>
      <c r="AL15" s="91">
        <f>17600*0.7457</f>
        <v>13124.32</v>
      </c>
      <c r="AM15" s="46">
        <f t="shared" si="11"/>
        <v>114.5614245721482</v>
      </c>
      <c r="AN15" s="46">
        <v>30</v>
      </c>
      <c r="AO15" s="42"/>
      <c r="AP15" s="43" t="s">
        <v>728</v>
      </c>
      <c r="AQ15" s="84"/>
      <c r="AR15" s="46">
        <v>44</v>
      </c>
      <c r="AS15" s="46">
        <f t="shared" ref="AS15:AS20" si="17">AR15*AC15</f>
        <v>96354.230255144939</v>
      </c>
      <c r="AT15" s="46">
        <v>135.13562551029699</v>
      </c>
      <c r="AU15" s="46">
        <v>80.268529438446905</v>
      </c>
      <c r="AV15" s="46">
        <v>19.305089358613799</v>
      </c>
      <c r="AW15" s="46">
        <v>23.3693186972693</v>
      </c>
      <c r="AX15" s="46">
        <v>44.706522725210903</v>
      </c>
      <c r="AY15" s="46">
        <v>28.449605370588799</v>
      </c>
      <c r="AZ15" s="46">
        <v>21.337204027941599</v>
      </c>
      <c r="BA15" s="46">
        <f t="shared" si="12"/>
        <v>352.57189512836828</v>
      </c>
      <c r="BB15" s="46">
        <v>0</v>
      </c>
      <c r="BC15" s="46">
        <f t="shared" si="13"/>
        <v>352.57189512836828</v>
      </c>
      <c r="BD15" s="84"/>
      <c r="BE15" s="46">
        <v>135.13562551029699</v>
      </c>
      <c r="BF15" s="46">
        <v>487.70752063866502</v>
      </c>
      <c r="BG15" s="43">
        <f>AN15/SQRT(J15*3.2808)</f>
        <v>2.1752841650548032</v>
      </c>
      <c r="BH15" s="43">
        <f>BG15*1.6878/SQRT(32.174)</f>
        <v>0.64726847032848156</v>
      </c>
      <c r="BI15" s="42"/>
      <c r="BJ15" s="42"/>
      <c r="BK15" s="42"/>
      <c r="BL15" s="42"/>
      <c r="BM15" s="42"/>
      <c r="BN15" s="42"/>
      <c r="BO15" s="42"/>
      <c r="BP15" s="42"/>
      <c r="BQ15" s="42"/>
      <c r="BR15" s="42"/>
      <c r="BS15" s="44">
        <v>38.328530259365998</v>
      </c>
      <c r="BT15" s="44">
        <v>22.766570605187301</v>
      </c>
      <c r="BU15" s="44">
        <v>5.4755043227665698</v>
      </c>
      <c r="BV15" s="44">
        <v>6.6282420749279503</v>
      </c>
      <c r="BW15" s="44">
        <v>12.680115273775201</v>
      </c>
      <c r="BX15" s="44">
        <v>8.0691642651296807</v>
      </c>
      <c r="BY15" s="44">
        <v>6.05187319884726</v>
      </c>
      <c r="BZ15" s="43">
        <v>0</v>
      </c>
      <c r="CA15" s="43"/>
      <c r="CB15" s="43"/>
      <c r="CC15" s="42"/>
      <c r="CD15" s="42"/>
      <c r="CE15" s="42"/>
      <c r="CF15" s="42"/>
      <c r="CG15" s="42"/>
      <c r="CH15" s="42"/>
      <c r="CI15" s="42"/>
      <c r="CJ15" s="42"/>
      <c r="CK15" s="42"/>
      <c r="CL15" s="42"/>
      <c r="CM15" s="42"/>
      <c r="CN15" s="42"/>
      <c r="CO15" s="42"/>
      <c r="CP15" s="42"/>
      <c r="CQ15" s="42"/>
      <c r="CR15" s="42"/>
      <c r="CS15" s="42"/>
      <c r="CT15" s="43"/>
      <c r="CU15" s="42"/>
      <c r="CV15" s="42"/>
      <c r="CW15" s="57"/>
      <c r="CX15" s="42"/>
      <c r="CY15" s="42"/>
      <c r="CZ15" s="42"/>
      <c r="DA15" s="57"/>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row>
    <row r="16" spans="1:154" s="37" customFormat="1">
      <c r="A16" s="38"/>
      <c r="B16" s="54" t="s">
        <v>775</v>
      </c>
      <c r="C16" s="54" t="s">
        <v>768</v>
      </c>
      <c r="D16" s="54" t="s">
        <v>776</v>
      </c>
      <c r="E16" s="54" t="s">
        <v>741</v>
      </c>
      <c r="F16" s="38"/>
      <c r="G16" s="55">
        <v>38.2528651548403</v>
      </c>
      <c r="H16" s="55"/>
      <c r="I16" s="55">
        <v>39.6244818336991</v>
      </c>
      <c r="J16" s="44">
        <f t="shared" si="0"/>
        <v>39.6244818336991</v>
      </c>
      <c r="K16" s="53">
        <v>6.6447207998049302</v>
      </c>
      <c r="L16" s="53">
        <v>6.85808339429407</v>
      </c>
      <c r="M16" s="44">
        <f t="shared" si="1"/>
        <v>6.85808339429407</v>
      </c>
      <c r="N16" s="53">
        <v>3.5265788831992202</v>
      </c>
      <c r="O16" s="53">
        <v>2.2342111680077998</v>
      </c>
      <c r="P16" s="53">
        <f t="shared" si="2"/>
        <v>1.2923677151914204</v>
      </c>
      <c r="Q16" s="72">
        <v>201.179352263449</v>
      </c>
      <c r="R16" s="38"/>
      <c r="S16" s="38"/>
      <c r="T16" s="38"/>
      <c r="U16" s="38"/>
      <c r="V16" s="38"/>
      <c r="W16" s="53">
        <f t="shared" si="3"/>
        <v>11.235955056179774</v>
      </c>
      <c r="X16" s="53">
        <f t="shared" si="4"/>
        <v>5.7777777777777821</v>
      </c>
      <c r="Y16" s="53">
        <f t="shared" si="5"/>
        <v>3.0695770804911344</v>
      </c>
      <c r="Z16" s="53">
        <f>G16/O16</f>
        <v>17.121418826739458</v>
      </c>
      <c r="AA16" s="73">
        <f t="shared" si="6"/>
        <v>3.2615384615384706E-2</v>
      </c>
      <c r="AB16" s="55">
        <f t="shared" si="7"/>
        <v>90.12289485662258</v>
      </c>
      <c r="AC16" s="74">
        <f t="shared" si="8"/>
        <v>958.34076142397305</v>
      </c>
      <c r="AD16" s="74">
        <f t="shared" si="9"/>
        <v>411.48686176363321</v>
      </c>
      <c r="AE16" s="74">
        <f t="shared" si="10"/>
        <v>551.22572265606755</v>
      </c>
      <c r="AF16" s="40"/>
      <c r="AG16" s="40"/>
      <c r="AH16" s="40"/>
      <c r="AI16" s="40"/>
      <c r="AJ16" s="74">
        <v>2</v>
      </c>
      <c r="AK16" s="74">
        <v>2833.6596199999999</v>
      </c>
      <c r="AL16" s="92">
        <v>5667.3192399999998</v>
      </c>
      <c r="AM16" s="74">
        <v>75.281599611060301</v>
      </c>
      <c r="AN16" s="74">
        <v>30</v>
      </c>
      <c r="AO16" s="84"/>
      <c r="AP16" s="74" t="s">
        <v>728</v>
      </c>
      <c r="AQ16" s="74">
        <v>268</v>
      </c>
      <c r="AR16" s="37">
        <v>19</v>
      </c>
      <c r="AS16" s="74">
        <f t="shared" si="17"/>
        <v>18208.474467055486</v>
      </c>
      <c r="AT16" s="74">
        <v>55.791708246393902</v>
      </c>
      <c r="AU16" s="74">
        <v>30.105778826090901</v>
      </c>
      <c r="AV16" s="74">
        <v>9.2359611720947097</v>
      </c>
      <c r="AW16" s="74">
        <v>2.2150049895672699</v>
      </c>
      <c r="AX16" s="74">
        <v>19.609906559013002</v>
      </c>
      <c r="AY16" s="74">
        <v>20.453234146783998</v>
      </c>
      <c r="AZ16" s="74">
        <v>2.1540415494874399</v>
      </c>
      <c r="BA16" s="74">
        <v>139.565635489431</v>
      </c>
      <c r="BB16" s="74">
        <v>4.2166379388551203</v>
      </c>
      <c r="BC16" s="74">
        <v>143.782273428286</v>
      </c>
      <c r="BD16" s="95"/>
      <c r="BE16" s="74">
        <v>50.8028667331942</v>
      </c>
      <c r="BF16" s="74">
        <v>194.58514016148101</v>
      </c>
      <c r="BG16" s="38"/>
      <c r="BH16" s="38"/>
      <c r="BI16" s="74"/>
      <c r="BJ16" s="74"/>
      <c r="BK16" s="74"/>
      <c r="BL16" s="74"/>
      <c r="BM16" s="74"/>
      <c r="BN16" s="74"/>
      <c r="BO16" s="74"/>
      <c r="BP16" s="74"/>
      <c r="BQ16" s="74"/>
      <c r="BR16" s="74"/>
      <c r="BS16" s="74">
        <v>194.58514016148101</v>
      </c>
      <c r="BT16" s="55">
        <v>38.802911455020798</v>
      </c>
      <c r="BU16" s="55">
        <v>20.938449579535</v>
      </c>
      <c r="BV16" s="55">
        <v>6.4235743057027799</v>
      </c>
      <c r="BW16" s="55">
        <v>1.54052717122465</v>
      </c>
      <c r="BX16" s="55">
        <v>13.638612112218199</v>
      </c>
      <c r="BY16" s="55">
        <v>14.2251430994276</v>
      </c>
      <c r="BZ16" s="55">
        <v>1.4981273408239699</v>
      </c>
      <c r="CA16" s="38"/>
      <c r="CB16" s="38"/>
      <c r="CC16" s="38"/>
      <c r="CD16" s="38"/>
      <c r="CE16" s="38"/>
      <c r="CF16" s="38"/>
      <c r="CG16" s="38"/>
      <c r="CH16" s="38"/>
      <c r="CI16" s="38"/>
      <c r="CJ16" s="38"/>
      <c r="CK16" s="38"/>
      <c r="CL16" s="38"/>
      <c r="CM16" s="38"/>
      <c r="CN16" s="38"/>
      <c r="CO16" s="38"/>
      <c r="CP16" s="38"/>
      <c r="CQ16" s="38"/>
      <c r="CR16" s="38"/>
      <c r="CS16" s="38"/>
      <c r="CT16" s="38"/>
      <c r="CU16" s="38"/>
      <c r="CV16" s="38"/>
      <c r="CW16" s="40"/>
      <c r="CX16" s="38"/>
      <c r="CY16" s="101"/>
      <c r="CZ16" s="101"/>
      <c r="DA16" s="40"/>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row>
    <row r="17" spans="1:154" ht="12.75">
      <c r="A17" s="37"/>
      <c r="B17" s="37" t="s">
        <v>777</v>
      </c>
      <c r="C17" s="54" t="s">
        <v>768</v>
      </c>
      <c r="D17" s="37" t="s">
        <v>778</v>
      </c>
      <c r="E17" s="54" t="s">
        <v>741</v>
      </c>
      <c r="F17" s="37"/>
      <c r="G17" s="55">
        <v>40.0694952450622</v>
      </c>
      <c r="H17" s="55"/>
      <c r="I17" s="55">
        <v>36.561204584247697</v>
      </c>
      <c r="J17" s="44">
        <f t="shared" si="0"/>
        <v>36.561204584247697</v>
      </c>
      <c r="K17" s="53">
        <v>6.9708607656669104</v>
      </c>
      <c r="L17" s="53">
        <v>7.5012192148256496</v>
      </c>
      <c r="M17" s="44">
        <f t="shared" si="1"/>
        <v>7.5012192148256496</v>
      </c>
      <c r="N17" s="53">
        <v>5.7485979029505003</v>
      </c>
      <c r="O17" s="53">
        <v>1.4691538649110001</v>
      </c>
      <c r="P17" s="53">
        <f t="shared" si="2"/>
        <v>4.2794440380395002</v>
      </c>
      <c r="Q17" s="72">
        <v>178.17</v>
      </c>
      <c r="R17" s="73"/>
      <c r="S17" s="73"/>
      <c r="T17" s="73"/>
      <c r="U17" s="37"/>
      <c r="V17" s="37"/>
      <c r="W17" s="53">
        <f t="shared" si="3"/>
        <v>6.3600212089077326</v>
      </c>
      <c r="X17" s="53">
        <f t="shared" si="4"/>
        <v>4.8740349451442455</v>
      </c>
      <c r="Y17" s="53">
        <f t="shared" si="5"/>
        <v>5.1058091286306944</v>
      </c>
      <c r="Z17" s="53">
        <f>G17/O17</f>
        <v>27.273858921161789</v>
      </c>
      <c r="AA17" s="73">
        <f t="shared" si="6"/>
        <v>0.11704877032096715</v>
      </c>
      <c r="AB17" s="55">
        <f t="shared" si="7"/>
        <v>101.60512344519863</v>
      </c>
      <c r="AC17" s="74">
        <f t="shared" si="8"/>
        <v>1576.5737293031714</v>
      </c>
      <c r="AD17" s="74">
        <f t="shared" si="9"/>
        <v>484.42927434688096</v>
      </c>
      <c r="AE17" s="74">
        <f t="shared" si="10"/>
        <v>694.60493834923147</v>
      </c>
      <c r="AF17" s="41"/>
      <c r="AG17" s="41"/>
      <c r="AH17" s="41"/>
      <c r="AI17" s="41"/>
      <c r="AJ17" s="74">
        <v>2</v>
      </c>
      <c r="AK17" s="74">
        <v>2238</v>
      </c>
      <c r="AL17" s="92">
        <v>4476</v>
      </c>
      <c r="AM17" s="74">
        <v>66.902914734710905</v>
      </c>
      <c r="AN17" s="74">
        <v>29.4</v>
      </c>
      <c r="AO17" s="74">
        <v>10</v>
      </c>
      <c r="AP17" s="74" t="s">
        <v>728</v>
      </c>
      <c r="AQ17" s="74">
        <v>380</v>
      </c>
      <c r="AR17" s="37">
        <v>18</v>
      </c>
      <c r="AS17" s="74">
        <f t="shared" si="17"/>
        <v>28378.327127457083</v>
      </c>
      <c r="AT17" s="74">
        <v>41.22</v>
      </c>
      <c r="AU17" s="74">
        <v>29.1</v>
      </c>
      <c r="AV17" s="74">
        <v>14.77</v>
      </c>
      <c r="AW17" s="74">
        <v>3.71</v>
      </c>
      <c r="AX17" s="74">
        <v>29.07</v>
      </c>
      <c r="AY17" s="74">
        <v>18.28</v>
      </c>
      <c r="AZ17" s="74">
        <v>3.82</v>
      </c>
      <c r="BA17" s="74">
        <v>139.97</v>
      </c>
      <c r="BB17" s="74">
        <v>11.19</v>
      </c>
      <c r="BC17" s="74">
        <v>151.16</v>
      </c>
      <c r="BD17" s="95"/>
      <c r="BE17" s="74">
        <v>27.01</v>
      </c>
      <c r="BF17" s="74">
        <v>178.17</v>
      </c>
      <c r="BG17" s="37"/>
      <c r="BH17" s="37"/>
      <c r="BI17" s="74"/>
      <c r="BJ17" s="74"/>
      <c r="BK17" s="74"/>
      <c r="BL17" s="74"/>
      <c r="BM17" s="74"/>
      <c r="BN17" s="74"/>
      <c r="BO17" s="74"/>
      <c r="BP17" s="74"/>
      <c r="BQ17" s="74"/>
      <c r="BR17" s="74"/>
      <c r="BS17" s="74">
        <v>178.17</v>
      </c>
      <c r="BT17" s="55">
        <v>27.269118814501201</v>
      </c>
      <c r="BU17" s="55">
        <v>19.2511246361471</v>
      </c>
      <c r="BV17" s="55">
        <v>9.7711034665255401</v>
      </c>
      <c r="BW17" s="55">
        <v>2.45435300344006</v>
      </c>
      <c r="BX17" s="55">
        <v>19.231278115903699</v>
      </c>
      <c r="BY17" s="55">
        <v>12.093146335009299</v>
      </c>
      <c r="BZ17" s="55">
        <v>2.5271235776660501</v>
      </c>
      <c r="CA17" s="37"/>
      <c r="CB17" s="37"/>
      <c r="CC17" s="37"/>
      <c r="CD17" s="37"/>
      <c r="CE17" s="37"/>
      <c r="CF17" s="37"/>
      <c r="CG17" s="37"/>
      <c r="CH17" s="37"/>
      <c r="CI17" s="37"/>
      <c r="CJ17" s="37"/>
      <c r="CK17" s="37"/>
      <c r="CL17" s="37"/>
      <c r="CM17" s="37"/>
      <c r="CN17" s="37"/>
      <c r="CO17" s="37"/>
      <c r="CP17" s="37"/>
      <c r="CQ17" s="37"/>
      <c r="CR17" s="37"/>
      <c r="CS17" s="37"/>
      <c r="CT17" s="37"/>
      <c r="CU17" s="37"/>
      <c r="CV17" s="37"/>
      <c r="CW17" s="41"/>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row>
    <row r="18" spans="1:154">
      <c r="A18" s="37"/>
      <c r="B18" s="37" t="s">
        <v>779</v>
      </c>
      <c r="C18" s="54" t="s">
        <v>768</v>
      </c>
      <c r="D18" s="37" t="s">
        <v>780</v>
      </c>
      <c r="E18" s="54" t="s">
        <v>741</v>
      </c>
      <c r="F18" s="37"/>
      <c r="G18" s="55">
        <v>43.7088514996342</v>
      </c>
      <c r="H18" s="55"/>
      <c r="I18" s="55">
        <v>39.380638868568603</v>
      </c>
      <c r="J18" s="44">
        <f t="shared" si="0"/>
        <v>39.380638868568603</v>
      </c>
      <c r="K18" s="53">
        <v>7.4372104364789102</v>
      </c>
      <c r="L18" s="53">
        <v>8.1382589612289706</v>
      </c>
      <c r="M18" s="44">
        <f t="shared" si="1"/>
        <v>8.1382589612289706</v>
      </c>
      <c r="N18" s="53">
        <v>3.9411119239209902</v>
      </c>
      <c r="O18" s="53">
        <v>1.60021945866862</v>
      </c>
      <c r="P18" s="53">
        <f t="shared" si="2"/>
        <v>2.3408924652523702</v>
      </c>
      <c r="Q18" s="74">
        <v>205.18261816202499</v>
      </c>
      <c r="R18" s="37">
        <v>0.55700000000000005</v>
      </c>
      <c r="S18" s="37">
        <v>0.64500000000000002</v>
      </c>
      <c r="T18" s="37">
        <v>0.863565891472868</v>
      </c>
      <c r="U18" s="37"/>
      <c r="V18" s="37"/>
      <c r="W18" s="53">
        <f t="shared" si="3"/>
        <v>9.9922660479505048</v>
      </c>
      <c r="X18" s="53">
        <f t="shared" si="4"/>
        <v>4.8389513108614173</v>
      </c>
      <c r="Y18" s="53">
        <f t="shared" si="5"/>
        <v>5.0857142857142783</v>
      </c>
      <c r="Z18" s="53">
        <v>24.6095238095238</v>
      </c>
      <c r="AA18" s="73">
        <f t="shared" si="6"/>
        <v>5.9442724458204206E-2</v>
      </c>
      <c r="AB18" s="55">
        <f t="shared" si="7"/>
        <v>93.634266118195669</v>
      </c>
      <c r="AC18" s="74">
        <f t="shared" si="8"/>
        <v>1263.086318770323</v>
      </c>
      <c r="AD18" s="74">
        <f t="shared" si="9"/>
        <v>475.6933425875925</v>
      </c>
      <c r="AE18" s="74">
        <f t="shared" si="10"/>
        <v>630.89684800413465</v>
      </c>
      <c r="AF18" s="40"/>
      <c r="AG18" s="40"/>
      <c r="AH18" s="40"/>
      <c r="AI18" s="40"/>
      <c r="AJ18" s="74">
        <v>2</v>
      </c>
      <c r="AK18" s="74">
        <v>2720.3132351999998</v>
      </c>
      <c r="AL18" s="92">
        <v>5440.6264703999996</v>
      </c>
      <c r="AM18" s="74">
        <v>73.760602427040993</v>
      </c>
      <c r="AN18" s="74">
        <v>30</v>
      </c>
      <c r="AO18" s="74">
        <v>12</v>
      </c>
      <c r="AP18" s="74" t="s">
        <v>728</v>
      </c>
      <c r="AQ18" s="74">
        <v>150</v>
      </c>
      <c r="AR18" s="37">
        <v>21</v>
      </c>
      <c r="AS18" s="74">
        <f t="shared" si="17"/>
        <v>26524.812694176784</v>
      </c>
      <c r="AT18" s="74">
        <v>51.351537693912697</v>
      </c>
      <c r="AU18" s="74">
        <v>26.773110768393401</v>
      </c>
      <c r="AV18" s="74">
        <v>11.6033747618616</v>
      </c>
      <c r="AW18" s="74">
        <v>2.0117935226344899</v>
      </c>
      <c r="AX18" s="74">
        <v>20.361788986664202</v>
      </c>
      <c r="AY18" s="74">
        <v>27.006803955366099</v>
      </c>
      <c r="AZ18" s="74">
        <v>2.2556472829538201</v>
      </c>
      <c r="BA18" s="74">
        <v>141.364056971786</v>
      </c>
      <c r="BB18" s="74">
        <v>4.2674408055883104</v>
      </c>
      <c r="BC18" s="74">
        <v>145.63149777737499</v>
      </c>
      <c r="BD18" s="95"/>
      <c r="BE18" s="74">
        <v>59.551120384650297</v>
      </c>
      <c r="BF18" s="74">
        <v>205.18261816202499</v>
      </c>
      <c r="BG18" s="37"/>
      <c r="BH18" s="37"/>
      <c r="BI18" s="74"/>
      <c r="BJ18" s="74"/>
      <c r="BK18" s="74"/>
      <c r="BL18" s="74"/>
      <c r="BM18" s="74"/>
      <c r="BN18" s="74"/>
      <c r="BO18" s="74"/>
      <c r="BP18" s="74"/>
      <c r="BQ18" s="74"/>
      <c r="BR18" s="74"/>
      <c r="BS18" s="74">
        <v>205.18261816202499</v>
      </c>
      <c r="BT18" s="55">
        <v>35.261285146166202</v>
      </c>
      <c r="BU18" s="55">
        <v>18.384148468568998</v>
      </c>
      <c r="BV18" s="55">
        <v>7.9676271541198602</v>
      </c>
      <c r="BW18" s="55">
        <v>1.3814274750575599</v>
      </c>
      <c r="BX18" s="55">
        <v>13.981720505127999</v>
      </c>
      <c r="BY18" s="55">
        <v>18.544617316681801</v>
      </c>
      <c r="BZ18" s="55">
        <v>1.5488732296099901</v>
      </c>
      <c r="CA18" s="37"/>
      <c r="CB18" s="37"/>
      <c r="CC18" s="37"/>
      <c r="CD18" s="37"/>
      <c r="CE18" s="37"/>
      <c r="CF18" s="37"/>
      <c r="CG18" s="37"/>
      <c r="CH18" s="37"/>
      <c r="CI18" s="37"/>
      <c r="CJ18" s="37"/>
      <c r="CK18" s="37"/>
      <c r="CL18" s="37"/>
      <c r="CM18" s="37"/>
      <c r="CN18" s="37"/>
      <c r="CO18" s="37"/>
      <c r="CP18" s="37"/>
      <c r="CQ18" s="37"/>
      <c r="CR18" s="37"/>
      <c r="CS18" s="37"/>
      <c r="CT18" s="37"/>
      <c r="CU18" s="37"/>
      <c r="CV18" s="37"/>
      <c r="CW18" s="40"/>
      <c r="CX18" s="37"/>
      <c r="CY18" s="74"/>
      <c r="CZ18" s="74"/>
      <c r="DA18" s="74"/>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row>
    <row r="19" spans="1:154">
      <c r="A19" s="37" t="s">
        <v>782</v>
      </c>
      <c r="B19" s="37" t="s">
        <v>783</v>
      </c>
      <c r="C19" s="37" t="s">
        <v>768</v>
      </c>
      <c r="D19" s="37" t="s">
        <v>784</v>
      </c>
      <c r="E19" s="37" t="s">
        <v>741</v>
      </c>
      <c r="F19" s="37">
        <v>1991</v>
      </c>
      <c r="G19" s="53">
        <v>36.637405510851003</v>
      </c>
      <c r="H19" s="53"/>
      <c r="I19" s="53">
        <v>33.528407705437701</v>
      </c>
      <c r="J19" s="44">
        <f t="shared" si="0"/>
        <v>33.528407705437701</v>
      </c>
      <c r="K19" s="65">
        <v>6.0960741282614004</v>
      </c>
      <c r="L19" s="53">
        <v>6.8885637649353804</v>
      </c>
      <c r="M19" s="44">
        <f t="shared" si="1"/>
        <v>6.8885637649353804</v>
      </c>
      <c r="N19" s="53">
        <v>3.6576444769568401</v>
      </c>
      <c r="O19" s="53">
        <v>1.4935381614240399</v>
      </c>
      <c r="P19" s="53">
        <f t="shared" si="2"/>
        <v>2.1641063155328002</v>
      </c>
      <c r="Q19" s="55">
        <v>162.4</v>
      </c>
      <c r="R19" s="37"/>
      <c r="S19" s="37"/>
      <c r="T19" s="37"/>
      <c r="U19" s="37"/>
      <c r="V19" s="37"/>
      <c r="W19" s="53">
        <f t="shared" si="3"/>
        <v>9.1666666666666661</v>
      </c>
      <c r="X19" s="53">
        <f t="shared" si="4"/>
        <v>4.8672566371681425</v>
      </c>
      <c r="Y19" s="53">
        <f t="shared" si="5"/>
        <v>4.6122448979591919</v>
      </c>
      <c r="Z19" s="53">
        <f>I19/O19</f>
        <v>22.448979591836782</v>
      </c>
      <c r="AA19" s="73">
        <f t="shared" si="6"/>
        <v>6.4545454545454642E-2</v>
      </c>
      <c r="AB19" s="55">
        <f t="shared" si="7"/>
        <v>120.08527422990228</v>
      </c>
      <c r="AC19" s="74">
        <f t="shared" si="8"/>
        <v>844.77898469516595</v>
      </c>
      <c r="AD19" s="74">
        <f t="shared" si="9"/>
        <v>353.59756968060969</v>
      </c>
      <c r="AE19" s="74">
        <f t="shared" si="10"/>
        <v>476.23256494556102</v>
      </c>
      <c r="AJ19" s="74">
        <v>2</v>
      </c>
      <c r="AK19" s="74">
        <f>AL19/AJ19</f>
        <v>2642</v>
      </c>
      <c r="AL19" s="92">
        <f>2642*2</f>
        <v>5284</v>
      </c>
      <c r="AM19" s="74">
        <f>AL19^0.5</f>
        <v>72.691127381544987</v>
      </c>
      <c r="AN19" s="74">
        <v>28</v>
      </c>
      <c r="AO19" s="84"/>
      <c r="AP19" s="37" t="s">
        <v>728</v>
      </c>
      <c r="AQ19" s="74">
        <f>2*135</f>
        <v>270</v>
      </c>
      <c r="AR19" s="74">
        <v>20</v>
      </c>
      <c r="AS19" s="74">
        <f t="shared" si="17"/>
        <v>16895.579693903317</v>
      </c>
      <c r="AT19" s="74">
        <v>44.472829538238202</v>
      </c>
      <c r="AU19" s="74">
        <v>24.517463485439499</v>
      </c>
      <c r="AV19" s="74">
        <v>10.5466751338111</v>
      </c>
      <c r="AW19" s="74">
        <v>2.5909462033929098</v>
      </c>
      <c r="AX19" s="74">
        <v>18.156944570443599</v>
      </c>
      <c r="AY19" s="74">
        <v>20.1280957996916</v>
      </c>
      <c r="AZ19" s="74">
        <v>2.2251655629139102</v>
      </c>
      <c r="BA19" s="74">
        <f>SUM(AT19:AZ19)</f>
        <v>122.63812029393084</v>
      </c>
      <c r="BB19" s="74">
        <v>15.332305180078</v>
      </c>
      <c r="BC19" s="74">
        <f>BA19+BB19</f>
        <v>137.97042547400883</v>
      </c>
      <c r="BD19" s="95"/>
      <c r="BE19" s="74">
        <v>27.027125102059301</v>
      </c>
      <c r="BF19" s="74">
        <f>SUM(BC19:BE19)</f>
        <v>164.99755057606814</v>
      </c>
      <c r="BG19" s="37"/>
      <c r="BH19" s="37"/>
      <c r="BI19" s="74"/>
      <c r="BJ19" s="74"/>
      <c r="BK19" s="74"/>
      <c r="BL19" s="74"/>
      <c r="BM19" s="74"/>
      <c r="BN19" s="74"/>
      <c r="BO19" s="74"/>
      <c r="BP19" s="74"/>
      <c r="BQ19" s="74"/>
      <c r="BR19" s="74"/>
      <c r="BS19" s="55">
        <f t="shared" ref="BS19:BY19" si="18">AT19/$BC19*100</f>
        <v>32.233595993813971</v>
      </c>
      <c r="BT19" s="55">
        <f t="shared" si="18"/>
        <v>17.770086162456717</v>
      </c>
      <c r="BU19" s="55">
        <f t="shared" si="18"/>
        <v>7.6441564179983672</v>
      </c>
      <c r="BV19" s="55">
        <f t="shared" si="18"/>
        <v>1.8778996980631895</v>
      </c>
      <c r="BW19" s="55">
        <f t="shared" si="18"/>
        <v>13.160026511525141</v>
      </c>
      <c r="BX19" s="55">
        <f t="shared" si="18"/>
        <v>14.588703144561494</v>
      </c>
      <c r="BY19" s="55">
        <f t="shared" si="18"/>
        <v>1.6127844465719152</v>
      </c>
      <c r="BZ19" s="55">
        <f>BB19/$BC19*100</f>
        <v>11.112747625009197</v>
      </c>
      <c r="CA19" s="37"/>
      <c r="CB19" s="37"/>
      <c r="CC19" s="37"/>
      <c r="CD19" s="37"/>
      <c r="CE19" s="37"/>
      <c r="CF19" s="37"/>
      <c r="CG19" s="37"/>
      <c r="CH19" s="37"/>
      <c r="CI19" s="37"/>
      <c r="CJ19" s="37"/>
      <c r="CK19" s="37"/>
      <c r="CL19" s="37"/>
      <c r="CM19" s="37"/>
      <c r="CN19" s="37"/>
      <c r="CO19" s="37"/>
      <c r="CP19" s="37"/>
      <c r="CQ19" s="37"/>
      <c r="CR19" s="37"/>
      <c r="CS19" s="37"/>
      <c r="CT19" s="37"/>
      <c r="CU19" s="37"/>
      <c r="CV19" s="37"/>
      <c r="CX19" s="37"/>
      <c r="CY19" s="74"/>
      <c r="CZ19" s="74"/>
      <c r="DA19" s="74"/>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row>
    <row r="20" spans="1:154" s="37" customFormat="1" ht="12.75">
      <c r="A20" s="37" t="s">
        <v>535</v>
      </c>
      <c r="B20" s="41"/>
      <c r="C20" s="37" t="s">
        <v>768</v>
      </c>
      <c r="D20" s="37" t="s">
        <v>785</v>
      </c>
      <c r="E20" s="37" t="s">
        <v>741</v>
      </c>
      <c r="F20" s="37">
        <v>2005</v>
      </c>
      <c r="G20" s="53">
        <f>350/3.2808</f>
        <v>106.68129724457449</v>
      </c>
      <c r="H20" s="55">
        <f>330/3.2808</f>
        <v>100.58522311631309</v>
      </c>
      <c r="I20" s="53">
        <f>330/3.2808</f>
        <v>100.58522311631309</v>
      </c>
      <c r="J20" s="44">
        <f t="shared" si="0"/>
        <v>100.58522311631309</v>
      </c>
      <c r="K20" s="53">
        <v>14.5861273673088</v>
      </c>
      <c r="L20" s="53">
        <v>15.589439567585099</v>
      </c>
      <c r="M20" s="44">
        <f t="shared" si="1"/>
        <v>15.589439567585099</v>
      </c>
      <c r="N20" s="53">
        <v>8.7631065593757604</v>
      </c>
      <c r="O20" s="53">
        <f>13.77/3.2808</f>
        <v>4.1971470373079729</v>
      </c>
      <c r="P20" s="53">
        <f t="shared" si="2"/>
        <v>4.5659595220677875</v>
      </c>
      <c r="Q20" s="55">
        <v>3287.7586705826998</v>
      </c>
      <c r="R20" s="73">
        <f>Q20/1.0256/(I20*K20*O20)</f>
        <v>0.52058727773259894</v>
      </c>
      <c r="S20" s="73"/>
      <c r="T20" s="73"/>
      <c r="U20" s="75"/>
      <c r="V20" s="75"/>
      <c r="W20" s="53">
        <f t="shared" si="3"/>
        <v>11.478260869565219</v>
      </c>
      <c r="X20" s="53">
        <f t="shared" si="4"/>
        <v>6.4521384928717076</v>
      </c>
      <c r="Y20" s="53">
        <f t="shared" si="5"/>
        <v>3.7142943597191871</v>
      </c>
      <c r="Z20" s="53">
        <f>I20/O20</f>
        <v>23.965141612200437</v>
      </c>
      <c r="AA20" s="73">
        <f t="shared" si="6"/>
        <v>4.5393939393939389E-2</v>
      </c>
      <c r="AB20" s="55">
        <f t="shared" si="7"/>
        <v>90.040914422245621</v>
      </c>
      <c r="AC20" s="74">
        <f t="shared" si="8"/>
        <v>13741.140466794688</v>
      </c>
      <c r="AD20" s="74">
        <f t="shared" si="9"/>
        <v>2449.506285630664</v>
      </c>
      <c r="AE20" s="74">
        <f t="shared" si="10"/>
        <v>3330.9453140975015</v>
      </c>
      <c r="AF20" s="57"/>
      <c r="AG20" s="57"/>
      <c r="AH20" s="57"/>
      <c r="AI20" s="57"/>
      <c r="AJ20" s="74">
        <v>2</v>
      </c>
      <c r="AK20" s="55">
        <f>AL20/AJ20</f>
        <v>14399.467000000001</v>
      </c>
      <c r="AL20" s="93">
        <f>38620*0.7457</f>
        <v>28798.934000000001</v>
      </c>
      <c r="AM20" s="74">
        <f>AL20^0.5</f>
        <v>169.70248672308841</v>
      </c>
      <c r="AN20" s="74">
        <v>26.5</v>
      </c>
      <c r="AO20" s="74">
        <v>10</v>
      </c>
      <c r="AP20" s="37" t="s">
        <v>786</v>
      </c>
      <c r="AQ20" s="74">
        <v>3640</v>
      </c>
      <c r="AR20" s="74">
        <v>94</v>
      </c>
      <c r="AS20" s="74">
        <f t="shared" si="17"/>
        <v>1291667.2038787007</v>
      </c>
      <c r="AT20" s="74">
        <v>1188.39746909366</v>
      </c>
      <c r="AU20" s="74">
        <v>459.43917879343201</v>
      </c>
      <c r="AV20" s="74">
        <v>93.616853247296007</v>
      </c>
      <c r="AW20" s="74">
        <v>22.8181593796151</v>
      </c>
      <c r="AX20" s="74">
        <v>280.461523415025</v>
      </c>
      <c r="AY20" s="74">
        <v>279.82100951070402</v>
      </c>
      <c r="AZ20" s="74">
        <v>12.462913907284801</v>
      </c>
      <c r="BA20" s="74">
        <f>SUM(AT20:AZ20)</f>
        <v>2337.0171073470174</v>
      </c>
      <c r="BB20" s="74">
        <v>353.82439005233903</v>
      </c>
      <c r="BC20" s="74">
        <f>SUM(BA20:BB20)</f>
        <v>2690.8414973993563</v>
      </c>
      <c r="BD20" s="95"/>
      <c r="BE20" s="74">
        <v>587.48374999999999</v>
      </c>
      <c r="BF20" s="74">
        <f>SUM(BC20:BE20)</f>
        <v>3278.3252473993562</v>
      </c>
      <c r="BG20" s="41"/>
      <c r="BH20" s="41"/>
      <c r="BI20" s="74"/>
      <c r="BJ20" s="74"/>
      <c r="BK20" s="74"/>
      <c r="BL20" s="74"/>
      <c r="BM20" s="74"/>
      <c r="BN20" s="74"/>
      <c r="BO20" s="74"/>
      <c r="BP20" s="74"/>
      <c r="BQ20" s="74"/>
      <c r="BR20" s="74"/>
      <c r="BS20" s="55">
        <v>34.110787172011698</v>
      </c>
      <c r="BT20" s="55">
        <v>16.618075801749299</v>
      </c>
      <c r="BU20" s="55">
        <v>9.0379008746355698</v>
      </c>
      <c r="BV20" s="55">
        <v>4.6647230320699702</v>
      </c>
      <c r="BW20" s="55">
        <v>14.5772594752187</v>
      </c>
      <c r="BX20" s="55">
        <v>11.9533527696793</v>
      </c>
      <c r="BY20" s="55">
        <v>9.0379008746355698</v>
      </c>
      <c r="BZ20" s="37">
        <v>0</v>
      </c>
      <c r="CA20" s="41"/>
      <c r="CB20" s="41"/>
      <c r="CC20" s="41"/>
      <c r="CD20" s="41"/>
      <c r="CE20" s="41"/>
      <c r="CF20" s="41"/>
      <c r="CG20" s="41"/>
      <c r="CH20" s="41"/>
      <c r="CI20" s="41"/>
      <c r="CJ20" s="41"/>
      <c r="CK20" s="41"/>
      <c r="CL20" s="41"/>
      <c r="CM20" s="41"/>
      <c r="CN20" s="41"/>
      <c r="CO20" s="41"/>
      <c r="CP20" s="41"/>
      <c r="CQ20" s="41"/>
      <c r="CR20" s="41"/>
      <c r="CS20" s="41"/>
      <c r="CT20" s="41"/>
      <c r="CU20" s="41"/>
      <c r="CV20" s="41"/>
      <c r="CW20" s="102"/>
      <c r="CX20" s="41"/>
      <c r="CY20" s="74"/>
      <c r="CZ20" s="74"/>
      <c r="DA20" s="74">
        <v>3992</v>
      </c>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row>
    <row r="21" spans="1:154" s="37" customFormat="1" ht="12.75">
      <c r="B21" s="41"/>
      <c r="C21" s="41"/>
      <c r="G21" s="53"/>
      <c r="H21" s="55"/>
      <c r="I21" s="53"/>
      <c r="J21" s="44"/>
      <c r="K21" s="53"/>
      <c r="L21" s="53"/>
      <c r="M21" s="44"/>
      <c r="N21" s="53"/>
      <c r="O21" s="53"/>
      <c r="P21" s="53"/>
      <c r="Q21" s="55"/>
      <c r="R21" s="75"/>
      <c r="S21" s="75"/>
      <c r="T21" s="75"/>
      <c r="U21" s="75"/>
      <c r="V21" s="75"/>
      <c r="W21" s="53"/>
      <c r="X21" s="53"/>
      <c r="Y21" s="53"/>
      <c r="Z21" s="53"/>
      <c r="AA21" s="73"/>
      <c r="AB21" s="55"/>
      <c r="AC21" s="74"/>
      <c r="AD21" s="74"/>
      <c r="AE21" s="74"/>
      <c r="AF21" s="57"/>
      <c r="AG21" s="57"/>
      <c r="AH21" s="57"/>
      <c r="AI21" s="57"/>
      <c r="AJ21" s="74"/>
      <c r="AK21" s="55"/>
      <c r="AL21" s="74"/>
      <c r="AM21" s="74"/>
      <c r="AN21" s="74"/>
      <c r="AO21" s="74"/>
      <c r="AQ21" s="74"/>
      <c r="AR21" s="74"/>
      <c r="AS21" s="74"/>
      <c r="AT21" s="74"/>
      <c r="AU21" s="74"/>
      <c r="AV21" s="74"/>
      <c r="AW21" s="74"/>
      <c r="AX21" s="74"/>
      <c r="AY21" s="74"/>
      <c r="AZ21" s="74"/>
      <c r="BA21" s="74"/>
      <c r="BB21" s="74"/>
      <c r="BC21" s="74"/>
      <c r="BD21" s="95"/>
      <c r="BE21" s="74"/>
      <c r="BF21" s="74"/>
      <c r="BG21" s="41"/>
      <c r="BH21" s="41"/>
      <c r="BI21" s="74"/>
      <c r="BJ21" s="74"/>
      <c r="BK21" s="74"/>
      <c r="BL21" s="74"/>
      <c r="BM21" s="74"/>
      <c r="BN21" s="74"/>
      <c r="BO21" s="74"/>
      <c r="BP21" s="74"/>
      <c r="BQ21" s="74"/>
      <c r="BR21" s="74"/>
      <c r="BS21" s="55"/>
      <c r="BT21" s="55"/>
      <c r="BU21" s="55"/>
      <c r="BV21" s="55"/>
      <c r="BW21" s="55"/>
      <c r="BX21" s="55"/>
      <c r="BY21" s="55"/>
      <c r="CA21" s="41"/>
      <c r="CB21" s="41"/>
      <c r="CC21" s="41"/>
      <c r="CD21" s="41"/>
      <c r="CE21" s="41"/>
      <c r="CF21" s="41"/>
      <c r="CG21" s="41"/>
      <c r="CH21" s="41"/>
      <c r="CI21" s="41"/>
      <c r="CJ21" s="41"/>
      <c r="CK21" s="41"/>
      <c r="CL21" s="41"/>
      <c r="CM21" s="41"/>
      <c r="CN21" s="41"/>
      <c r="CO21" s="41"/>
      <c r="CP21" s="41"/>
      <c r="CQ21" s="41"/>
      <c r="CR21" s="41"/>
      <c r="CS21" s="41"/>
      <c r="CT21" s="41"/>
      <c r="CU21" s="41"/>
      <c r="CV21" s="41"/>
      <c r="CW21" s="102"/>
      <c r="CX21" s="41"/>
      <c r="CY21" s="74"/>
      <c r="CZ21" s="74"/>
      <c r="DA21" s="74"/>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row>
    <row r="22" spans="1:154" s="39" customFormat="1" ht="12.75">
      <c r="A22" s="42"/>
      <c r="B22" s="42" t="s">
        <v>787</v>
      </c>
      <c r="C22" s="42" t="s">
        <v>788</v>
      </c>
      <c r="D22" s="42" t="s">
        <v>789</v>
      </c>
      <c r="E22" s="56" t="s">
        <v>720</v>
      </c>
      <c r="F22" s="42"/>
      <c r="G22" s="42">
        <v>47.5</v>
      </c>
      <c r="H22" s="42"/>
      <c r="I22" s="42">
        <v>43.2</v>
      </c>
      <c r="J22" s="44">
        <f t="shared" ref="J22:J29" si="19">IF(I22="",H22,I22)</f>
        <v>43.2</v>
      </c>
      <c r="K22" s="42">
        <v>8.6</v>
      </c>
      <c r="L22" s="42"/>
      <c r="M22" s="44">
        <f t="shared" ref="M22:M29" si="20">IF(L22="",K22,L22)</f>
        <v>8.6</v>
      </c>
      <c r="N22" s="42">
        <v>4.8</v>
      </c>
      <c r="O22" s="42">
        <v>2.2000000000000002</v>
      </c>
      <c r="P22" s="42">
        <f t="shared" ref="P22:P29" si="21">N22-O22</f>
        <v>2.5999999999999996</v>
      </c>
      <c r="Q22" s="76">
        <v>335</v>
      </c>
      <c r="R22" s="77"/>
      <c r="S22" s="77"/>
      <c r="T22" s="77"/>
      <c r="U22" s="77"/>
      <c r="V22" s="42"/>
      <c r="W22" s="53">
        <f t="shared" ref="W22:W29" si="22">J22/N22</f>
        <v>9.0000000000000018</v>
      </c>
      <c r="X22" s="53">
        <f t="shared" ref="X22:X29" si="23">J22/M22</f>
        <v>5.0232558139534893</v>
      </c>
      <c r="Y22" s="53">
        <f t="shared" ref="Y22:Y29" si="24">M22/O22</f>
        <v>3.9090909090909087</v>
      </c>
      <c r="Z22" s="83">
        <f t="shared" ref="Z22:Z29" si="25">J22/O22</f>
        <v>19.636363636363637</v>
      </c>
      <c r="AA22" s="73">
        <f t="shared" ref="AA22:AA29" si="26">P22/J22</f>
        <v>6.0185185185185175E-2</v>
      </c>
      <c r="AB22" s="55">
        <f t="shared" ref="AB22:AB29" si="27">(Q22*2204.6/2240)/(0.01*J22*3.2808)^3</f>
        <v>115.80733897570639</v>
      </c>
      <c r="AC22" s="74">
        <f t="shared" ref="AC22:AC29" si="28">J22*M22*N22</f>
        <v>1783.2959999999998</v>
      </c>
      <c r="AD22" s="74">
        <f t="shared" ref="AD22:AD29" si="29">J22*(M22+N22)</f>
        <v>578.88</v>
      </c>
      <c r="AE22" s="74">
        <f t="shared" ref="AE22:AE29" si="30">J22*(M22+2*N22)</f>
        <v>786.24</v>
      </c>
      <c r="AF22" s="43"/>
      <c r="AG22" s="43"/>
      <c r="AH22" s="43"/>
      <c r="AI22" s="43"/>
      <c r="AJ22" s="42">
        <v>2</v>
      </c>
      <c r="AK22" s="42">
        <f>358*0.7457</f>
        <v>266.9606</v>
      </c>
      <c r="AL22" s="42">
        <f t="shared" ref="AL22:AL29" si="31">AJ22*AK22</f>
        <v>533.9212</v>
      </c>
      <c r="AM22" s="76">
        <f t="shared" ref="AM22:AM29" si="32">AL22^0.5</f>
        <v>23.10673494892777</v>
      </c>
      <c r="AN22" s="42">
        <v>15.6</v>
      </c>
      <c r="AO22" s="42">
        <v>12</v>
      </c>
      <c r="AP22" s="42" t="s">
        <v>728</v>
      </c>
      <c r="AQ22" s="42">
        <v>585</v>
      </c>
      <c r="AR22" s="42">
        <v>26</v>
      </c>
      <c r="AS22" s="46">
        <f t="shared" ref="AS22:AS29" si="33">AR22*AC22</f>
        <v>46365.695999999996</v>
      </c>
      <c r="AT22" s="96">
        <f t="shared" ref="AT22:AZ25" si="34">BS22/100*$BA22</f>
        <v>165.45570427023594</v>
      </c>
      <c r="AU22" s="96">
        <f t="shared" si="34"/>
        <v>43.244104525175388</v>
      </c>
      <c r="AV22" s="96">
        <f t="shared" si="34"/>
        <v>22.562141491395781</v>
      </c>
      <c r="AW22" s="96">
        <f t="shared" si="34"/>
        <v>7.3326959847036335</v>
      </c>
      <c r="AX22" s="96">
        <f t="shared" si="34"/>
        <v>17.485659655831743</v>
      </c>
      <c r="AY22" s="96">
        <f t="shared" si="34"/>
        <v>12.033142128744437</v>
      </c>
      <c r="AZ22" s="96">
        <f t="shared" si="34"/>
        <v>26.886551943913322</v>
      </c>
      <c r="BA22" s="76">
        <v>295</v>
      </c>
      <c r="BB22" s="42">
        <f>BZ22/100*$BA22</f>
        <v>0</v>
      </c>
      <c r="BC22" s="76">
        <f t="shared" ref="BC22:BC29" si="35">BA22+BB22</f>
        <v>295</v>
      </c>
      <c r="BD22" s="42">
        <v>0</v>
      </c>
      <c r="BE22" s="76">
        <f t="shared" ref="BE22:BE29" si="36">BF22-BC22</f>
        <v>40</v>
      </c>
      <c r="BF22" s="42">
        <f t="shared" ref="BF22:BF29" si="37">Q22</f>
        <v>335</v>
      </c>
      <c r="BG22" s="43">
        <f t="shared" ref="BG22:BG29" si="38">AN22/SQRT(J22*3.2808)</f>
        <v>1.3103666965625669</v>
      </c>
      <c r="BH22" s="43">
        <f t="shared" ref="BH22:BH29" si="39">BG22*1.6878/SQRT(32.174)</f>
        <v>0.38990724103030933</v>
      </c>
      <c r="BI22" s="42"/>
      <c r="BJ22" s="42"/>
      <c r="BK22" s="42"/>
      <c r="BL22" s="42"/>
      <c r="BM22" s="42"/>
      <c r="BN22" s="42"/>
      <c r="BO22" s="42"/>
      <c r="BP22" s="42"/>
      <c r="BQ22" s="42"/>
      <c r="BR22" s="42"/>
      <c r="BS22" s="66">
        <v>56.086679413639303</v>
      </c>
      <c r="BT22" s="66">
        <v>14.6590184831103</v>
      </c>
      <c r="BU22" s="66">
        <v>7.6481835564053497</v>
      </c>
      <c r="BV22" s="66">
        <v>2.4856596558317401</v>
      </c>
      <c r="BW22" s="66">
        <v>5.9273422562141498</v>
      </c>
      <c r="BX22" s="66">
        <v>4.0790312300828599</v>
      </c>
      <c r="BY22" s="66">
        <v>9.1140854047163806</v>
      </c>
      <c r="BZ22" s="66">
        <v>0</v>
      </c>
      <c r="CA22" s="42"/>
      <c r="CB22" s="42"/>
      <c r="CC22" s="42"/>
      <c r="CD22" s="42"/>
      <c r="CE22" s="42"/>
      <c r="CF22" s="42"/>
      <c r="CG22" s="42"/>
      <c r="CH22" s="42"/>
      <c r="CI22" s="42"/>
      <c r="CJ22" s="42"/>
      <c r="CK22" s="42"/>
      <c r="CL22" s="42"/>
      <c r="CM22" s="42"/>
      <c r="CN22" s="42"/>
      <c r="CO22" s="42"/>
      <c r="CP22" s="42"/>
      <c r="CQ22" s="42"/>
      <c r="CR22" s="42"/>
      <c r="CS22" s="42"/>
      <c r="CT22" s="42"/>
      <c r="CU22" s="42"/>
      <c r="CV22" s="42"/>
      <c r="CW22" s="43"/>
      <c r="CX22" s="42"/>
      <c r="CY22" s="42">
        <v>1975</v>
      </c>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row>
    <row r="23" spans="1:154" s="40" customFormat="1">
      <c r="A23" s="42" t="s">
        <v>790</v>
      </c>
      <c r="B23" s="42"/>
      <c r="C23" s="42" t="s">
        <v>791</v>
      </c>
      <c r="D23" s="42" t="s">
        <v>792</v>
      </c>
      <c r="E23" s="56" t="s">
        <v>720</v>
      </c>
      <c r="F23" s="42"/>
      <c r="G23" s="42">
        <v>50</v>
      </c>
      <c r="H23" s="42"/>
      <c r="I23" s="42">
        <v>45.5</v>
      </c>
      <c r="J23" s="44">
        <f t="shared" si="19"/>
        <v>45.5</v>
      </c>
      <c r="K23" s="42">
        <v>9.6</v>
      </c>
      <c r="L23" s="42"/>
      <c r="M23" s="44">
        <f t="shared" si="20"/>
        <v>9.6</v>
      </c>
      <c r="N23" s="42">
        <v>7.3</v>
      </c>
      <c r="O23" s="42">
        <v>2.7</v>
      </c>
      <c r="P23" s="42">
        <f t="shared" si="21"/>
        <v>4.5999999999999996</v>
      </c>
      <c r="Q23" s="76">
        <v>540</v>
      </c>
      <c r="R23" s="77"/>
      <c r="S23" s="77"/>
      <c r="T23" s="77"/>
      <c r="U23" s="77"/>
      <c r="V23" s="42"/>
      <c r="W23" s="53">
        <f t="shared" si="22"/>
        <v>6.2328767123287676</v>
      </c>
      <c r="X23" s="53">
        <f t="shared" si="23"/>
        <v>4.7395833333333339</v>
      </c>
      <c r="Y23" s="53">
        <f t="shared" si="24"/>
        <v>3.5555555555555554</v>
      </c>
      <c r="Z23" s="83">
        <f t="shared" si="25"/>
        <v>16.851851851851851</v>
      </c>
      <c r="AA23" s="73">
        <f t="shared" si="26"/>
        <v>0.10109890109890109</v>
      </c>
      <c r="AB23" s="55">
        <f t="shared" si="27"/>
        <v>159.77252023271848</v>
      </c>
      <c r="AC23" s="74">
        <f t="shared" si="28"/>
        <v>3188.64</v>
      </c>
      <c r="AD23" s="74">
        <f t="shared" si="29"/>
        <v>768.94999999999993</v>
      </c>
      <c r="AE23" s="74">
        <f t="shared" si="30"/>
        <v>1101.0999999999999</v>
      </c>
      <c r="AF23" s="43"/>
      <c r="AG23" s="43"/>
      <c r="AH23" s="43"/>
      <c r="AI23" s="43"/>
      <c r="AJ23" s="42">
        <v>1</v>
      </c>
      <c r="AK23" s="42">
        <f>1600*0.7457</f>
        <v>1193.1200000000001</v>
      </c>
      <c r="AL23" s="42">
        <f t="shared" si="31"/>
        <v>1193.1200000000001</v>
      </c>
      <c r="AM23" s="76">
        <f t="shared" si="32"/>
        <v>34.541569159492454</v>
      </c>
      <c r="AN23" s="42">
        <v>16.3</v>
      </c>
      <c r="AO23" s="42">
        <v>12</v>
      </c>
      <c r="AP23" s="42" t="s">
        <v>728</v>
      </c>
      <c r="AQ23" s="42">
        <v>650</v>
      </c>
      <c r="AR23" s="42">
        <v>44</v>
      </c>
      <c r="AS23" s="46">
        <f t="shared" si="33"/>
        <v>140300.16</v>
      </c>
      <c r="AT23" s="96">
        <f t="shared" si="34"/>
        <v>262.68810289389052</v>
      </c>
      <c r="AU23" s="96">
        <f t="shared" si="34"/>
        <v>54.135048231511227</v>
      </c>
      <c r="AV23" s="96">
        <f t="shared" si="34"/>
        <v>35.498392282958214</v>
      </c>
      <c r="AW23" s="96">
        <f t="shared" si="34"/>
        <v>27.807073954983931</v>
      </c>
      <c r="AX23" s="96">
        <f t="shared" si="34"/>
        <v>45.556270096463017</v>
      </c>
      <c r="AY23" s="96">
        <f t="shared" si="34"/>
        <v>26.919614147909964</v>
      </c>
      <c r="AZ23" s="96">
        <f t="shared" si="34"/>
        <v>7.3954983922829429</v>
      </c>
      <c r="BA23" s="76">
        <v>460</v>
      </c>
      <c r="BB23" s="42">
        <f>BZ23/100*$BA23</f>
        <v>0</v>
      </c>
      <c r="BC23" s="76">
        <f t="shared" si="35"/>
        <v>460</v>
      </c>
      <c r="BD23" s="42">
        <v>0</v>
      </c>
      <c r="BE23" s="76">
        <f t="shared" si="36"/>
        <v>80</v>
      </c>
      <c r="BF23" s="42">
        <f t="shared" si="37"/>
        <v>540</v>
      </c>
      <c r="BG23" s="43">
        <f t="shared" si="38"/>
        <v>1.3341111932577332</v>
      </c>
      <c r="BH23" s="43">
        <f t="shared" si="39"/>
        <v>0.39697255428983591</v>
      </c>
      <c r="BI23" s="42"/>
      <c r="BJ23" s="42"/>
      <c r="BK23" s="42"/>
      <c r="BL23" s="42"/>
      <c r="BM23" s="42"/>
      <c r="BN23" s="42"/>
      <c r="BO23" s="42"/>
      <c r="BP23" s="42"/>
      <c r="BQ23" s="42"/>
      <c r="BR23" s="42"/>
      <c r="BS23" s="66">
        <v>57.106109324758798</v>
      </c>
      <c r="BT23" s="66">
        <v>11.768488745980701</v>
      </c>
      <c r="BU23" s="66">
        <v>7.7170418006430896</v>
      </c>
      <c r="BV23" s="66">
        <v>6.0450160771704198</v>
      </c>
      <c r="BW23" s="66">
        <v>9.9035369774919602</v>
      </c>
      <c r="BX23" s="66">
        <v>5.8520900321543401</v>
      </c>
      <c r="BY23" s="66">
        <v>1.6077170418006399</v>
      </c>
      <c r="BZ23" s="66">
        <v>0</v>
      </c>
      <c r="CA23" s="42"/>
      <c r="CB23" s="42"/>
      <c r="CC23" s="42"/>
      <c r="CD23" s="42"/>
      <c r="CE23" s="42"/>
      <c r="CF23" s="42"/>
      <c r="CG23" s="42"/>
      <c r="CH23" s="42"/>
      <c r="CI23" s="42"/>
      <c r="CJ23" s="42"/>
      <c r="CK23" s="42"/>
      <c r="CL23" s="42"/>
      <c r="CM23" s="42"/>
      <c r="CN23" s="42"/>
      <c r="CO23" s="42"/>
      <c r="CP23" s="42"/>
      <c r="CQ23" s="42"/>
      <c r="CR23" s="42"/>
      <c r="CS23" s="42"/>
      <c r="CT23" s="42"/>
      <c r="CU23" s="42"/>
      <c r="CV23" s="42"/>
      <c r="CW23" s="43"/>
      <c r="CX23" s="42"/>
      <c r="CY23" s="42">
        <v>2415</v>
      </c>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row>
    <row r="24" spans="1:154">
      <c r="A24" s="42" t="s">
        <v>793</v>
      </c>
      <c r="B24" s="42"/>
      <c r="C24" s="42" t="s">
        <v>794</v>
      </c>
      <c r="D24" s="42" t="s">
        <v>795</v>
      </c>
      <c r="E24" s="56" t="s">
        <v>720</v>
      </c>
      <c r="F24" s="40"/>
      <c r="G24" s="42">
        <v>51.5</v>
      </c>
      <c r="H24" s="42"/>
      <c r="I24" s="42">
        <v>47.1</v>
      </c>
      <c r="J24" s="44">
        <f t="shared" si="19"/>
        <v>47.1</v>
      </c>
      <c r="K24" s="42">
        <v>8.9</v>
      </c>
      <c r="L24" s="42"/>
      <c r="M24" s="44">
        <f t="shared" si="20"/>
        <v>8.9</v>
      </c>
      <c r="N24" s="39">
        <v>7.2</v>
      </c>
      <c r="O24" s="42">
        <v>2.6</v>
      </c>
      <c r="P24" s="42">
        <f t="shared" si="21"/>
        <v>4.5999999999999996</v>
      </c>
      <c r="Q24" s="76">
        <v>540</v>
      </c>
      <c r="R24" s="77"/>
      <c r="S24" s="77"/>
      <c r="T24" s="77"/>
      <c r="U24" s="77"/>
      <c r="V24" s="42"/>
      <c r="W24" s="53">
        <f t="shared" si="22"/>
        <v>6.541666666666667</v>
      </c>
      <c r="X24" s="53">
        <f t="shared" si="23"/>
        <v>5.2921348314606744</v>
      </c>
      <c r="Y24" s="53">
        <f t="shared" si="24"/>
        <v>3.4230769230769229</v>
      </c>
      <c r="Z24" s="83">
        <f t="shared" si="25"/>
        <v>18.115384615384617</v>
      </c>
      <c r="AA24" s="73">
        <f t="shared" si="26"/>
        <v>9.7664543524416128E-2</v>
      </c>
      <c r="AB24" s="55">
        <f t="shared" si="27"/>
        <v>144.03682986829097</v>
      </c>
      <c r="AC24" s="74">
        <f t="shared" si="28"/>
        <v>3018.1680000000006</v>
      </c>
      <c r="AD24" s="74">
        <f t="shared" si="29"/>
        <v>758.31000000000006</v>
      </c>
      <c r="AE24" s="74">
        <f t="shared" si="30"/>
        <v>1097.43</v>
      </c>
      <c r="AF24" s="40"/>
      <c r="AG24" s="40"/>
      <c r="AH24" s="40"/>
      <c r="AI24" s="40"/>
      <c r="AJ24" s="42">
        <v>1</v>
      </c>
      <c r="AK24" s="42">
        <f>1840*0.7457</f>
        <v>1372.088</v>
      </c>
      <c r="AL24" s="42">
        <f t="shared" si="31"/>
        <v>1372.088</v>
      </c>
      <c r="AM24" s="76">
        <f t="shared" si="32"/>
        <v>37.041706224200851</v>
      </c>
      <c r="AN24" s="42">
        <v>16.100000000000001</v>
      </c>
      <c r="AO24" s="42">
        <v>12</v>
      </c>
      <c r="AP24" s="42" t="s">
        <v>728</v>
      </c>
      <c r="AQ24" s="42">
        <v>810</v>
      </c>
      <c r="AR24" s="42">
        <v>49</v>
      </c>
      <c r="AS24" s="46">
        <f t="shared" si="33"/>
        <v>147890.23200000002</v>
      </c>
      <c r="AT24" s="96">
        <f t="shared" si="34"/>
        <v>216.26409017713357</v>
      </c>
      <c r="AU24" s="96">
        <f t="shared" si="34"/>
        <v>60.225442834138491</v>
      </c>
      <c r="AV24" s="96">
        <f t="shared" si="34"/>
        <v>28.470209339774566</v>
      </c>
      <c r="AW24" s="96">
        <f t="shared" si="34"/>
        <v>37.777777777777779</v>
      </c>
      <c r="AX24" s="96">
        <f t="shared" si="34"/>
        <v>53.10789049919498</v>
      </c>
      <c r="AY24" s="96">
        <f t="shared" si="34"/>
        <v>23.132045088566816</v>
      </c>
      <c r="AZ24" s="96">
        <f t="shared" si="34"/>
        <v>6.0225442834138496</v>
      </c>
      <c r="BA24" s="76">
        <v>425</v>
      </c>
      <c r="BB24" s="42">
        <f>BZ24/100*$BA24</f>
        <v>0</v>
      </c>
      <c r="BC24" s="76">
        <f t="shared" si="35"/>
        <v>425</v>
      </c>
      <c r="BD24" s="42">
        <v>0</v>
      </c>
      <c r="BE24" s="76">
        <f t="shared" si="36"/>
        <v>115</v>
      </c>
      <c r="BF24" s="42">
        <f t="shared" si="37"/>
        <v>540</v>
      </c>
      <c r="BG24" s="43">
        <f t="shared" si="38"/>
        <v>1.2951663259502277</v>
      </c>
      <c r="BH24" s="43">
        <f t="shared" si="39"/>
        <v>0.3853842822404967</v>
      </c>
      <c r="BI24" s="42"/>
      <c r="BJ24" s="42"/>
      <c r="BK24" s="42"/>
      <c r="BL24" s="42"/>
      <c r="BM24" s="42"/>
      <c r="BN24" s="42"/>
      <c r="BO24" s="42"/>
      <c r="BP24" s="42"/>
      <c r="BQ24" s="42"/>
      <c r="BR24" s="42"/>
      <c r="BS24" s="66">
        <v>50.885668276972602</v>
      </c>
      <c r="BT24" s="66">
        <v>14.170692431561999</v>
      </c>
      <c r="BU24" s="66">
        <v>6.6988727858293098</v>
      </c>
      <c r="BV24" s="66">
        <v>8.8888888888888893</v>
      </c>
      <c r="BW24" s="66">
        <v>12.495974235104701</v>
      </c>
      <c r="BX24" s="66">
        <v>5.4428341384863099</v>
      </c>
      <c r="BY24" s="66">
        <v>1.4170692431562</v>
      </c>
      <c r="BZ24" s="66">
        <v>0</v>
      </c>
      <c r="CA24" s="42"/>
      <c r="CB24" s="42"/>
      <c r="CC24" s="42"/>
      <c r="CD24" s="42"/>
      <c r="CE24" s="42"/>
      <c r="CF24" s="42"/>
      <c r="CG24" s="42"/>
      <c r="CH24" s="42"/>
      <c r="CI24" s="42"/>
      <c r="CJ24" s="42"/>
      <c r="CK24" s="42"/>
      <c r="CL24" s="42"/>
      <c r="CM24" s="42"/>
      <c r="CN24" s="42"/>
      <c r="CO24" s="42"/>
      <c r="CP24" s="42"/>
      <c r="CQ24" s="42"/>
      <c r="CR24" s="42"/>
      <c r="CS24" s="42"/>
      <c r="CT24" s="42"/>
      <c r="CU24" s="42"/>
      <c r="CV24" s="42"/>
      <c r="CW24" s="40"/>
      <c r="CX24" s="42"/>
      <c r="CY24" s="42">
        <v>2580</v>
      </c>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row>
    <row r="25" spans="1:154">
      <c r="A25" s="42" t="s">
        <v>796</v>
      </c>
      <c r="B25" s="42"/>
      <c r="C25" s="42" t="s">
        <v>755</v>
      </c>
      <c r="D25" s="42" t="s">
        <v>797</v>
      </c>
      <c r="E25" s="56" t="s">
        <v>720</v>
      </c>
      <c r="F25" s="40"/>
      <c r="G25" s="42">
        <v>52.5</v>
      </c>
      <c r="H25" s="42"/>
      <c r="I25" s="42">
        <v>50</v>
      </c>
      <c r="J25" s="44">
        <f t="shared" si="19"/>
        <v>50</v>
      </c>
      <c r="K25" s="42">
        <v>9</v>
      </c>
      <c r="L25" s="42"/>
      <c r="M25" s="44">
        <f t="shared" si="20"/>
        <v>9</v>
      </c>
      <c r="N25" s="42">
        <v>5.5</v>
      </c>
      <c r="O25" s="42">
        <v>2.2000000000000002</v>
      </c>
      <c r="P25" s="42">
        <f t="shared" si="21"/>
        <v>3.3</v>
      </c>
      <c r="Q25" s="76">
        <v>480</v>
      </c>
      <c r="R25" s="77"/>
      <c r="S25" s="77"/>
      <c r="T25" s="77"/>
      <c r="U25" s="77"/>
      <c r="V25" s="42"/>
      <c r="W25" s="53">
        <f t="shared" si="22"/>
        <v>9.0909090909090917</v>
      </c>
      <c r="X25" s="53">
        <f t="shared" si="23"/>
        <v>5.5555555555555554</v>
      </c>
      <c r="Y25" s="53">
        <f t="shared" si="24"/>
        <v>4.0909090909090908</v>
      </c>
      <c r="Z25" s="83">
        <f t="shared" si="25"/>
        <v>22.727272727272727</v>
      </c>
      <c r="AA25" s="73">
        <f t="shared" si="26"/>
        <v>6.6000000000000003E-2</v>
      </c>
      <c r="AB25" s="55">
        <f t="shared" si="27"/>
        <v>107.02216697270214</v>
      </c>
      <c r="AC25" s="74">
        <f t="shared" si="28"/>
        <v>2475</v>
      </c>
      <c r="AD25" s="74">
        <f t="shared" si="29"/>
        <v>725</v>
      </c>
      <c r="AE25" s="74">
        <f t="shared" si="30"/>
        <v>1000</v>
      </c>
      <c r="AF25" s="40"/>
      <c r="AG25" s="40"/>
      <c r="AH25" s="40"/>
      <c r="AI25" s="40"/>
      <c r="AJ25" s="42">
        <v>2</v>
      </c>
      <c r="AK25" s="42">
        <f>620*0.7457</f>
        <v>462.334</v>
      </c>
      <c r="AL25" s="42">
        <f t="shared" si="31"/>
        <v>924.66800000000001</v>
      </c>
      <c r="AM25" s="76">
        <f t="shared" si="32"/>
        <v>30.408354115275625</v>
      </c>
      <c r="AN25" s="42">
        <v>13.8</v>
      </c>
      <c r="AO25" s="42">
        <v>12</v>
      </c>
      <c r="AP25" s="42" t="s">
        <v>728</v>
      </c>
      <c r="AQ25" s="42">
        <v>750</v>
      </c>
      <c r="AR25" s="42">
        <v>40</v>
      </c>
      <c r="AS25" s="46">
        <f t="shared" si="33"/>
        <v>99000</v>
      </c>
      <c r="AT25" s="96">
        <f t="shared" si="34"/>
        <v>144.38347320852159</v>
      </c>
      <c r="AU25" s="96">
        <f t="shared" si="34"/>
        <v>37.814719173660457</v>
      </c>
      <c r="AV25" s="96">
        <f t="shared" si="34"/>
        <v>38.043899289864477</v>
      </c>
      <c r="AW25" s="96">
        <f t="shared" si="34"/>
        <v>22.918011620400261</v>
      </c>
      <c r="AX25" s="96">
        <f t="shared" si="34"/>
        <v>36.210458360232323</v>
      </c>
      <c r="AY25" s="96">
        <f t="shared" si="34"/>
        <v>57.295029051000746</v>
      </c>
      <c r="AZ25" s="96">
        <f t="shared" si="34"/>
        <v>18.334409296320217</v>
      </c>
      <c r="BA25" s="76">
        <v>355</v>
      </c>
      <c r="BB25" s="42">
        <f>BZ25/100*$BA25</f>
        <v>0</v>
      </c>
      <c r="BC25" s="76">
        <f t="shared" si="35"/>
        <v>355</v>
      </c>
      <c r="BD25" s="42">
        <v>0</v>
      </c>
      <c r="BE25" s="76">
        <f t="shared" si="36"/>
        <v>125</v>
      </c>
      <c r="BF25" s="42">
        <f t="shared" si="37"/>
        <v>480</v>
      </c>
      <c r="BG25" s="43">
        <f t="shared" si="38"/>
        <v>1.0774675665587807</v>
      </c>
      <c r="BH25" s="43">
        <f t="shared" si="39"/>
        <v>0.32060674868999617</v>
      </c>
      <c r="BI25" s="42"/>
      <c r="BJ25" s="42"/>
      <c r="BK25" s="42"/>
      <c r="BL25" s="42"/>
      <c r="BM25" s="42"/>
      <c r="BN25" s="42"/>
      <c r="BO25" s="42"/>
      <c r="BP25" s="42"/>
      <c r="BQ25" s="42"/>
      <c r="BR25" s="42"/>
      <c r="BS25" s="66">
        <v>40.671400903808902</v>
      </c>
      <c r="BT25" s="66">
        <v>10.6520335700452</v>
      </c>
      <c r="BU25" s="66">
        <v>10.7165913492576</v>
      </c>
      <c r="BV25" s="66">
        <v>6.4557779212395099</v>
      </c>
      <c r="BW25" s="66">
        <v>10.200129115558401</v>
      </c>
      <c r="BX25" s="66">
        <v>16.139444803098801</v>
      </c>
      <c r="BY25" s="66">
        <v>5.1646223369916102</v>
      </c>
      <c r="BZ25" s="66">
        <v>0</v>
      </c>
      <c r="CA25" s="42"/>
      <c r="CB25" s="42"/>
      <c r="CC25" s="42"/>
      <c r="CD25" s="42"/>
      <c r="CE25" s="42"/>
      <c r="CF25" s="42"/>
      <c r="CG25" s="42"/>
      <c r="CH25" s="42"/>
      <c r="CI25" s="42"/>
      <c r="CJ25" s="42"/>
      <c r="CK25" s="42"/>
      <c r="CL25" s="42"/>
      <c r="CM25" s="42"/>
      <c r="CN25" s="42"/>
      <c r="CO25" s="42"/>
      <c r="CP25" s="42"/>
      <c r="CQ25" s="42"/>
      <c r="CR25" s="42"/>
      <c r="CS25" s="42"/>
      <c r="CT25" s="42"/>
      <c r="CU25" s="42"/>
      <c r="CV25" s="42"/>
      <c r="CW25" s="40"/>
      <c r="CX25" s="42"/>
      <c r="CY25" s="42">
        <v>2680</v>
      </c>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row>
    <row r="26" spans="1:154">
      <c r="A26" s="40"/>
      <c r="B26" s="42" t="s">
        <v>798</v>
      </c>
      <c r="C26" s="42" t="s">
        <v>799</v>
      </c>
      <c r="D26" s="42" t="s">
        <v>800</v>
      </c>
      <c r="E26" s="56" t="s">
        <v>720</v>
      </c>
      <c r="G26" s="42">
        <v>54.4</v>
      </c>
      <c r="H26" s="42"/>
      <c r="I26" s="42">
        <v>51</v>
      </c>
      <c r="J26" s="44">
        <f t="shared" si="19"/>
        <v>51</v>
      </c>
      <c r="K26" s="42">
        <v>8.9</v>
      </c>
      <c r="L26" s="42"/>
      <c r="M26" s="44">
        <f t="shared" si="20"/>
        <v>8.9</v>
      </c>
      <c r="N26" s="42">
        <v>4.8</v>
      </c>
      <c r="O26" s="42">
        <v>2.5</v>
      </c>
      <c r="P26" s="42">
        <f t="shared" si="21"/>
        <v>2.2999999999999998</v>
      </c>
      <c r="Q26" s="76">
        <v>600</v>
      </c>
      <c r="R26" s="77"/>
      <c r="S26" s="77"/>
      <c r="T26" s="77"/>
      <c r="U26" s="77"/>
      <c r="V26" s="42"/>
      <c r="W26" s="53">
        <f t="shared" si="22"/>
        <v>10.625</v>
      </c>
      <c r="X26" s="53">
        <f t="shared" si="23"/>
        <v>5.7303370786516847</v>
      </c>
      <c r="Y26" s="53">
        <f t="shared" si="24"/>
        <v>3.56</v>
      </c>
      <c r="Z26" s="83">
        <f t="shared" si="25"/>
        <v>20.399999999999999</v>
      </c>
      <c r="AA26" s="73">
        <f t="shared" si="26"/>
        <v>4.5098039215686274E-2</v>
      </c>
      <c r="AB26" s="55">
        <f t="shared" si="27"/>
        <v>126.06172278750034</v>
      </c>
      <c r="AC26" s="74">
        <f t="shared" si="28"/>
        <v>2178.7200000000003</v>
      </c>
      <c r="AD26" s="74">
        <f t="shared" si="29"/>
        <v>698.69999999999993</v>
      </c>
      <c r="AE26" s="74">
        <f t="shared" si="30"/>
        <v>943.5</v>
      </c>
      <c r="AJ26" s="42">
        <v>2</v>
      </c>
      <c r="AK26" s="42">
        <f>2727*0.7457</f>
        <v>2033.5239000000001</v>
      </c>
      <c r="AL26" s="42">
        <f t="shared" si="31"/>
        <v>4067.0478000000003</v>
      </c>
      <c r="AM26" s="76">
        <f t="shared" si="32"/>
        <v>63.773409819453754</v>
      </c>
      <c r="AN26" s="66">
        <v>24</v>
      </c>
      <c r="AO26" s="42">
        <v>12</v>
      </c>
      <c r="AP26" s="42" t="s">
        <v>728</v>
      </c>
      <c r="AQ26" s="42">
        <v>690</v>
      </c>
      <c r="AR26" s="42">
        <v>37</v>
      </c>
      <c r="AS26" s="46">
        <f t="shared" si="33"/>
        <v>80612.640000000014</v>
      </c>
      <c r="AT26" s="96">
        <f>BS26/100*$BA26</f>
        <v>189.87096774193523</v>
      </c>
      <c r="AU26" s="84"/>
      <c r="AV26" s="84"/>
      <c r="AW26" s="84"/>
      <c r="AX26" s="84"/>
      <c r="AY26" s="84"/>
      <c r="AZ26" s="84"/>
      <c r="BA26" s="76">
        <v>540</v>
      </c>
      <c r="BB26" s="84"/>
      <c r="BC26" s="76">
        <f t="shared" si="35"/>
        <v>540</v>
      </c>
      <c r="BD26" s="84"/>
      <c r="BE26" s="76">
        <f t="shared" si="36"/>
        <v>60</v>
      </c>
      <c r="BF26" s="42">
        <f t="shared" si="37"/>
        <v>600</v>
      </c>
      <c r="BG26" s="43">
        <f t="shared" si="38"/>
        <v>1.8553945455047531</v>
      </c>
      <c r="BH26" s="43">
        <f t="shared" si="39"/>
        <v>0.55208345126459102</v>
      </c>
      <c r="BI26" s="42"/>
      <c r="BJ26" s="42"/>
      <c r="BK26" s="42"/>
      <c r="BL26" s="42"/>
      <c r="BM26" s="42"/>
      <c r="BN26" s="42"/>
      <c r="BO26" s="42"/>
      <c r="BP26" s="42"/>
      <c r="BQ26" s="42"/>
      <c r="BR26" s="42"/>
      <c r="BS26" s="66">
        <v>35.161290322580598</v>
      </c>
      <c r="BT26" s="66"/>
      <c r="BU26" s="66"/>
      <c r="BV26" s="66"/>
      <c r="BW26" s="66"/>
      <c r="BX26" s="66"/>
      <c r="BY26" s="66"/>
      <c r="BZ26" s="66"/>
      <c r="CA26" s="42"/>
      <c r="CB26" s="42"/>
      <c r="CC26" s="42"/>
      <c r="CD26" s="42"/>
      <c r="CE26" s="42"/>
      <c r="CF26" s="42"/>
      <c r="CG26" s="42"/>
      <c r="CH26" s="42"/>
      <c r="CI26" s="42"/>
      <c r="CJ26" s="42"/>
      <c r="CK26" s="42"/>
      <c r="CL26" s="42"/>
      <c r="CM26" s="42"/>
      <c r="CN26" s="42"/>
      <c r="CO26" s="42"/>
      <c r="CP26" s="42"/>
      <c r="CQ26" s="42"/>
      <c r="CR26" s="42"/>
      <c r="CS26" s="42"/>
      <c r="CT26" s="42"/>
      <c r="CU26" s="42"/>
      <c r="CV26" s="42"/>
      <c r="CX26" s="42"/>
      <c r="CY26" s="42">
        <v>2335</v>
      </c>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row>
    <row r="27" spans="1:154">
      <c r="A27" s="40"/>
      <c r="B27" s="42" t="s">
        <v>801</v>
      </c>
      <c r="C27" s="42" t="s">
        <v>718</v>
      </c>
      <c r="D27" s="42" t="s">
        <v>802</v>
      </c>
      <c r="E27" s="56" t="s">
        <v>720</v>
      </c>
      <c r="G27" s="42">
        <v>57.7</v>
      </c>
      <c r="H27" s="42"/>
      <c r="I27" s="42">
        <v>53.1</v>
      </c>
      <c r="J27" s="44">
        <f t="shared" si="19"/>
        <v>53.1</v>
      </c>
      <c r="K27" s="42">
        <v>10.5</v>
      </c>
      <c r="L27" s="42"/>
      <c r="M27" s="44">
        <f t="shared" si="20"/>
        <v>10.5</v>
      </c>
      <c r="N27" s="42">
        <v>7.6</v>
      </c>
      <c r="O27" s="66">
        <v>3</v>
      </c>
      <c r="P27" s="42">
        <f t="shared" si="21"/>
        <v>4.5999999999999996</v>
      </c>
      <c r="Q27" s="76">
        <v>915</v>
      </c>
      <c r="R27" s="77"/>
      <c r="S27" s="77"/>
      <c r="T27" s="77"/>
      <c r="U27" s="77"/>
      <c r="V27" s="42"/>
      <c r="W27" s="53">
        <f t="shared" si="22"/>
        <v>6.9868421052631584</v>
      </c>
      <c r="X27" s="53">
        <f t="shared" si="23"/>
        <v>5.0571428571428569</v>
      </c>
      <c r="Y27" s="53">
        <f t="shared" si="24"/>
        <v>3.5</v>
      </c>
      <c r="Z27" s="83">
        <f t="shared" si="25"/>
        <v>17.7</v>
      </c>
      <c r="AA27" s="73">
        <f t="shared" si="26"/>
        <v>8.662900188323916E-2</v>
      </c>
      <c r="AB27" s="55">
        <f t="shared" si="27"/>
        <v>170.32564676432145</v>
      </c>
      <c r="AC27" s="74">
        <f t="shared" si="28"/>
        <v>4237.38</v>
      </c>
      <c r="AD27" s="74">
        <f t="shared" si="29"/>
        <v>961.11000000000013</v>
      </c>
      <c r="AE27" s="74">
        <f t="shared" si="30"/>
        <v>1364.67</v>
      </c>
      <c r="AJ27" s="42">
        <v>2</v>
      </c>
      <c r="AK27" s="42">
        <f>800*0.7457</f>
        <v>596.56000000000006</v>
      </c>
      <c r="AL27" s="42">
        <f t="shared" si="31"/>
        <v>1193.1200000000001</v>
      </c>
      <c r="AM27" s="76">
        <f t="shared" si="32"/>
        <v>34.541569159492454</v>
      </c>
      <c r="AN27" s="42">
        <v>12.7</v>
      </c>
      <c r="AO27" s="42">
        <v>12</v>
      </c>
      <c r="AP27" s="42" t="s">
        <v>728</v>
      </c>
      <c r="AQ27" s="42">
        <v>900</v>
      </c>
      <c r="AR27" s="42">
        <v>51</v>
      </c>
      <c r="AS27" s="46">
        <f t="shared" si="33"/>
        <v>216106.38</v>
      </c>
      <c r="AT27" s="96">
        <f>BS27/100*$BA27</f>
        <v>433.32690453230458</v>
      </c>
      <c r="AU27" s="96">
        <f t="shared" ref="AU27:AZ29" si="40">BT27/100*$BA27</f>
        <v>68.003857280617154</v>
      </c>
      <c r="AV27" s="96">
        <f t="shared" si="40"/>
        <v>52.716168434586919</v>
      </c>
      <c r="AW27" s="96">
        <f t="shared" si="40"/>
        <v>63.259402121504365</v>
      </c>
      <c r="AX27" s="96">
        <f t="shared" si="40"/>
        <v>102.53294760527177</v>
      </c>
      <c r="AY27" s="96">
        <f t="shared" si="40"/>
        <v>89.617486338797988</v>
      </c>
      <c r="AZ27" s="96">
        <f t="shared" si="40"/>
        <v>10.543233686917366</v>
      </c>
      <c r="BA27" s="76">
        <v>820</v>
      </c>
      <c r="BB27" s="42">
        <f>BZ27/100*$BA27</f>
        <v>0</v>
      </c>
      <c r="BC27" s="76">
        <f t="shared" si="35"/>
        <v>820</v>
      </c>
      <c r="BD27" s="42">
        <v>0</v>
      </c>
      <c r="BE27" s="76">
        <f t="shared" si="36"/>
        <v>95</v>
      </c>
      <c r="BF27" s="42">
        <f t="shared" si="37"/>
        <v>915</v>
      </c>
      <c r="BG27" s="43">
        <f t="shared" si="38"/>
        <v>0.96220272448232358</v>
      </c>
      <c r="BH27" s="43">
        <f t="shared" si="39"/>
        <v>0.28630902372512806</v>
      </c>
      <c r="BI27" s="42"/>
      <c r="BJ27" s="42"/>
      <c r="BK27" s="42"/>
      <c r="BL27" s="42"/>
      <c r="BM27" s="42"/>
      <c r="BN27" s="42"/>
      <c r="BO27" s="42"/>
      <c r="BP27" s="42"/>
      <c r="BQ27" s="42"/>
      <c r="BR27" s="42"/>
      <c r="BS27" s="66">
        <v>52.844744455159102</v>
      </c>
      <c r="BT27" s="66">
        <v>8.2931533269045303</v>
      </c>
      <c r="BU27" s="66">
        <v>6.4288010286081603</v>
      </c>
      <c r="BV27" s="66">
        <v>7.7145612343297998</v>
      </c>
      <c r="BW27" s="66">
        <v>12.504018000642899</v>
      </c>
      <c r="BX27" s="66">
        <v>10.928961748633901</v>
      </c>
      <c r="BY27" s="66">
        <v>1.28576020572163</v>
      </c>
      <c r="BZ27" s="66">
        <v>0</v>
      </c>
      <c r="CA27" s="66"/>
      <c r="CB27" s="42"/>
      <c r="CC27" s="42"/>
      <c r="CD27" s="42"/>
      <c r="CE27" s="42"/>
      <c r="CF27" s="42"/>
      <c r="CG27" s="42"/>
      <c r="CH27" s="42"/>
      <c r="CI27" s="42"/>
      <c r="CJ27" s="42"/>
      <c r="CK27" s="42"/>
      <c r="CL27" s="42"/>
      <c r="CM27" s="42"/>
      <c r="CN27" s="42"/>
      <c r="CO27" s="42"/>
      <c r="CP27" s="42"/>
      <c r="CQ27" s="42"/>
      <c r="CR27" s="42"/>
      <c r="CS27" s="42"/>
      <c r="CT27" s="42"/>
      <c r="CU27" s="42"/>
      <c r="CV27" s="42"/>
      <c r="CX27" s="42"/>
      <c r="CY27" s="42">
        <v>3520</v>
      </c>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row>
    <row r="28" spans="1:154" ht="12.75">
      <c r="A28" s="57" t="s">
        <v>803</v>
      </c>
      <c r="B28" s="42"/>
      <c r="C28" s="42" t="s">
        <v>755</v>
      </c>
      <c r="D28" s="42" t="s">
        <v>804</v>
      </c>
      <c r="E28" s="56" t="s">
        <v>720</v>
      </c>
      <c r="G28" s="42">
        <v>60</v>
      </c>
      <c r="H28" s="42"/>
      <c r="I28" s="42">
        <v>57</v>
      </c>
      <c r="J28" s="44">
        <f t="shared" si="19"/>
        <v>57</v>
      </c>
      <c r="K28" s="42">
        <v>10</v>
      </c>
      <c r="L28" s="42"/>
      <c r="M28" s="44">
        <f t="shared" si="20"/>
        <v>10</v>
      </c>
      <c r="N28" s="42">
        <v>7.4</v>
      </c>
      <c r="O28" s="42">
        <v>2.5</v>
      </c>
      <c r="P28" s="42">
        <f t="shared" si="21"/>
        <v>4.9000000000000004</v>
      </c>
      <c r="Q28" s="76">
        <v>700</v>
      </c>
      <c r="R28" s="77"/>
      <c r="S28" s="77"/>
      <c r="T28" s="77"/>
      <c r="U28" s="77"/>
      <c r="V28" s="42"/>
      <c r="W28" s="53">
        <f t="shared" si="22"/>
        <v>7.7027027027027026</v>
      </c>
      <c r="X28" s="53">
        <f t="shared" si="23"/>
        <v>5.7</v>
      </c>
      <c r="Y28" s="53">
        <f t="shared" si="24"/>
        <v>4</v>
      </c>
      <c r="Z28" s="83">
        <f t="shared" si="25"/>
        <v>22.8</v>
      </c>
      <c r="AA28" s="73">
        <f t="shared" si="26"/>
        <v>8.5964912280701758E-2</v>
      </c>
      <c r="AB28" s="55">
        <f t="shared" si="27"/>
        <v>105.3455000336522</v>
      </c>
      <c r="AC28" s="74">
        <f t="shared" si="28"/>
        <v>4218</v>
      </c>
      <c r="AD28" s="74">
        <f t="shared" si="29"/>
        <v>991.8</v>
      </c>
      <c r="AE28" s="74">
        <f t="shared" si="30"/>
        <v>1413.6000000000001</v>
      </c>
      <c r="AF28" s="52"/>
      <c r="AG28" s="52"/>
      <c r="AH28" s="52"/>
      <c r="AI28" s="52"/>
      <c r="AJ28" s="42">
        <v>2</v>
      </c>
      <c r="AK28" s="42">
        <f>950*0.7457</f>
        <v>708.41500000000008</v>
      </c>
      <c r="AL28" s="42">
        <f t="shared" si="31"/>
        <v>1416.8300000000002</v>
      </c>
      <c r="AM28" s="76">
        <f t="shared" si="32"/>
        <v>37.640802329387192</v>
      </c>
      <c r="AN28" s="42">
        <v>16.3</v>
      </c>
      <c r="AO28" s="42">
        <v>12</v>
      </c>
      <c r="AP28" s="42" t="s">
        <v>728</v>
      </c>
      <c r="AQ28" s="42">
        <v>660</v>
      </c>
      <c r="AR28" s="42">
        <v>45</v>
      </c>
      <c r="AS28" s="46">
        <f t="shared" si="33"/>
        <v>189810</v>
      </c>
      <c r="AT28" s="96">
        <f>BS28/100*$BA28</f>
        <v>246.95121951219517</v>
      </c>
      <c r="AU28" s="96">
        <f t="shared" si="40"/>
        <v>51.219512195121972</v>
      </c>
      <c r="AV28" s="96">
        <f t="shared" si="40"/>
        <v>45.731707317073159</v>
      </c>
      <c r="AW28" s="96">
        <f t="shared" si="40"/>
        <v>89.634146341463477</v>
      </c>
      <c r="AX28" s="96">
        <f t="shared" si="40"/>
        <v>85.975609756097597</v>
      </c>
      <c r="AY28" s="96">
        <f t="shared" si="40"/>
        <v>43.902439024390269</v>
      </c>
      <c r="AZ28" s="96">
        <f t="shared" si="40"/>
        <v>6.5853658536585264</v>
      </c>
      <c r="BA28" s="76">
        <v>570</v>
      </c>
      <c r="BB28" s="42">
        <f>BZ28/100*$BA28</f>
        <v>0</v>
      </c>
      <c r="BC28" s="76">
        <f t="shared" si="35"/>
        <v>570</v>
      </c>
      <c r="BD28" s="42">
        <v>0</v>
      </c>
      <c r="BE28" s="76">
        <f t="shared" si="36"/>
        <v>130</v>
      </c>
      <c r="BF28" s="42">
        <f t="shared" si="37"/>
        <v>700</v>
      </c>
      <c r="BG28" s="43">
        <f t="shared" si="38"/>
        <v>1.1919562039882652</v>
      </c>
      <c r="BH28" s="43">
        <f t="shared" si="39"/>
        <v>0.35467350944219772</v>
      </c>
      <c r="BI28" s="42"/>
      <c r="BJ28" s="42"/>
      <c r="BK28" s="42"/>
      <c r="BL28" s="42"/>
      <c r="BM28" s="42"/>
      <c r="BN28" s="42"/>
      <c r="BO28" s="42"/>
      <c r="BP28" s="42"/>
      <c r="BQ28" s="42"/>
      <c r="BR28" s="42"/>
      <c r="BS28" s="66">
        <v>43.324775353016697</v>
      </c>
      <c r="BT28" s="66">
        <v>8.9858793324775394</v>
      </c>
      <c r="BU28" s="66">
        <v>8.0231065468549403</v>
      </c>
      <c r="BV28" s="66">
        <v>15.7252888318357</v>
      </c>
      <c r="BW28" s="66">
        <v>15.083440308087299</v>
      </c>
      <c r="BX28" s="66">
        <v>7.7021822849807497</v>
      </c>
      <c r="BY28" s="66">
        <v>1.15532734274711</v>
      </c>
      <c r="BZ28" s="66">
        <v>0</v>
      </c>
      <c r="CA28" s="42"/>
      <c r="CB28" s="42"/>
      <c r="CC28" s="42"/>
      <c r="CD28" s="42"/>
      <c r="CE28" s="42"/>
      <c r="CF28" s="42"/>
      <c r="CG28" s="42"/>
      <c r="CH28" s="42"/>
      <c r="CI28" s="42"/>
      <c r="CJ28" s="42"/>
      <c r="CK28" s="42"/>
      <c r="CL28" s="42"/>
      <c r="CM28" s="42"/>
      <c r="CN28" s="42"/>
      <c r="CO28" s="42"/>
      <c r="CP28" s="42"/>
      <c r="CQ28" s="42"/>
      <c r="CR28" s="42"/>
      <c r="CS28" s="42"/>
      <c r="CT28" s="42"/>
      <c r="CU28" s="42"/>
      <c r="CV28" s="42"/>
      <c r="CW28" s="52"/>
      <c r="CX28" s="42"/>
      <c r="CY28" s="42">
        <v>3015</v>
      </c>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row>
    <row r="29" spans="1:154">
      <c r="B29" s="42" t="s">
        <v>805</v>
      </c>
      <c r="C29" s="42" t="s">
        <v>718</v>
      </c>
      <c r="D29" s="42" t="s">
        <v>806</v>
      </c>
      <c r="E29" s="56" t="s">
        <v>720</v>
      </c>
      <c r="G29" s="42">
        <v>68.400000000000006</v>
      </c>
      <c r="H29" s="42"/>
      <c r="I29" s="42">
        <v>65.099999999999994</v>
      </c>
      <c r="J29" s="44">
        <f t="shared" si="19"/>
        <v>65.099999999999994</v>
      </c>
      <c r="K29" s="42">
        <v>11.9</v>
      </c>
      <c r="L29" s="42"/>
      <c r="M29" s="44">
        <f t="shared" si="20"/>
        <v>11.9</v>
      </c>
      <c r="N29" s="42">
        <v>7.5</v>
      </c>
      <c r="O29" s="42">
        <v>3.3</v>
      </c>
      <c r="P29" s="42">
        <f t="shared" si="21"/>
        <v>4.2</v>
      </c>
      <c r="Q29" s="76">
        <v>1330</v>
      </c>
      <c r="R29" s="77"/>
      <c r="S29" s="77"/>
      <c r="T29" s="77"/>
      <c r="U29" s="77"/>
      <c r="V29" s="42"/>
      <c r="W29" s="53">
        <f t="shared" si="22"/>
        <v>8.68</v>
      </c>
      <c r="X29" s="53">
        <f t="shared" si="23"/>
        <v>5.4705882352941169</v>
      </c>
      <c r="Y29" s="53">
        <f t="shared" si="24"/>
        <v>3.6060606060606064</v>
      </c>
      <c r="Z29" s="83">
        <f t="shared" si="25"/>
        <v>19.727272727272727</v>
      </c>
      <c r="AA29" s="73">
        <f t="shared" si="26"/>
        <v>6.4516129032258077E-2</v>
      </c>
      <c r="AB29" s="55">
        <f t="shared" si="27"/>
        <v>134.35418263157143</v>
      </c>
      <c r="AC29" s="74">
        <f t="shared" si="28"/>
        <v>5810.1749999999993</v>
      </c>
      <c r="AD29" s="74">
        <f t="shared" si="29"/>
        <v>1262.9399999999998</v>
      </c>
      <c r="AE29" s="74">
        <f t="shared" si="30"/>
        <v>1751.1899999999998</v>
      </c>
      <c r="AJ29" s="42">
        <v>2</v>
      </c>
      <c r="AK29" s="42">
        <f>1200*0.7457</f>
        <v>894.84</v>
      </c>
      <c r="AL29" s="42">
        <f t="shared" si="31"/>
        <v>1789.68</v>
      </c>
      <c r="AM29" s="76">
        <f t="shared" si="32"/>
        <v>42.304609677906264</v>
      </c>
      <c r="AN29" s="42">
        <v>14.3</v>
      </c>
      <c r="AO29" s="42">
        <v>12</v>
      </c>
      <c r="AP29" s="42" t="s">
        <v>728</v>
      </c>
      <c r="AQ29" s="42">
        <f>3*375</f>
        <v>1125</v>
      </c>
      <c r="AR29" s="42">
        <v>81</v>
      </c>
      <c r="AS29" s="46">
        <f t="shared" si="33"/>
        <v>470624.17499999993</v>
      </c>
      <c r="AT29" s="96">
        <f>BS29/100*$BA29</f>
        <v>539.69121904149267</v>
      </c>
      <c r="AU29" s="96">
        <f t="shared" si="40"/>
        <v>108.70376326793183</v>
      </c>
      <c r="AV29" s="96">
        <f t="shared" si="40"/>
        <v>53.586362174332606</v>
      </c>
      <c r="AW29" s="96">
        <f t="shared" si="40"/>
        <v>148.51077516886423</v>
      </c>
      <c r="AX29" s="96">
        <f t="shared" si="40"/>
        <v>179.89707301383049</v>
      </c>
      <c r="AY29" s="96">
        <f t="shared" si="40"/>
        <v>140.47282084271416</v>
      </c>
      <c r="AZ29" s="96">
        <f t="shared" si="40"/>
        <v>19.137986490833008</v>
      </c>
      <c r="BA29" s="76">
        <v>1190</v>
      </c>
      <c r="BB29" s="42">
        <f>BZ29/100*$BA29</f>
        <v>0</v>
      </c>
      <c r="BC29" s="76">
        <f t="shared" si="35"/>
        <v>1190</v>
      </c>
      <c r="BD29" s="42">
        <v>0</v>
      </c>
      <c r="BE29" s="76">
        <f t="shared" si="36"/>
        <v>140</v>
      </c>
      <c r="BF29" s="42">
        <f t="shared" si="37"/>
        <v>1330</v>
      </c>
      <c r="BG29" s="43">
        <f t="shared" si="38"/>
        <v>0.97848836301992759</v>
      </c>
      <c r="BH29" s="43">
        <f t="shared" si="39"/>
        <v>0.29115491030578633</v>
      </c>
      <c r="BI29" s="42"/>
      <c r="BJ29" s="42"/>
      <c r="BK29" s="42"/>
      <c r="BL29" s="42"/>
      <c r="BM29" s="42"/>
      <c r="BN29" s="42"/>
      <c r="BO29" s="42"/>
      <c r="BP29" s="42"/>
      <c r="BQ29" s="42"/>
      <c r="BR29" s="42"/>
      <c r="BS29" s="66">
        <v>45.352203280797703</v>
      </c>
      <c r="BT29" s="66">
        <v>9.1347700225152799</v>
      </c>
      <c r="BU29" s="66">
        <v>4.5030556449018997</v>
      </c>
      <c r="BV29" s="66">
        <v>12.479897073013801</v>
      </c>
      <c r="BW29" s="66">
        <v>15.1174010935992</v>
      </c>
      <c r="BX29" s="66">
        <v>11.8044387262785</v>
      </c>
      <c r="BY29" s="66">
        <v>1.6082341588935301</v>
      </c>
      <c r="BZ29" s="66">
        <v>0</v>
      </c>
      <c r="CA29" s="42"/>
      <c r="CB29" s="42"/>
      <c r="CC29" s="42"/>
      <c r="CD29" s="42"/>
      <c r="CE29" s="42"/>
      <c r="CF29" s="42"/>
      <c r="CG29" s="42"/>
      <c r="CH29" s="42"/>
      <c r="CI29" s="42"/>
      <c r="CJ29" s="42"/>
      <c r="CK29" s="42"/>
      <c r="CL29" s="42"/>
      <c r="CM29" s="42"/>
      <c r="CN29" s="42"/>
      <c r="CO29" s="42"/>
      <c r="CP29" s="42"/>
      <c r="CQ29" s="42"/>
      <c r="CR29" s="42"/>
      <c r="CS29" s="42"/>
      <c r="CT29" s="42"/>
      <c r="CU29" s="42"/>
      <c r="CV29" s="42"/>
      <c r="CX29" s="42"/>
      <c r="CY29" s="42">
        <v>4600</v>
      </c>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row>
    <row r="30" spans="1:154" customFormat="1">
      <c r="A30" s="42"/>
      <c r="B30" s="57"/>
      <c r="C30" s="57"/>
      <c r="D30" s="42"/>
      <c r="E30" s="56"/>
      <c r="F30" s="42"/>
      <c r="G30" s="42"/>
      <c r="H30" s="42"/>
      <c r="I30" s="42"/>
      <c r="J30" s="44"/>
      <c r="K30" s="42"/>
      <c r="L30" s="42"/>
      <c r="M30" s="44"/>
      <c r="N30" s="42"/>
      <c r="O30" s="42"/>
      <c r="P30" s="42"/>
      <c r="Q30" s="76"/>
      <c r="R30" s="78"/>
      <c r="S30" s="78"/>
      <c r="T30" s="78"/>
      <c r="U30" s="78"/>
      <c r="V30" s="57"/>
      <c r="W30" s="53"/>
      <c r="X30" s="53"/>
      <c r="Y30" s="53"/>
      <c r="Z30" s="83"/>
      <c r="AA30" s="73"/>
      <c r="AB30" s="55"/>
      <c r="AC30" s="74"/>
      <c r="AD30" s="74"/>
      <c r="AE30" s="74"/>
      <c r="AJ30" s="42"/>
      <c r="AK30" s="42"/>
      <c r="AL30" s="42"/>
      <c r="AM30" s="76"/>
      <c r="AN30" s="42"/>
      <c r="AO30" s="42"/>
      <c r="AP30" s="42"/>
      <c r="AQ30" s="42"/>
      <c r="AR30" s="42"/>
      <c r="AS30" s="46"/>
      <c r="AT30" s="96"/>
      <c r="AU30" s="96"/>
      <c r="AV30" s="96"/>
      <c r="AW30" s="96"/>
      <c r="AX30" s="96"/>
      <c r="AY30" s="96"/>
      <c r="AZ30" s="96"/>
      <c r="BA30" s="76"/>
      <c r="BB30" s="42"/>
      <c r="BC30" s="76"/>
      <c r="BD30" s="42"/>
      <c r="BE30" s="76"/>
      <c r="BF30" s="42"/>
      <c r="BG30" s="52"/>
      <c r="BH30" s="52"/>
      <c r="BI30" s="42"/>
      <c r="BJ30" s="42"/>
      <c r="BK30" s="42"/>
      <c r="BL30" s="42"/>
      <c r="BM30" s="42"/>
      <c r="BN30" s="42"/>
      <c r="BO30" s="42"/>
      <c r="BP30" s="42"/>
      <c r="BQ30" s="42"/>
      <c r="BR30" s="42"/>
      <c r="BS30" s="66"/>
      <c r="BT30" s="66"/>
      <c r="BU30" s="66"/>
      <c r="BV30" s="66"/>
      <c r="BW30" s="66"/>
      <c r="BX30" s="66"/>
      <c r="BY30" s="66"/>
      <c r="BZ30" s="66"/>
      <c r="CA30" s="57"/>
      <c r="CB30" s="57"/>
      <c r="CC30" s="57"/>
      <c r="CD30" s="57"/>
      <c r="CE30" s="57"/>
      <c r="CF30" s="57"/>
      <c r="CG30" s="57"/>
      <c r="CH30" s="57"/>
      <c r="CI30" s="57"/>
      <c r="CJ30" s="57"/>
      <c r="CK30" s="57"/>
      <c r="CL30" s="57"/>
      <c r="CM30" s="57"/>
      <c r="CN30" s="57"/>
      <c r="CO30" s="57"/>
      <c r="CP30" s="57"/>
      <c r="CQ30" s="57"/>
      <c r="CR30" s="57"/>
      <c r="CS30" s="57"/>
      <c r="CT30" s="57"/>
      <c r="CU30" s="57"/>
      <c r="CV30" s="57"/>
      <c r="CX30" s="57"/>
      <c r="CY30" s="42"/>
      <c r="CZ30" s="42"/>
      <c r="DA30" s="42"/>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row>
    <row r="31" spans="1:154" s="37" customFormat="1" ht="12.75">
      <c r="A31" s="42"/>
      <c r="B31" s="52" t="s">
        <v>817</v>
      </c>
      <c r="C31" s="52" t="s">
        <v>755</v>
      </c>
      <c r="D31" s="43" t="s">
        <v>818</v>
      </c>
      <c r="E31" s="43" t="s">
        <v>720</v>
      </c>
      <c r="F31" s="42">
        <v>1953</v>
      </c>
      <c r="G31" s="43"/>
      <c r="H31" s="43">
        <v>88</v>
      </c>
      <c r="I31" s="43"/>
      <c r="J31" s="44">
        <f>IF(I31="",H31,I31)</f>
        <v>88</v>
      </c>
      <c r="K31" s="43">
        <v>9.73</v>
      </c>
      <c r="L31" s="43"/>
      <c r="M31" s="44">
        <f>IF(L31="",K31,L31)</f>
        <v>9.73</v>
      </c>
      <c r="N31" s="43">
        <v>5.6</v>
      </c>
      <c r="O31" s="43">
        <v>3.3</v>
      </c>
      <c r="P31" s="53">
        <f>N31-O31</f>
        <v>2.2999999999999998</v>
      </c>
      <c r="Q31" s="46">
        <v>1180</v>
      </c>
      <c r="R31" s="79">
        <f>S31*T31</f>
        <v>0.4582</v>
      </c>
      <c r="S31" s="79">
        <v>0.57999999999999996</v>
      </c>
      <c r="T31" s="79">
        <v>0.79</v>
      </c>
      <c r="U31" s="79"/>
      <c r="V31" s="52"/>
      <c r="W31" s="53">
        <f>J31/N31</f>
        <v>15.714285714285715</v>
      </c>
      <c r="X31" s="53">
        <f>J31/M31</f>
        <v>9.0441932168550867</v>
      </c>
      <c r="Y31" s="53">
        <f>M31/O31</f>
        <v>2.9484848484848487</v>
      </c>
      <c r="Z31" s="43">
        <v>28</v>
      </c>
      <c r="AA31" s="73">
        <f>P31/J31</f>
        <v>2.6136363636363635E-2</v>
      </c>
      <c r="AB31" s="55">
        <f>(Q31*2204.6/2240)/(0.01*J31*3.2808)^3</f>
        <v>48.25879868772293</v>
      </c>
      <c r="AC31" s="74">
        <f>J31*M31*N31</f>
        <v>4794.9439999999995</v>
      </c>
      <c r="AD31" s="74">
        <f>J31*(M31+N31)</f>
        <v>1349.04</v>
      </c>
      <c r="AE31" s="74">
        <f>J31*(M31+2*N31)</f>
        <v>1841.84</v>
      </c>
      <c r="AJ31" s="43">
        <v>1</v>
      </c>
      <c r="AK31" s="43">
        <v>11190</v>
      </c>
      <c r="AL31" s="46">
        <f>AJ31*AK31</f>
        <v>11190</v>
      </c>
      <c r="AM31" s="46">
        <f>AL31^0.5</f>
        <v>105.78279633286313</v>
      </c>
      <c r="AN31" s="43">
        <v>26</v>
      </c>
      <c r="AO31" s="43">
        <v>12</v>
      </c>
      <c r="AP31" s="43" t="s">
        <v>819</v>
      </c>
      <c r="AQ31" s="43"/>
      <c r="AR31" s="43">
        <v>140</v>
      </c>
      <c r="AS31" s="97">
        <f>AR31*AC31</f>
        <v>671292.15999999992</v>
      </c>
      <c r="AT31" s="46">
        <v>481.44</v>
      </c>
      <c r="AU31" s="46">
        <v>257.24</v>
      </c>
      <c r="AV31" s="46">
        <v>73.16</v>
      </c>
      <c r="AW31" s="46">
        <v>50.74</v>
      </c>
      <c r="AX31" s="46">
        <v>94.4</v>
      </c>
      <c r="AY31" s="46">
        <v>35.4</v>
      </c>
      <c r="AZ31" s="46">
        <v>57.82</v>
      </c>
      <c r="BA31" s="46">
        <f>SUM(AT31:AZ31)</f>
        <v>1050.2</v>
      </c>
      <c r="BB31" s="95"/>
      <c r="BC31" s="46">
        <f>SUM(BA31:BB31)</f>
        <v>1050.2</v>
      </c>
      <c r="BD31" s="43"/>
      <c r="BE31" s="46">
        <v>129.80000000000001</v>
      </c>
      <c r="BF31" s="43">
        <v>1180</v>
      </c>
      <c r="BG31" s="52">
        <f>AN31/SQRT(J31*3.2808)</f>
        <v>1.5301786346075716</v>
      </c>
      <c r="BH31" s="52">
        <f>BG31*1.6878/SQRT(32.174)</f>
        <v>0.45531356319454236</v>
      </c>
      <c r="BI31" s="43"/>
      <c r="BJ31" s="43"/>
      <c r="BK31" s="43"/>
      <c r="BL31" s="43"/>
      <c r="BM31" s="43"/>
      <c r="BN31" s="43"/>
      <c r="BO31" s="43"/>
      <c r="BP31" s="43"/>
      <c r="BQ31" s="43"/>
      <c r="BR31" s="43"/>
      <c r="BS31" s="44">
        <f t="shared" ref="BS31:BY31" si="41">AT31/$BC31*100</f>
        <v>45.842696629213478</v>
      </c>
      <c r="BT31" s="44">
        <f t="shared" si="41"/>
        <v>24.49438202247191</v>
      </c>
      <c r="BU31" s="44">
        <f t="shared" si="41"/>
        <v>6.9662921348314599</v>
      </c>
      <c r="BV31" s="44">
        <f t="shared" si="41"/>
        <v>4.8314606741573032</v>
      </c>
      <c r="BW31" s="44">
        <f t="shared" si="41"/>
        <v>8.9887640449438209</v>
      </c>
      <c r="BX31" s="44">
        <f t="shared" si="41"/>
        <v>3.3707865168539324</v>
      </c>
      <c r="BY31" s="44">
        <f t="shared" si="41"/>
        <v>5.5056179775280896</v>
      </c>
      <c r="BZ31" s="44">
        <f>BB31/$BC31*100</f>
        <v>0</v>
      </c>
      <c r="CA31" s="52"/>
      <c r="CB31" s="52"/>
      <c r="CC31" s="52"/>
      <c r="CD31" s="52"/>
      <c r="CE31" s="52"/>
      <c r="CF31" s="52"/>
      <c r="CG31" s="52"/>
      <c r="CH31" s="52"/>
      <c r="CI31" s="52"/>
      <c r="CJ31" s="52"/>
      <c r="CK31" s="52"/>
      <c r="CL31" s="52"/>
      <c r="CM31" s="52"/>
      <c r="CN31" s="52"/>
      <c r="CO31" s="52"/>
      <c r="CP31" s="52"/>
      <c r="CQ31" s="52"/>
      <c r="CR31" s="52"/>
      <c r="CS31" s="52"/>
      <c r="CT31" s="52"/>
      <c r="CU31" s="52"/>
      <c r="CV31" s="52"/>
      <c r="CX31" s="52"/>
      <c r="CY31" s="43"/>
      <c r="CZ31" s="43"/>
      <c r="DA31" s="43"/>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row>
    <row r="33" spans="1:154" s="37" customFormat="1" ht="12.75">
      <c r="B33" s="37" t="s">
        <v>717</v>
      </c>
      <c r="C33" s="37" t="s">
        <v>718</v>
      </c>
      <c r="D33" s="37" t="s">
        <v>719</v>
      </c>
      <c r="E33" s="37" t="s">
        <v>720</v>
      </c>
      <c r="F33" s="37">
        <v>1976</v>
      </c>
      <c r="G33" s="53">
        <f>100/3.2808</f>
        <v>30.480370641306997</v>
      </c>
      <c r="H33" s="58">
        <f>94.9/3.2808</f>
        <v>28.925871738600343</v>
      </c>
      <c r="I33" s="53"/>
      <c r="J33" s="66">
        <f t="shared" ref="J33:J38" si="42">IF(I33="",H33,I33)</f>
        <v>28.925871738600343</v>
      </c>
      <c r="K33" s="53">
        <f>14/3.2808</f>
        <v>4.2672518897829796</v>
      </c>
      <c r="L33" s="53">
        <v>5.6</v>
      </c>
      <c r="M33" s="66">
        <f t="shared" ref="M33:M38" si="43">IF(L33="",K33,L33)</f>
        <v>5.6</v>
      </c>
      <c r="N33" s="58">
        <f>8.37/3.2808</f>
        <v>2.5512070226773953</v>
      </c>
      <c r="O33" s="58">
        <v>1.175</v>
      </c>
      <c r="P33" s="53">
        <f>N33-O33</f>
        <v>1.3762070226773953</v>
      </c>
      <c r="Q33" s="55">
        <v>73.2</v>
      </c>
      <c r="R33" s="73"/>
      <c r="S33" s="73"/>
      <c r="T33" s="73"/>
      <c r="U33" s="73"/>
      <c r="V33" s="73"/>
      <c r="W33" s="53">
        <f t="shared" ref="W33:W38" si="44">J33/N33</f>
        <v>11.338112305854244</v>
      </c>
      <c r="X33" s="53">
        <f t="shared" ref="X33:X38" si="45">J33/M33</f>
        <v>5.1653342390357757</v>
      </c>
      <c r="Y33" s="53">
        <f t="shared" ref="Y33:Y38" si="46">M33/O33</f>
        <v>4.7659574468085104</v>
      </c>
      <c r="Z33" s="53">
        <f>H33/O33</f>
        <v>24.617763181787524</v>
      </c>
      <c r="AA33" s="73">
        <f t="shared" ref="AA33:AA38" si="47">P33/J33</f>
        <v>4.7577028451001036E-2</v>
      </c>
      <c r="AB33" s="55">
        <f t="shared" ref="AB33:AB38" si="48">(Q33*2204.6/2240)/(0.01*J33*3.2808)^3</f>
        <v>84.293527505338233</v>
      </c>
      <c r="AC33" s="74">
        <f t="shared" ref="AC33:AC38" si="49">J33*M33*N33</f>
        <v>413.25696785286357</v>
      </c>
      <c r="AD33" s="74">
        <f t="shared" ref="AD33:AD38" si="50">J33*(M33+N33)</f>
        <v>235.7807688527447</v>
      </c>
      <c r="AE33" s="74">
        <f t="shared" ref="AE33:AE38" si="51">J33*(M33+2*N33)</f>
        <v>309.57665596932748</v>
      </c>
      <c r="AF33" s="42"/>
      <c r="AG33" s="42"/>
      <c r="AH33" s="42"/>
      <c r="AI33" s="42"/>
      <c r="AJ33" s="84"/>
      <c r="AK33" s="80"/>
      <c r="AL33" s="74">
        <f>(1800*3+185*2)*0.7457</f>
        <v>4302.6890000000003</v>
      </c>
      <c r="AM33" s="74">
        <f t="shared" ref="AM33:AM38" si="52">AL33^0.5</f>
        <v>65.594885471353635</v>
      </c>
      <c r="AN33" s="74">
        <v>43.5</v>
      </c>
      <c r="AO33" s="74">
        <v>9</v>
      </c>
      <c r="AP33" s="37" t="s">
        <v>721</v>
      </c>
      <c r="AQ33" s="74">
        <v>60</v>
      </c>
      <c r="AR33" s="74">
        <v>11</v>
      </c>
      <c r="AS33" s="74">
        <f t="shared" ref="AS33:AS38" si="53">AR33*AC33</f>
        <v>4545.8266463814989</v>
      </c>
      <c r="AT33" s="74">
        <v>17.3</v>
      </c>
      <c r="AU33" s="74">
        <v>12.3</v>
      </c>
      <c r="AV33" s="74">
        <v>4.7</v>
      </c>
      <c r="AW33" s="74"/>
      <c r="AX33" s="74">
        <v>4.2</v>
      </c>
      <c r="AY33" s="74">
        <v>3.9</v>
      </c>
      <c r="AZ33" s="84"/>
      <c r="BA33" s="74">
        <f t="shared" ref="BA33:BA38" si="54">SUM(AT33:AZ33)</f>
        <v>42.400000000000006</v>
      </c>
      <c r="BB33" s="84"/>
      <c r="BC33" s="74">
        <f t="shared" ref="BC33:BC38" si="55">SUM(BA33:BB33)</f>
        <v>42.400000000000006</v>
      </c>
      <c r="BD33" s="84"/>
      <c r="BE33" s="84"/>
      <c r="BF33" s="74">
        <f>SUM(BC33:BE33)</f>
        <v>42.400000000000006</v>
      </c>
      <c r="BI33" s="74"/>
      <c r="BJ33" s="74"/>
      <c r="BK33" s="74"/>
      <c r="BL33" s="74"/>
      <c r="BM33" s="74"/>
      <c r="BN33" s="74"/>
      <c r="BO33" s="74"/>
      <c r="BP33" s="74"/>
      <c r="BQ33" s="74"/>
      <c r="BR33" s="74"/>
      <c r="BS33" s="55">
        <f t="shared" ref="BS33:BY36" si="56">AT33/$BC33*100</f>
        <v>40.801886792452827</v>
      </c>
      <c r="BT33" s="55">
        <f t="shared" si="56"/>
        <v>29.009433962264147</v>
      </c>
      <c r="BU33" s="55">
        <f t="shared" si="56"/>
        <v>11.084905660377357</v>
      </c>
      <c r="BV33" s="55">
        <f t="shared" si="56"/>
        <v>0</v>
      </c>
      <c r="BW33" s="55">
        <f t="shared" si="56"/>
        <v>9.9056603773584904</v>
      </c>
      <c r="BX33" s="55">
        <f t="shared" si="56"/>
        <v>9.1981132075471681</v>
      </c>
      <c r="BY33" s="55">
        <f t="shared" si="56"/>
        <v>0</v>
      </c>
      <c r="BZ33" s="55">
        <f t="shared" ref="BZ33:BZ38" si="57">BB33/$BC33*100</f>
        <v>0</v>
      </c>
      <c r="CW33" s="42"/>
      <c r="CY33" s="74"/>
      <c r="CZ33" s="74"/>
      <c r="DA33" s="74"/>
    </row>
    <row r="34" spans="1:154" s="37" customFormat="1">
      <c r="A34" s="37" t="s">
        <v>722</v>
      </c>
      <c r="B34" s="41"/>
      <c r="C34" s="37" t="s">
        <v>718</v>
      </c>
      <c r="D34" s="37" t="s">
        <v>723</v>
      </c>
      <c r="E34" s="37" t="s">
        <v>720</v>
      </c>
      <c r="G34" s="53">
        <v>50.15</v>
      </c>
      <c r="H34" s="53">
        <v>47.27</v>
      </c>
      <c r="I34" s="53"/>
      <c r="J34" s="44">
        <f t="shared" si="42"/>
        <v>47.27</v>
      </c>
      <c r="K34" s="53">
        <v>6.9088840120295902</v>
      </c>
      <c r="L34" s="53">
        <v>7.2771884906120503</v>
      </c>
      <c r="M34" s="44">
        <f t="shared" si="43"/>
        <v>7.2771884906120503</v>
      </c>
      <c r="N34" s="53">
        <v>4.1402503454442003</v>
      </c>
      <c r="O34" s="53">
        <v>1.5240185320653501</v>
      </c>
      <c r="P34" s="53">
        <f>N34-O34</f>
        <v>2.6162318133788505</v>
      </c>
      <c r="Q34" s="55">
        <f>BF34</f>
        <v>320.6771296380295</v>
      </c>
      <c r="U34" s="41"/>
      <c r="V34" s="41"/>
      <c r="W34" s="53">
        <f t="shared" si="44"/>
        <v>11.417184000000001</v>
      </c>
      <c r="X34" s="53">
        <f t="shared" si="45"/>
        <v>6.4956404607329805</v>
      </c>
      <c r="Y34" s="53">
        <f t="shared" si="46"/>
        <v>4.7750000000000021</v>
      </c>
      <c r="Z34" s="53">
        <f>H34/O34</f>
        <v>31.016683199999999</v>
      </c>
      <c r="AA34" s="73">
        <f t="shared" si="47"/>
        <v>5.5346558353688395E-2</v>
      </c>
      <c r="AB34" s="55">
        <f t="shared" si="48"/>
        <v>84.61623482581912</v>
      </c>
      <c r="AC34" s="74">
        <f t="shared" si="49"/>
        <v>1424.21589480337</v>
      </c>
      <c r="AD34" s="74">
        <f t="shared" si="50"/>
        <v>539.70233378037904</v>
      </c>
      <c r="AE34" s="74">
        <f t="shared" si="51"/>
        <v>735.4119676095263</v>
      </c>
      <c r="AF34" s="57"/>
      <c r="AG34" s="57"/>
      <c r="AH34" s="57"/>
      <c r="AI34" s="57"/>
      <c r="AJ34" s="84"/>
      <c r="AK34" s="84"/>
      <c r="AL34" s="74">
        <f>(12500+820*2)*0.7457</f>
        <v>10544.198</v>
      </c>
      <c r="AM34" s="74">
        <f t="shared" si="52"/>
        <v>102.68494534253792</v>
      </c>
      <c r="AN34" s="74">
        <v>37</v>
      </c>
      <c r="AO34" s="74">
        <v>16</v>
      </c>
      <c r="AP34" s="37" t="s">
        <v>721</v>
      </c>
      <c r="AQ34" s="74">
        <v>200</v>
      </c>
      <c r="AR34" s="74">
        <v>21</v>
      </c>
      <c r="AS34" s="74">
        <f t="shared" si="53"/>
        <v>29908.53379087077</v>
      </c>
      <c r="AT34" s="74">
        <v>70.107956091808006</v>
      </c>
      <c r="AU34" s="74">
        <v>53.851038737185903</v>
      </c>
      <c r="AV34" s="74">
        <v>10.160573346638801</v>
      </c>
      <c r="AW34" s="74">
        <v>12.192688015966599</v>
      </c>
      <c r="AX34" s="74">
        <v>24.385376031933198</v>
      </c>
      <c r="AY34" s="74">
        <v>24.385376031933198</v>
      </c>
      <c r="AZ34" s="74">
        <v>16.2569173546222</v>
      </c>
      <c r="BA34" s="74">
        <f t="shared" si="54"/>
        <v>211.3399256100879</v>
      </c>
      <c r="BB34" s="74">
        <v>21.337204027941599</v>
      </c>
      <c r="BC34" s="74">
        <f t="shared" si="55"/>
        <v>232.6771296380295</v>
      </c>
      <c r="BD34" s="84"/>
      <c r="BE34" s="74">
        <v>88</v>
      </c>
      <c r="BF34" s="74">
        <f>SUM(BC34:BE34)</f>
        <v>320.6771296380295</v>
      </c>
      <c r="BG34" s="40"/>
      <c r="BH34" s="40"/>
      <c r="BI34" s="74"/>
      <c r="BJ34" s="74"/>
      <c r="BK34" s="74"/>
      <c r="BL34" s="74"/>
      <c r="BM34" s="74"/>
      <c r="BN34" s="74"/>
      <c r="BO34" s="74"/>
      <c r="BP34" s="74"/>
      <c r="BQ34" s="74"/>
      <c r="BR34" s="74"/>
      <c r="BS34" s="55">
        <f t="shared" si="56"/>
        <v>30.131004366812224</v>
      </c>
      <c r="BT34" s="55">
        <f t="shared" si="56"/>
        <v>23.144104803493466</v>
      </c>
      <c r="BU34" s="55">
        <f t="shared" si="56"/>
        <v>4.3668122270742176</v>
      </c>
      <c r="BV34" s="55">
        <f t="shared" si="56"/>
        <v>5.2401746724890774</v>
      </c>
      <c r="BW34" s="55">
        <f t="shared" si="56"/>
        <v>10.480349344978155</v>
      </c>
      <c r="BX34" s="55">
        <f t="shared" si="56"/>
        <v>10.480349344978155</v>
      </c>
      <c r="BY34" s="55">
        <f t="shared" si="56"/>
        <v>6.9868995633187989</v>
      </c>
      <c r="BZ34" s="55">
        <f t="shared" si="57"/>
        <v>9.170305676855909</v>
      </c>
      <c r="CA34" s="41"/>
      <c r="CB34" s="40"/>
      <c r="CC34" s="40"/>
      <c r="CD34" s="40"/>
      <c r="CE34" s="40"/>
      <c r="CF34" s="40"/>
      <c r="CG34" s="40"/>
      <c r="CH34" s="40"/>
      <c r="CI34" s="40"/>
      <c r="CJ34" s="40"/>
      <c r="CK34" s="40"/>
      <c r="CL34" s="40"/>
      <c r="CM34" s="40"/>
      <c r="CN34" s="40"/>
      <c r="CO34" s="40"/>
      <c r="CP34" s="40"/>
      <c r="CQ34" s="40"/>
      <c r="CR34" s="40"/>
      <c r="CS34" s="40"/>
      <c r="CT34" s="40"/>
      <c r="CU34" s="40"/>
      <c r="CV34" s="40"/>
      <c r="CW34" s="57"/>
      <c r="CX34" s="40"/>
      <c r="CY34" s="74"/>
      <c r="CZ34" s="74"/>
      <c r="DA34" s="74"/>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row>
    <row r="35" spans="1:154" s="37" customFormat="1">
      <c r="A35" s="41" t="s">
        <v>738</v>
      </c>
      <c r="B35" s="40"/>
      <c r="C35" s="37" t="s">
        <v>718</v>
      </c>
      <c r="D35" s="37" t="s">
        <v>739</v>
      </c>
      <c r="E35" s="37" t="s">
        <v>727</v>
      </c>
      <c r="F35" s="41">
        <v>1978</v>
      </c>
      <c r="G35" s="53">
        <v>56.083881980004897</v>
      </c>
      <c r="H35" s="53">
        <v>51.816630090221899</v>
      </c>
      <c r="I35" s="53"/>
      <c r="J35" s="44">
        <f t="shared" si="42"/>
        <v>51.816630090221899</v>
      </c>
      <c r="K35" s="53">
        <v>7.6200926603267503</v>
      </c>
      <c r="L35" s="53">
        <v>8.4837031618304497</v>
      </c>
      <c r="M35" s="44">
        <f t="shared" si="43"/>
        <v>8.4837031618304497</v>
      </c>
      <c r="N35" s="53">
        <v>4.5720555961960496</v>
      </c>
      <c r="O35" s="53">
        <v>1.7018206941396401</v>
      </c>
      <c r="P35" s="53">
        <f>N35-O35</f>
        <v>2.8702349020564095</v>
      </c>
      <c r="Q35" s="55">
        <f>BF35</f>
        <v>320.38737185884065</v>
      </c>
      <c r="R35" s="37">
        <v>0.48</v>
      </c>
      <c r="S35" s="37">
        <v>0.67</v>
      </c>
      <c r="T35" s="37">
        <v>0.72</v>
      </c>
      <c r="U35" s="40"/>
      <c r="V35" s="40"/>
      <c r="W35" s="53">
        <f t="shared" si="44"/>
        <v>11.333333333333334</v>
      </c>
      <c r="X35" s="53">
        <f t="shared" si="45"/>
        <v>6.1077844311377234</v>
      </c>
      <c r="Y35" s="53">
        <f t="shared" si="46"/>
        <v>4.9850746268656749</v>
      </c>
      <c r="Z35" s="53">
        <f>H35/O35</f>
        <v>30.447761194029862</v>
      </c>
      <c r="AA35" s="73">
        <f t="shared" si="47"/>
        <v>5.5392156862745102E-2</v>
      </c>
      <c r="AB35" s="55">
        <f t="shared" si="48"/>
        <v>64.181580936872976</v>
      </c>
      <c r="AC35" s="74">
        <f t="shared" si="49"/>
        <v>2009.8615057233646</v>
      </c>
      <c r="AD35" s="74">
        <f t="shared" si="50"/>
        <v>676.50542211183404</v>
      </c>
      <c r="AE35" s="74">
        <f t="shared" si="51"/>
        <v>913.41393569185379</v>
      </c>
      <c r="AJ35" s="84"/>
      <c r="AK35" s="84"/>
      <c r="AL35" s="74">
        <f>(16000+1115)*0.7457</f>
        <v>12762.655500000001</v>
      </c>
      <c r="AM35" s="74">
        <f t="shared" si="52"/>
        <v>112.97192350314303</v>
      </c>
      <c r="AN35" s="74">
        <v>36</v>
      </c>
      <c r="AO35" s="74">
        <v>14</v>
      </c>
      <c r="AP35" s="37" t="s">
        <v>721</v>
      </c>
      <c r="AQ35" s="84"/>
      <c r="AR35" s="74">
        <v>32</v>
      </c>
      <c r="AS35" s="74">
        <f t="shared" si="53"/>
        <v>64315.568183147669</v>
      </c>
      <c r="AT35" s="74">
        <v>74.304272883969901</v>
      </c>
      <c r="AU35" s="74">
        <v>50.538691826181598</v>
      </c>
      <c r="AV35" s="74">
        <v>10.2621790801052</v>
      </c>
      <c r="AW35" s="74">
        <v>12.548308083099</v>
      </c>
      <c r="AX35" s="74">
        <v>26.8442347818198</v>
      </c>
      <c r="AY35" s="74">
        <v>26.285403247754701</v>
      </c>
      <c r="AZ35" s="74">
        <v>15.9317790075297</v>
      </c>
      <c r="BA35" s="74">
        <f t="shared" si="54"/>
        <v>216.71486891045993</v>
      </c>
      <c r="BB35" s="74">
        <v>21.6725029483807</v>
      </c>
      <c r="BC35" s="74">
        <f t="shared" si="55"/>
        <v>238.38737185884062</v>
      </c>
      <c r="BD35" s="84"/>
      <c r="BE35" s="74">
        <v>82</v>
      </c>
      <c r="BF35" s="74">
        <f>SUM(BC35:BE35)</f>
        <v>320.38737185884065</v>
      </c>
      <c r="BI35" s="74"/>
      <c r="BJ35" s="74"/>
      <c r="BK35" s="74"/>
      <c r="BL35" s="74"/>
      <c r="BM35" s="74"/>
      <c r="BN35" s="74"/>
      <c r="BO35" s="74"/>
      <c r="BP35" s="74"/>
      <c r="BQ35" s="74"/>
      <c r="BR35" s="74"/>
      <c r="BS35" s="55">
        <f t="shared" si="56"/>
        <v>31.169550762935817</v>
      </c>
      <c r="BT35" s="55">
        <f t="shared" si="56"/>
        <v>21.200238683829159</v>
      </c>
      <c r="BU35" s="55">
        <f t="shared" si="56"/>
        <v>4.3048333475406899</v>
      </c>
      <c r="BV35" s="55">
        <f t="shared" si="56"/>
        <v>5.2638308754581979</v>
      </c>
      <c r="BW35" s="55">
        <f t="shared" si="56"/>
        <v>11.260762083368837</v>
      </c>
      <c r="BX35" s="55">
        <f t="shared" si="56"/>
        <v>11.026340465433469</v>
      </c>
      <c r="BY35" s="55">
        <f t="shared" si="56"/>
        <v>6.6831472167760584</v>
      </c>
      <c r="BZ35" s="55">
        <f t="shared" si="57"/>
        <v>9.0912965646577604</v>
      </c>
      <c r="CY35" s="74"/>
      <c r="CZ35" s="74"/>
      <c r="DA35" s="74"/>
    </row>
    <row r="36" spans="1:154" s="37" customFormat="1">
      <c r="A36" s="37" t="s">
        <v>742</v>
      </c>
      <c r="C36" s="41" t="s">
        <v>718</v>
      </c>
      <c r="D36" s="37" t="s">
        <v>743</v>
      </c>
      <c r="E36" s="37" t="s">
        <v>727</v>
      </c>
      <c r="F36" s="37">
        <v>1972</v>
      </c>
      <c r="G36" s="53"/>
      <c r="H36" s="53">
        <v>53.340648622287198</v>
      </c>
      <c r="I36" s="53"/>
      <c r="J36" s="44">
        <f t="shared" si="42"/>
        <v>53.340648622287198</v>
      </c>
      <c r="K36" s="53">
        <v>7.9248963667398202</v>
      </c>
      <c r="L36" s="53">
        <v>8.3821019263594199</v>
      </c>
      <c r="M36" s="44">
        <f t="shared" si="43"/>
        <v>8.3821019263594199</v>
      </c>
      <c r="N36" s="53">
        <v>4.8768593026091196</v>
      </c>
      <c r="O36" s="53">
        <v>1.98122409168495</v>
      </c>
      <c r="P36" s="53">
        <f>N36-O36</f>
        <v>2.8956352109241696</v>
      </c>
      <c r="Q36" s="55">
        <f>BF36</f>
        <v>409.877528803411</v>
      </c>
      <c r="R36" s="37">
        <v>0.48</v>
      </c>
      <c r="S36" s="37">
        <v>0.67</v>
      </c>
      <c r="T36" s="37">
        <v>0.72</v>
      </c>
      <c r="W36" s="53">
        <f t="shared" si="44"/>
        <v>10.937499999999989</v>
      </c>
      <c r="X36" s="53">
        <f t="shared" si="45"/>
        <v>6.3636363636363615</v>
      </c>
      <c r="Y36" s="53">
        <f t="shared" si="46"/>
        <v>4.2307692307692388</v>
      </c>
      <c r="Z36" s="53">
        <f>H36/O36</f>
        <v>26.923076923076966</v>
      </c>
      <c r="AA36" s="73">
        <f t="shared" si="47"/>
        <v>5.4285714285714423E-2</v>
      </c>
      <c r="AB36" s="55">
        <f t="shared" si="48"/>
        <v>75.269970845481197</v>
      </c>
      <c r="AC36" s="74">
        <f t="shared" si="49"/>
        <v>2180.4767304078732</v>
      </c>
      <c r="AD36" s="74">
        <f t="shared" si="50"/>
        <v>707.24159201094005</v>
      </c>
      <c r="AE36" s="74">
        <f t="shared" si="51"/>
        <v>967.37643045174559</v>
      </c>
      <c r="AJ36" s="74">
        <v>2</v>
      </c>
      <c r="AK36" s="74">
        <f>AL36/AJ36</f>
        <v>8247.4420000000009</v>
      </c>
      <c r="AL36" s="74">
        <f>(19500+2620)*0.7457</f>
        <v>16494.884000000002</v>
      </c>
      <c r="AM36" s="74">
        <f t="shared" si="52"/>
        <v>128.43241023978334</v>
      </c>
      <c r="AN36" s="74">
        <v>41</v>
      </c>
      <c r="AO36" s="74">
        <v>16</v>
      </c>
      <c r="AP36" s="37" t="s">
        <v>721</v>
      </c>
      <c r="AQ36" s="84"/>
      <c r="AR36" s="74">
        <v>34</v>
      </c>
      <c r="AS36" s="74">
        <f t="shared" si="53"/>
        <v>74136.208833867684</v>
      </c>
      <c r="AT36" s="74">
        <v>98.049532795064906</v>
      </c>
      <c r="AU36" s="74">
        <v>73.664156763131601</v>
      </c>
      <c r="AV36" s="74">
        <v>15.0376485530255</v>
      </c>
      <c r="AW36" s="74">
        <v>17.476186156218802</v>
      </c>
      <c r="AX36" s="74">
        <v>37.594121382563699</v>
      </c>
      <c r="AY36" s="74">
        <v>36.070035380567901</v>
      </c>
      <c r="AZ36" s="74">
        <v>15.748888687290201</v>
      </c>
      <c r="BA36" s="74">
        <f t="shared" si="54"/>
        <v>293.6405697178626</v>
      </c>
      <c r="BB36" s="74">
        <v>28.449605370588799</v>
      </c>
      <c r="BC36" s="74">
        <f t="shared" si="55"/>
        <v>322.09017508845142</v>
      </c>
      <c r="BD36" s="84"/>
      <c r="BE36" s="74">
        <v>87.787353714959593</v>
      </c>
      <c r="BF36" s="74">
        <f>SUM(BC36:BE36)</f>
        <v>409.877528803411</v>
      </c>
      <c r="BG36"/>
      <c r="BH36"/>
      <c r="BI36" s="74"/>
      <c r="BJ36" s="74"/>
      <c r="BK36" s="74"/>
      <c r="BL36" s="74"/>
      <c r="BM36" s="74"/>
      <c r="BN36" s="74"/>
      <c r="BO36" s="74"/>
      <c r="BP36" s="74"/>
      <c r="BQ36" s="74"/>
      <c r="BR36" s="74"/>
      <c r="BS36" s="55">
        <f t="shared" si="56"/>
        <v>30.441640378548907</v>
      </c>
      <c r="BT36" s="55">
        <f t="shared" si="56"/>
        <v>22.870662460567814</v>
      </c>
      <c r="BU36" s="55">
        <f t="shared" si="56"/>
        <v>4.668769716088331</v>
      </c>
      <c r="BV36" s="55">
        <f t="shared" si="56"/>
        <v>5.4258675078864309</v>
      </c>
      <c r="BW36" s="55">
        <f t="shared" si="56"/>
        <v>11.67192429022081</v>
      </c>
      <c r="BX36" s="55">
        <f t="shared" si="56"/>
        <v>11.198738170347003</v>
      </c>
      <c r="BY36" s="55">
        <f t="shared" si="56"/>
        <v>4.8895899053627723</v>
      </c>
      <c r="BZ36" s="55">
        <f t="shared" si="57"/>
        <v>8.832807570977927</v>
      </c>
      <c r="CB36"/>
      <c r="CC36"/>
      <c r="CD36"/>
      <c r="CE36"/>
      <c r="CF36"/>
      <c r="CG36"/>
      <c r="CH36"/>
      <c r="CI36"/>
      <c r="CJ36"/>
      <c r="CK36"/>
      <c r="CL36"/>
      <c r="CM36"/>
      <c r="CN36"/>
      <c r="CO36"/>
      <c r="CP36"/>
      <c r="CQ36"/>
      <c r="CR36"/>
      <c r="CS36"/>
      <c r="CT36"/>
      <c r="CU36"/>
      <c r="CV36"/>
      <c r="CX36"/>
      <c r="CY36" s="74">
        <f>58780/3.2808^3</f>
        <v>1664.5249638100645</v>
      </c>
      <c r="CZ36" s="74"/>
      <c r="DA36" s="74"/>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row>
    <row r="37" spans="1:154" s="37" customFormat="1">
      <c r="A37" s="40"/>
      <c r="B37" s="37" t="s">
        <v>539</v>
      </c>
      <c r="C37" s="37" t="s">
        <v>718</v>
      </c>
      <c r="D37" s="37" t="s">
        <v>744</v>
      </c>
      <c r="E37" s="37" t="s">
        <v>732</v>
      </c>
      <c r="F37" s="40"/>
      <c r="G37" s="53">
        <v>58.034625701048498</v>
      </c>
      <c r="H37" s="53"/>
      <c r="I37" s="53">
        <v>54.255059741526502</v>
      </c>
      <c r="J37" s="44">
        <f t="shared" si="42"/>
        <v>54.255059741526502</v>
      </c>
      <c r="K37" s="53">
        <v>8.1992197025115807</v>
      </c>
      <c r="L37" s="53"/>
      <c r="M37" s="44">
        <f t="shared" si="43"/>
        <v>8.1992197025115807</v>
      </c>
      <c r="N37" s="58">
        <v>4.2159108399439003</v>
      </c>
      <c r="O37" s="53">
        <v>2.1945866861740999</v>
      </c>
      <c r="P37" s="53">
        <f>N37-O37</f>
        <v>2.0213241537698003</v>
      </c>
      <c r="Q37" s="55">
        <v>518.18924067858097</v>
      </c>
      <c r="R37" s="73">
        <v>0.47</v>
      </c>
      <c r="S37" s="73">
        <v>0.66100000000000003</v>
      </c>
      <c r="T37" s="73">
        <v>0.71099999999999997</v>
      </c>
      <c r="U37" s="73"/>
      <c r="V37" s="73">
        <v>4.7E-2</v>
      </c>
      <c r="W37" s="53">
        <f t="shared" si="44"/>
        <v>12.869119343673894</v>
      </c>
      <c r="X37" s="53">
        <f t="shared" si="45"/>
        <v>6.6171003717472185</v>
      </c>
      <c r="Y37" s="53">
        <f t="shared" si="46"/>
        <v>3.7361111111111169</v>
      </c>
      <c r="Z37" s="53">
        <f>I37/O37</f>
        <v>24.722222222222289</v>
      </c>
      <c r="AA37" s="73">
        <f t="shared" si="47"/>
        <v>3.7255956649932337E-2</v>
      </c>
      <c r="AB37" s="55">
        <f t="shared" si="48"/>
        <v>90.429508247880122</v>
      </c>
      <c r="AC37" s="74">
        <f t="shared" si="49"/>
        <v>1875.4443738345026</v>
      </c>
      <c r="AD37" s="74">
        <f t="shared" si="50"/>
        <v>673.58364927977243</v>
      </c>
      <c r="AE37" s="74">
        <f t="shared" si="51"/>
        <v>902.31814376587795</v>
      </c>
      <c r="AF37" s="40"/>
      <c r="AG37" s="40"/>
      <c r="AH37" s="40"/>
      <c r="AI37" s="40"/>
      <c r="AJ37" s="84"/>
      <c r="AK37" s="80"/>
      <c r="AL37" s="74">
        <f>26600*0.7457</f>
        <v>19835.62</v>
      </c>
      <c r="AM37" s="74">
        <f t="shared" si="52"/>
        <v>140.83898607984935</v>
      </c>
      <c r="AN37" s="74">
        <v>32</v>
      </c>
      <c r="AO37" s="74"/>
      <c r="AP37" s="37" t="s">
        <v>721</v>
      </c>
      <c r="AQ37" s="84"/>
      <c r="AR37" s="74">
        <v>38</v>
      </c>
      <c r="AS37" s="74">
        <f t="shared" si="53"/>
        <v>71266.886205711096</v>
      </c>
      <c r="AT37" s="74">
        <v>142.24802685294401</v>
      </c>
      <c r="AU37" s="74">
        <v>83.3167014424385</v>
      </c>
      <c r="AV37" s="74">
        <v>26.417490701260999</v>
      </c>
      <c r="AW37" s="74">
        <v>16.2569173546222</v>
      </c>
      <c r="AX37" s="74">
        <v>86.364873446430195</v>
      </c>
      <c r="AY37" s="74">
        <v>30.4817200399165</v>
      </c>
      <c r="AZ37" s="74">
        <v>21.337204027941599</v>
      </c>
      <c r="BA37" s="74">
        <f t="shared" si="54"/>
        <v>406.422933865554</v>
      </c>
      <c r="BB37" s="84"/>
      <c r="BC37" s="74">
        <f t="shared" si="55"/>
        <v>406.422933865554</v>
      </c>
      <c r="BD37" s="84"/>
      <c r="BE37" s="74">
        <v>111.766306813027</v>
      </c>
      <c r="BF37" s="74">
        <v>518.18924067858097</v>
      </c>
      <c r="BG37" s="40"/>
      <c r="BH37" s="40"/>
      <c r="BI37" s="74"/>
      <c r="BJ37" s="74"/>
      <c r="BK37" s="74"/>
      <c r="BL37" s="74"/>
      <c r="BM37" s="74"/>
      <c r="BN37" s="74"/>
      <c r="BO37" s="74"/>
      <c r="BP37" s="74"/>
      <c r="BQ37" s="74"/>
      <c r="BR37" s="74"/>
      <c r="BS37" s="55">
        <v>35</v>
      </c>
      <c r="BT37" s="55">
        <v>20.5</v>
      </c>
      <c r="BU37" s="55">
        <v>6.5</v>
      </c>
      <c r="BV37" s="55">
        <v>4</v>
      </c>
      <c r="BW37" s="55">
        <v>21.25</v>
      </c>
      <c r="BX37" s="55">
        <v>7.5</v>
      </c>
      <c r="BY37" s="55">
        <v>5.25</v>
      </c>
      <c r="BZ37" s="55">
        <f t="shared" si="57"/>
        <v>0</v>
      </c>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74"/>
      <c r="CZ37" s="74"/>
      <c r="DA37" s="74"/>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row>
    <row r="38" spans="1:154" s="37" customFormat="1">
      <c r="A38" s="51"/>
      <c r="B38" s="52" t="s">
        <v>823</v>
      </c>
      <c r="C38" s="52" t="s">
        <v>824</v>
      </c>
      <c r="D38" s="43" t="s">
        <v>825</v>
      </c>
      <c r="E38" s="42" t="s">
        <v>811</v>
      </c>
      <c r="F38" s="51"/>
      <c r="G38" s="44">
        <v>106.29</v>
      </c>
      <c r="H38" s="40"/>
      <c r="I38" s="44">
        <v>99.5</v>
      </c>
      <c r="J38" s="44">
        <f t="shared" si="42"/>
        <v>99.5</v>
      </c>
      <c r="K38" s="45">
        <v>13.75</v>
      </c>
      <c r="L38" s="45">
        <v>15.17</v>
      </c>
      <c r="M38" s="44">
        <f t="shared" si="43"/>
        <v>15.17</v>
      </c>
      <c r="N38" s="64">
        <v>8.5</v>
      </c>
      <c r="O38" s="45">
        <v>4.2</v>
      </c>
      <c r="P38" s="45">
        <v>6.8448275862069003</v>
      </c>
      <c r="Q38" s="46">
        <v>2986</v>
      </c>
      <c r="R38" s="79"/>
      <c r="S38" s="79"/>
      <c r="T38" s="79"/>
      <c r="U38" s="79"/>
      <c r="V38"/>
      <c r="W38" s="53">
        <f t="shared" si="44"/>
        <v>11.705882352941176</v>
      </c>
      <c r="X38" s="53">
        <f t="shared" si="45"/>
        <v>6.5589980224126565</v>
      </c>
      <c r="Y38" s="53">
        <f t="shared" si="46"/>
        <v>3.611904761904762</v>
      </c>
      <c r="Z38" s="45">
        <f>I38/O38</f>
        <v>23.69047619047619</v>
      </c>
      <c r="AA38" s="73">
        <f t="shared" si="47"/>
        <v>6.8792237047305527E-2</v>
      </c>
      <c r="AB38" s="55">
        <f t="shared" si="48"/>
        <v>84.481784152365975</v>
      </c>
      <c r="AC38" s="74">
        <f t="shared" si="49"/>
        <v>12830.0275</v>
      </c>
      <c r="AD38" s="74">
        <f t="shared" si="50"/>
        <v>2355.165</v>
      </c>
      <c r="AE38" s="74">
        <f t="shared" si="51"/>
        <v>3200.915</v>
      </c>
      <c r="AF38" s="57"/>
      <c r="AG38" s="57"/>
      <c r="AH38" s="57"/>
      <c r="AI38" s="57"/>
      <c r="AJ38" s="40"/>
      <c r="AK38" s="40"/>
      <c r="AL38" s="46">
        <v>54227</v>
      </c>
      <c r="AM38" s="46">
        <f t="shared" si="52"/>
        <v>232.86691478181265</v>
      </c>
      <c r="AN38" s="40"/>
      <c r="AO38" s="40"/>
      <c r="AP38" s="43" t="s">
        <v>721</v>
      </c>
      <c r="AQ38" s="40"/>
      <c r="AR38" s="46">
        <v>85</v>
      </c>
      <c r="AS38" s="46">
        <f t="shared" si="53"/>
        <v>1090552.3374999999</v>
      </c>
      <c r="AT38" s="46">
        <v>1057.0999999999999</v>
      </c>
      <c r="AU38" s="46">
        <v>305</v>
      </c>
      <c r="AV38" s="46">
        <v>122.4</v>
      </c>
      <c r="AW38" s="46">
        <v>79.8</v>
      </c>
      <c r="AX38" s="46">
        <v>395.8</v>
      </c>
      <c r="AY38" s="46">
        <v>154.69999999999999</v>
      </c>
      <c r="AZ38" s="46">
        <v>120.5</v>
      </c>
      <c r="BA38" s="46">
        <f t="shared" si="54"/>
        <v>2235.2999999999997</v>
      </c>
      <c r="BB38" s="46">
        <v>156.5</v>
      </c>
      <c r="BC38" s="46">
        <f t="shared" si="55"/>
        <v>2391.7999999999997</v>
      </c>
      <c r="BD38" s="40"/>
      <c r="BE38" s="46">
        <v>594.5</v>
      </c>
      <c r="BF38" s="46">
        <f>SUM(BC38:BE38)</f>
        <v>2986.2999999999997</v>
      </c>
      <c r="BG38" s="42"/>
      <c r="BH38" s="40"/>
      <c r="BI38" s="42"/>
      <c r="BJ38" s="42"/>
      <c r="BK38" s="42"/>
      <c r="BL38" s="42"/>
      <c r="BM38" s="42"/>
      <c r="BN38" s="42"/>
      <c r="BO38" s="42"/>
      <c r="BP38" s="42"/>
      <c r="BQ38" s="42"/>
      <c r="BR38" s="42"/>
      <c r="BS38" s="44">
        <f t="shared" ref="BS38:BY38" si="58">AT38/$BC38*100</f>
        <v>44.196839200602057</v>
      </c>
      <c r="BT38" s="44">
        <f t="shared" si="58"/>
        <v>12.751902332970985</v>
      </c>
      <c r="BU38" s="44">
        <f t="shared" si="58"/>
        <v>5.1174847395267165</v>
      </c>
      <c r="BV38" s="44">
        <f t="shared" si="58"/>
        <v>3.3363993644953593</v>
      </c>
      <c r="BW38" s="44">
        <f t="shared" si="58"/>
        <v>16.548206371770217</v>
      </c>
      <c r="BX38" s="44">
        <f t="shared" si="58"/>
        <v>6.4679321013462676</v>
      </c>
      <c r="BY38" s="44">
        <f t="shared" si="58"/>
        <v>5.0380466594196847</v>
      </c>
      <c r="BZ38" s="44">
        <f t="shared" si="57"/>
        <v>6.5431892298687195</v>
      </c>
      <c r="CA38" s="99">
        <v>5.88</v>
      </c>
      <c r="CB38" s="45">
        <v>3.16</v>
      </c>
      <c r="CC38" s="45">
        <v>6.21</v>
      </c>
      <c r="CD38" s="45">
        <v>9.7799999999999994</v>
      </c>
      <c r="CE38" s="45">
        <v>5.77</v>
      </c>
      <c r="CF38" s="45">
        <v>7.42</v>
      </c>
      <c r="CG38" s="45">
        <v>9.49</v>
      </c>
      <c r="CH38" s="45">
        <v>6.37</v>
      </c>
      <c r="CI38" s="45">
        <v>6.37</v>
      </c>
      <c r="CJ38" s="40"/>
      <c r="CK38" s="40"/>
      <c r="CL38" s="45">
        <f t="shared" ref="CL38:CT38" si="59">CA38/$N38</f>
        <v>0.69176470588235295</v>
      </c>
      <c r="CM38" s="45">
        <f t="shared" si="59"/>
        <v>0.37176470588235294</v>
      </c>
      <c r="CN38" s="45">
        <f t="shared" si="59"/>
        <v>0.73058823529411765</v>
      </c>
      <c r="CO38" s="45">
        <f t="shared" si="59"/>
        <v>1.1505882352941175</v>
      </c>
      <c r="CP38" s="45">
        <f t="shared" si="59"/>
        <v>0.6788235294117646</v>
      </c>
      <c r="CQ38" s="45">
        <f t="shared" si="59"/>
        <v>0.87294117647058822</v>
      </c>
      <c r="CR38" s="45">
        <f t="shared" si="59"/>
        <v>1.1164705882352941</v>
      </c>
      <c r="CS38" s="45">
        <f t="shared" si="59"/>
        <v>0.74941176470588233</v>
      </c>
      <c r="CT38" s="45">
        <f t="shared" si="59"/>
        <v>0.74941176470588233</v>
      </c>
      <c r="CU38" s="40"/>
      <c r="CV38" s="40"/>
      <c r="CW38" s="57"/>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row>
    <row r="39" spans="1:154" s="41" customFormat="1">
      <c r="A39" s="51"/>
      <c r="B39" s="52"/>
      <c r="C39" s="52"/>
      <c r="D39" s="43"/>
      <c r="E39" s="42"/>
      <c r="F39" s="51"/>
      <c r="G39" s="44"/>
      <c r="H39" s="40"/>
      <c r="I39" s="44"/>
      <c r="J39" s="44"/>
      <c r="K39" s="45"/>
      <c r="L39" s="45"/>
      <c r="M39" s="44"/>
      <c r="N39" s="64"/>
      <c r="O39" s="45"/>
      <c r="P39" s="45"/>
      <c r="Q39" s="46"/>
      <c r="R39" s="79"/>
      <c r="S39" s="79"/>
      <c r="T39" s="79"/>
      <c r="U39" s="79"/>
      <c r="V39"/>
      <c r="W39" s="53"/>
      <c r="X39" s="53"/>
      <c r="Y39" s="53"/>
      <c r="Z39" s="45"/>
      <c r="AA39" s="73"/>
      <c r="AB39" s="55"/>
      <c r="AC39" s="74"/>
      <c r="AD39" s="74"/>
      <c r="AE39" s="74"/>
      <c r="AF39" s="57"/>
      <c r="AG39" s="57"/>
      <c r="AH39" s="57"/>
      <c r="AI39" s="57"/>
      <c r="AJ39" s="40"/>
      <c r="AK39" s="40"/>
      <c r="AL39" s="46"/>
      <c r="AM39" s="46"/>
      <c r="AN39" s="40"/>
      <c r="AO39" s="40"/>
      <c r="AP39" s="43"/>
      <c r="AQ39" s="40"/>
      <c r="AR39" s="46"/>
      <c r="AS39" s="46"/>
      <c r="AT39" s="46"/>
      <c r="AU39" s="46"/>
      <c r="AV39" s="46"/>
      <c r="AW39" s="46"/>
      <c r="AX39" s="46"/>
      <c r="AY39" s="46"/>
      <c r="AZ39" s="46"/>
      <c r="BA39" s="46"/>
      <c r="BB39" s="46"/>
      <c r="BC39" s="46"/>
      <c r="BD39" s="40"/>
      <c r="BE39" s="46"/>
      <c r="BF39" s="46"/>
      <c r="BG39" s="42"/>
      <c r="BH39" s="40"/>
      <c r="BI39" s="42"/>
      <c r="BJ39" s="42"/>
      <c r="BK39" s="42"/>
      <c r="BL39" s="42"/>
      <c r="BM39" s="42"/>
      <c r="BN39" s="42"/>
      <c r="BO39" s="42"/>
      <c r="BP39" s="42"/>
      <c r="BQ39" s="42"/>
      <c r="BR39" s="42"/>
      <c r="BS39" s="44"/>
      <c r="BT39" s="44"/>
      <c r="BU39" s="44"/>
      <c r="BV39" s="44"/>
      <c r="BW39" s="44"/>
      <c r="BX39" s="44"/>
      <c r="BY39" s="44"/>
      <c r="BZ39" s="44"/>
      <c r="CA39" s="99"/>
      <c r="CB39" s="45"/>
      <c r="CC39" s="45"/>
      <c r="CD39" s="45"/>
      <c r="CE39" s="45"/>
      <c r="CF39" s="45"/>
      <c r="CG39" s="45"/>
      <c r="CH39" s="45"/>
      <c r="CI39" s="45"/>
      <c r="CJ39" s="40"/>
      <c r="CK39" s="40"/>
      <c r="CL39" s="45"/>
      <c r="CM39" s="45"/>
      <c r="CN39" s="45"/>
      <c r="CO39" s="45"/>
      <c r="CP39" s="45"/>
      <c r="CQ39" s="45"/>
      <c r="CR39" s="45"/>
      <c r="CS39" s="45"/>
      <c r="CT39" s="45"/>
      <c r="CU39" s="40"/>
      <c r="CV39" s="40"/>
      <c r="CW39" s="57"/>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row>
    <row r="40" spans="1:154">
      <c r="A40" s="42" t="s">
        <v>729</v>
      </c>
      <c r="B40" s="43" t="s">
        <v>729</v>
      </c>
      <c r="C40" s="43" t="s">
        <v>730</v>
      </c>
      <c r="D40" s="43" t="s">
        <v>731</v>
      </c>
      <c r="E40" s="43" t="s">
        <v>732</v>
      </c>
      <c r="F40" s="51"/>
      <c r="G40" s="44">
        <v>56.083881980004897</v>
      </c>
      <c r="H40" s="40"/>
      <c r="I40" s="44">
        <v>49.987807851743497</v>
      </c>
      <c r="J40" s="44">
        <f>IF(I40="",H40,I40)</f>
        <v>49.987807851743497</v>
      </c>
      <c r="K40" s="44">
        <v>8.7478663740551106</v>
      </c>
      <c r="L40" s="59"/>
      <c r="M40" s="44">
        <f>IF(L40="",K40,L40)</f>
        <v>8.7478663740551106</v>
      </c>
      <c r="N40" s="64">
        <v>4.9784605380801397</v>
      </c>
      <c r="O40" s="44">
        <v>2.1945866861740999</v>
      </c>
      <c r="P40" s="53">
        <f>N40-O40</f>
        <v>2.7838738519060398</v>
      </c>
      <c r="Q40" s="46">
        <v>456.20974326408401</v>
      </c>
      <c r="R40" s="71">
        <v>0.45500000000000002</v>
      </c>
      <c r="S40" s="71">
        <v>0.78500000000000003</v>
      </c>
      <c r="T40" s="71">
        <v>0.57999999999999996</v>
      </c>
      <c r="U40" s="71"/>
      <c r="V40" s="43">
        <v>0.06</v>
      </c>
      <c r="W40" s="53">
        <f>J40/N40</f>
        <v>10.040816326530623</v>
      </c>
      <c r="X40" s="53">
        <f>J40/M40</f>
        <v>5.7142857142857153</v>
      </c>
      <c r="Y40" s="53">
        <f>M40/O40</f>
        <v>3.9861111111111192</v>
      </c>
      <c r="Z40" s="45">
        <f>I40/O40</f>
        <v>22.777777777777828</v>
      </c>
      <c r="AA40" s="73">
        <f>P40/J40</f>
        <v>5.5691056910569095E-2</v>
      </c>
      <c r="AB40" s="55">
        <f>(Q40*2204.6/2240)/(0.01*J40*3.2808)^3</f>
        <v>101.79226940990388</v>
      </c>
      <c r="AC40" s="74">
        <f>J40*M40*N40</f>
        <v>2177.0143976601985</v>
      </c>
      <c r="AD40" s="74">
        <f>J40*(M40+N40)</f>
        <v>686.14899219403253</v>
      </c>
      <c r="AE40" s="74">
        <f>J40*(M40+2*N40)</f>
        <v>935.0113209690702</v>
      </c>
      <c r="AF40" s="37"/>
      <c r="AG40" s="37"/>
      <c r="AH40" s="37"/>
      <c r="AI40" s="37"/>
      <c r="AJ40" s="84"/>
      <c r="AK40" s="84"/>
      <c r="AL40" s="46">
        <f>35500*0.7457</f>
        <v>26472.350000000002</v>
      </c>
      <c r="AM40" s="46">
        <f>AL40^0.5</f>
        <v>162.70325749658488</v>
      </c>
      <c r="AN40" s="76">
        <v>41</v>
      </c>
      <c r="AO40" s="40"/>
      <c r="AP40" s="43" t="s">
        <v>733</v>
      </c>
      <c r="AQ40" s="84"/>
      <c r="AR40" s="46">
        <v>41</v>
      </c>
      <c r="AS40" s="46">
        <f>AR40*AC40</f>
        <v>89257.590304068144</v>
      </c>
      <c r="AT40" s="46">
        <v>118.878708155675</v>
      </c>
      <c r="AU40" s="46">
        <v>57.915268075841396</v>
      </c>
      <c r="AV40" s="46">
        <v>31.497777374580401</v>
      </c>
      <c r="AW40" s="46">
        <v>16.2569173546222</v>
      </c>
      <c r="AX40" s="46">
        <v>50.8028667331942</v>
      </c>
      <c r="AY40" s="46">
        <v>41.6583507212193</v>
      </c>
      <c r="AZ40" s="46">
        <v>31.497777374580401</v>
      </c>
      <c r="BA40" s="46">
        <f>SUM(AT40:AZ40)</f>
        <v>348.50766578971286</v>
      </c>
      <c r="BB40" s="46">
        <v>0</v>
      </c>
      <c r="BC40" s="46">
        <f>SUM(BA40:BB40)</f>
        <v>348.50766578971286</v>
      </c>
      <c r="BD40" s="84"/>
      <c r="BE40" s="46">
        <v>107.702077474372</v>
      </c>
      <c r="BF40" s="46">
        <f>SUM(BC40:BE40)</f>
        <v>456.20974326408486</v>
      </c>
      <c r="BG40" s="43">
        <f>AN40/SQRT(J40*3.2808)</f>
        <v>3.2015621187164234</v>
      </c>
      <c r="BH40" s="43">
        <f>BG40*1.6878/SQRT(32.174)</f>
        <v>0.95264345161588759</v>
      </c>
      <c r="BS40" s="44">
        <v>34.110787172011698</v>
      </c>
      <c r="BT40" s="44">
        <v>16.618075801749299</v>
      </c>
      <c r="BU40" s="44">
        <v>9.0379008746355698</v>
      </c>
      <c r="BV40" s="44">
        <v>4.6647230320699702</v>
      </c>
      <c r="BW40" s="44">
        <v>14.5772594752187</v>
      </c>
      <c r="BX40" s="44">
        <v>11.9533527696793</v>
      </c>
      <c r="BY40" s="44">
        <v>9.0379008746355698</v>
      </c>
      <c r="BZ40" s="43">
        <v>0</v>
      </c>
      <c r="CA40" s="43"/>
      <c r="CB40" s="43"/>
      <c r="CC40" s="43"/>
      <c r="CD40" s="43"/>
      <c r="CE40" s="43"/>
      <c r="CF40" s="43"/>
      <c r="CG40" s="46"/>
      <c r="CH40" s="46"/>
      <c r="CI40" s="46"/>
      <c r="CJ40" s="46"/>
      <c r="CK40" s="46"/>
      <c r="CL40" s="40"/>
      <c r="CM40" s="40"/>
      <c r="CN40" s="40"/>
      <c r="CO40" s="40"/>
      <c r="CP40" s="40"/>
      <c r="CQ40" s="42"/>
      <c r="CR40" s="40"/>
      <c r="CS40" s="40"/>
      <c r="CT40" s="43"/>
      <c r="CU40" s="42"/>
      <c r="CV40" s="42"/>
      <c r="CW40" s="37"/>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row>
    <row r="41" spans="1:154" ht="12.75">
      <c r="A41" s="37" t="s">
        <v>828</v>
      </c>
      <c r="B41" s="37"/>
      <c r="C41" s="37" t="s">
        <v>811</v>
      </c>
      <c r="D41" s="37" t="s">
        <v>829</v>
      </c>
      <c r="E41" s="37" t="s">
        <v>811</v>
      </c>
      <c r="F41" s="41">
        <v>1982</v>
      </c>
      <c r="G41" s="53">
        <f>108.7/3.2808</f>
        <v>33.132162887100705</v>
      </c>
      <c r="H41" s="53"/>
      <c r="I41" s="53">
        <f>100/3.2808</f>
        <v>30.480370641306997</v>
      </c>
      <c r="J41" s="44">
        <f>IF(I41="",H41,I41)</f>
        <v>30.480370641306997</v>
      </c>
      <c r="K41" s="53">
        <f>18/3.2808</f>
        <v>5.4864667154352595</v>
      </c>
      <c r="L41" s="53">
        <f>22.24/3.2808</f>
        <v>6.7788344306266755</v>
      </c>
      <c r="M41" s="44">
        <f>IF(L41="",K41,L41)</f>
        <v>6.7788344306266755</v>
      </c>
      <c r="N41" s="53">
        <f>10/3.2808</f>
        <v>3.0480370641306997</v>
      </c>
      <c r="O41" s="53">
        <f>4.88/3.2808</f>
        <v>1.4874420872957814</v>
      </c>
      <c r="P41" s="53">
        <f>N41-O41</f>
        <v>1.5605949768349183</v>
      </c>
      <c r="Q41" s="55">
        <f>279876/2204.6</f>
        <v>126.95092080195954</v>
      </c>
      <c r="R41" s="73"/>
      <c r="S41" s="73"/>
      <c r="T41" s="73"/>
      <c r="U41" s="73"/>
      <c r="V41" s="37"/>
      <c r="W41" s="53">
        <v>16.3</v>
      </c>
      <c r="X41" s="53">
        <v>9.09</v>
      </c>
      <c r="Y41" s="53">
        <f>K41/O41</f>
        <v>3.6885245901639347</v>
      </c>
      <c r="Z41" s="53">
        <v>29</v>
      </c>
      <c r="AA41" s="73">
        <f>P41/J41</f>
        <v>5.1200000000000002E-2</v>
      </c>
      <c r="AB41" s="55">
        <f>(Q41*2204.6/2240)/(0.01*I41*3.2808)^3</f>
        <v>124.94464285714285</v>
      </c>
      <c r="AC41" s="74">
        <f>I41*K41*N41</f>
        <v>509.72183308236072</v>
      </c>
      <c r="AD41" s="74">
        <f>I41*(K41+N41)</f>
        <v>260.13483844080588</v>
      </c>
      <c r="AE41" s="74">
        <f>I41*(K41+2*N41)</f>
        <v>353.04013788395082</v>
      </c>
      <c r="AF41" s="37"/>
      <c r="AG41" s="37"/>
      <c r="AH41" s="37"/>
      <c r="AI41" s="37"/>
      <c r="AJ41" s="37">
        <v>3</v>
      </c>
      <c r="AK41" s="55">
        <f>AL41/AJ41</f>
        <v>2237.1</v>
      </c>
      <c r="AL41" s="74">
        <f>3*3000*0.7457</f>
        <v>6711.3</v>
      </c>
      <c r="AM41" s="74">
        <f>AL41^0.5</f>
        <v>81.922524375168024</v>
      </c>
      <c r="AN41" s="37">
        <v>37.200000000000003</v>
      </c>
      <c r="AO41" s="37">
        <v>25</v>
      </c>
      <c r="AP41" s="37" t="s">
        <v>830</v>
      </c>
      <c r="AQ41" s="84"/>
      <c r="AR41" s="37">
        <v>10</v>
      </c>
      <c r="AS41" s="74">
        <f>AR41*AC41</f>
        <v>5097.2183308236072</v>
      </c>
      <c r="AT41" s="74">
        <v>21.683</v>
      </c>
      <c r="AU41" s="74">
        <v>26.471</v>
      </c>
      <c r="AV41" s="74">
        <v>5.8659999999999997</v>
      </c>
      <c r="AW41" s="74">
        <v>0.76700000000000002</v>
      </c>
      <c r="AX41" s="74">
        <v>6.43</v>
      </c>
      <c r="AY41" s="74">
        <v>7.0350000000000001</v>
      </c>
      <c r="AZ41" s="74"/>
      <c r="BA41" s="74">
        <f>SUM(AT41:AZ41)</f>
        <v>68.251999999999995</v>
      </c>
      <c r="BB41" s="74"/>
      <c r="BC41" s="74">
        <f>SUM(BA41:BB41)</f>
        <v>68.251999999999995</v>
      </c>
      <c r="BD41" s="74"/>
      <c r="BE41" s="74">
        <v>58.697000000000003</v>
      </c>
      <c r="BF41" s="74">
        <f>SUM(BC41:BE41)</f>
        <v>126.949</v>
      </c>
      <c r="BG41" s="37"/>
      <c r="BH41" s="37"/>
      <c r="BI41" s="74"/>
      <c r="BJ41" s="74"/>
      <c r="BK41" s="74"/>
      <c r="BL41" s="74"/>
      <c r="BM41" s="74"/>
      <c r="BN41" s="74"/>
      <c r="BO41" s="74"/>
      <c r="BP41" s="74"/>
      <c r="BQ41" s="74"/>
      <c r="BR41" s="74"/>
      <c r="BS41" s="55">
        <f t="shared" ref="BS41:BY41" si="60">AT41/$BC41*100</f>
        <v>31.769032409306693</v>
      </c>
      <c r="BT41" s="55">
        <f t="shared" si="60"/>
        <v>38.78421145167907</v>
      </c>
      <c r="BU41" s="55">
        <f t="shared" si="60"/>
        <v>8.5946199378772778</v>
      </c>
      <c r="BV41" s="55">
        <f t="shared" si="60"/>
        <v>1.1237765926273224</v>
      </c>
      <c r="BW41" s="55">
        <f t="shared" si="60"/>
        <v>9.4209693488835491</v>
      </c>
      <c r="BX41" s="55">
        <f t="shared" si="60"/>
        <v>10.307390259626093</v>
      </c>
      <c r="BY41" s="55">
        <f t="shared" si="60"/>
        <v>0</v>
      </c>
      <c r="BZ41" s="55">
        <f>BB41/$BC41*100</f>
        <v>0</v>
      </c>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74">
        <f>18326/3.2808^3</f>
        <v>518.95346183707454</v>
      </c>
      <c r="CZ41" s="74">
        <f>13312/3.2808^3</f>
        <v>376.96761344402142</v>
      </c>
      <c r="DA41" s="74">
        <f>5014/3.2808^3</f>
        <v>141.98584839305315</v>
      </c>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row>
    <row r="42" spans="1:154" ht="12.75">
      <c r="A42" s="41"/>
      <c r="B42" s="37"/>
      <c r="C42" s="37"/>
      <c r="D42" s="37"/>
      <c r="E42" s="37"/>
      <c r="F42" s="41"/>
      <c r="G42" s="53"/>
      <c r="H42" s="53"/>
      <c r="I42" s="53"/>
      <c r="K42" s="53"/>
      <c r="L42" s="53"/>
      <c r="M42" s="44"/>
      <c r="N42" s="53"/>
      <c r="O42" s="53"/>
      <c r="P42" s="53"/>
      <c r="Q42" s="55"/>
      <c r="R42" s="73"/>
      <c r="S42" s="73"/>
      <c r="T42" s="73"/>
      <c r="U42" s="73"/>
      <c r="V42" s="37"/>
      <c r="W42" s="53"/>
      <c r="X42" s="53"/>
      <c r="Y42" s="53"/>
      <c r="Z42" s="53"/>
      <c r="AA42" s="73"/>
      <c r="AB42" s="55"/>
      <c r="AC42" s="74"/>
      <c r="AD42" s="74"/>
      <c r="AE42" s="74"/>
      <c r="AF42" s="41"/>
      <c r="AG42" s="41"/>
      <c r="AH42" s="41"/>
      <c r="AI42" s="41"/>
      <c r="AJ42" s="37"/>
      <c r="AK42" s="55"/>
      <c r="AL42" s="74"/>
      <c r="AM42" s="74"/>
      <c r="AN42" s="37"/>
      <c r="AO42" s="37"/>
      <c r="AP42" s="37"/>
      <c r="AQ42" s="84"/>
      <c r="AR42" s="37"/>
      <c r="AS42" s="74"/>
      <c r="AT42" s="74"/>
      <c r="AU42" s="74"/>
      <c r="AV42" s="74"/>
      <c r="AW42" s="74"/>
      <c r="AX42" s="74"/>
      <c r="AY42" s="74"/>
      <c r="AZ42" s="74"/>
      <c r="BA42" s="74"/>
      <c r="BB42" s="74"/>
      <c r="BC42" s="74"/>
      <c r="BD42" s="74"/>
      <c r="BE42" s="74"/>
      <c r="BF42" s="74"/>
      <c r="BG42" s="37"/>
      <c r="BH42" s="37"/>
      <c r="BI42" s="74"/>
      <c r="BJ42" s="74"/>
      <c r="BK42" s="74"/>
      <c r="BL42" s="74"/>
      <c r="BM42" s="74"/>
      <c r="BN42" s="74"/>
      <c r="BO42" s="74"/>
      <c r="BP42" s="74"/>
      <c r="BQ42" s="74"/>
      <c r="BR42" s="74"/>
      <c r="BS42" s="55"/>
      <c r="BT42" s="55"/>
      <c r="BU42" s="55"/>
      <c r="BV42" s="55"/>
      <c r="BW42" s="55"/>
      <c r="BX42" s="55"/>
      <c r="BY42" s="55"/>
      <c r="BZ42" s="55"/>
      <c r="CA42" s="37"/>
      <c r="CB42" s="37"/>
      <c r="CC42" s="37"/>
      <c r="CD42" s="37"/>
      <c r="CE42" s="37"/>
      <c r="CF42" s="37"/>
      <c r="CG42" s="37"/>
      <c r="CH42" s="37"/>
      <c r="CI42" s="37"/>
      <c r="CJ42" s="37"/>
      <c r="CK42" s="37"/>
      <c r="CL42" s="37"/>
      <c r="CM42" s="37"/>
      <c r="CN42" s="37"/>
      <c r="CO42" s="37"/>
      <c r="CP42" s="37"/>
      <c r="CQ42" s="37"/>
      <c r="CR42" s="37"/>
      <c r="CS42" s="37"/>
      <c r="CT42" s="37"/>
      <c r="CU42" s="37"/>
      <c r="CV42" s="37"/>
      <c r="CW42" s="41"/>
      <c r="CX42" s="37"/>
      <c r="CY42" s="74"/>
      <c r="CZ42" s="74"/>
      <c r="DA42" s="74"/>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row>
    <row r="43" spans="1:154" s="40" customFormat="1">
      <c r="A43" s="37" t="s">
        <v>734</v>
      </c>
      <c r="B43" s="37"/>
      <c r="C43" s="37" t="s">
        <v>718</v>
      </c>
      <c r="D43" s="37" t="s">
        <v>735</v>
      </c>
      <c r="E43" s="37" t="s">
        <v>720</v>
      </c>
      <c r="F43" s="37"/>
      <c r="G43" s="53">
        <f>164.6/3.2808</f>
        <v>50.170690075591317</v>
      </c>
      <c r="H43" s="59"/>
      <c r="I43" s="59"/>
      <c r="J43" s="44">
        <f>G43</f>
        <v>50.170690075591317</v>
      </c>
      <c r="K43" s="59"/>
      <c r="L43" s="53">
        <f>24/3.2808</f>
        <v>7.3152889539136794</v>
      </c>
      <c r="M43" s="44">
        <f>IF(L43="",K43,L43)</f>
        <v>7.3152889539136794</v>
      </c>
      <c r="N43" s="59"/>
      <c r="O43" s="53">
        <f>9.5/3.2808</f>
        <v>2.8956352109241648</v>
      </c>
      <c r="P43" s="59"/>
      <c r="Q43" s="55">
        <f>BF43</f>
        <v>277.46838428739898</v>
      </c>
      <c r="R43" s="37"/>
      <c r="S43" s="37"/>
      <c r="T43" s="37"/>
      <c r="U43" s="37"/>
      <c r="V43" s="37"/>
      <c r="W43" s="59"/>
      <c r="X43" s="53">
        <f>J43/M43</f>
        <v>6.8583333333333334</v>
      </c>
      <c r="Y43" s="53">
        <f>M43/O43</f>
        <v>2.5263157894736841</v>
      </c>
      <c r="Z43" s="59"/>
      <c r="AA43" s="73"/>
      <c r="AB43" s="55">
        <f>(Q43*2204.6/2240)/(0.01*J43*3.2808)^3</f>
        <v>61.2358566005027</v>
      </c>
      <c r="AC43" s="84"/>
      <c r="AD43" s="84"/>
      <c r="AE43" s="74">
        <f>J43*(M43+2*N43)</f>
        <v>367.01309492019982</v>
      </c>
      <c r="AF43" s="37"/>
      <c r="AG43" s="37"/>
      <c r="AH43" s="37"/>
      <c r="AI43" s="37"/>
      <c r="AJ43" s="84"/>
      <c r="AK43" s="84"/>
      <c r="AL43" s="84"/>
      <c r="AM43" s="84"/>
      <c r="AN43" s="84"/>
      <c r="AO43" s="84"/>
      <c r="AP43" s="95"/>
      <c r="AQ43" s="84"/>
      <c r="AR43" s="84"/>
      <c r="AS43" s="84"/>
      <c r="AT43" s="74">
        <v>67.059784087816396</v>
      </c>
      <c r="AU43" s="74">
        <v>47.754694729202598</v>
      </c>
      <c r="AV43" s="74">
        <v>12.192688015966599</v>
      </c>
      <c r="AW43" s="74">
        <v>10.160573346638801</v>
      </c>
      <c r="AX43" s="74">
        <v>25.4014333665971</v>
      </c>
      <c r="AY43" s="74">
        <v>23.3693186972693</v>
      </c>
      <c r="AZ43" s="74">
        <v>19.305089358613799</v>
      </c>
      <c r="BA43" s="74">
        <f>SUM(AT43:AZ43)</f>
        <v>205.2435816021046</v>
      </c>
      <c r="BB43" s="74">
        <v>5.0802866733194199</v>
      </c>
      <c r="BC43" s="74">
        <f>SUM(BA43:BB43)</f>
        <v>210.32386827542402</v>
      </c>
      <c r="BD43" s="74">
        <v>9.1445160119749591</v>
      </c>
      <c r="BE43" s="74">
        <v>58</v>
      </c>
      <c r="BF43" s="74">
        <f>SUM(BC43:BE43)</f>
        <v>277.46838428739898</v>
      </c>
      <c r="BG43" s="37"/>
      <c r="BH43" s="37"/>
      <c r="BI43" s="74"/>
      <c r="BJ43" s="74"/>
      <c r="BK43" s="74"/>
      <c r="BL43" s="74"/>
      <c r="BM43" s="74"/>
      <c r="BN43" s="74"/>
      <c r="BO43" s="74"/>
      <c r="BP43" s="74"/>
      <c r="BQ43" s="74"/>
      <c r="BR43" s="74"/>
      <c r="BS43" s="55">
        <f t="shared" ref="BS43:BY43" si="61">AT43/$BC43*100</f>
        <v>31.884057971014514</v>
      </c>
      <c r="BT43" s="55">
        <f t="shared" si="61"/>
        <v>22.705314009661855</v>
      </c>
      <c r="BU43" s="55">
        <f t="shared" si="61"/>
        <v>5.7971014492753579</v>
      </c>
      <c r="BV43" s="55">
        <f t="shared" si="61"/>
        <v>4.8309178743961159</v>
      </c>
      <c r="BW43" s="55">
        <f t="shared" si="61"/>
        <v>12.077294685990337</v>
      </c>
      <c r="BX43" s="55">
        <f t="shared" si="61"/>
        <v>11.111111111111093</v>
      </c>
      <c r="BY43" s="55">
        <f t="shared" si="61"/>
        <v>9.1787439613526569</v>
      </c>
      <c r="BZ43" s="55">
        <f>BB43/$BC43*100</f>
        <v>2.4154589371980673</v>
      </c>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74"/>
      <c r="CZ43" s="74"/>
      <c r="DA43" s="74"/>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row>
    <row r="44" spans="1:154" s="39" customFormat="1" ht="12.75">
      <c r="A44" s="37" t="s">
        <v>548</v>
      </c>
      <c r="B44" s="37"/>
      <c r="C44" s="37" t="s">
        <v>725</v>
      </c>
      <c r="D44" s="37" t="s">
        <v>740</v>
      </c>
      <c r="E44" s="37" t="s">
        <v>741</v>
      </c>
      <c r="F44" s="37"/>
      <c r="G44" s="53"/>
      <c r="H44" s="53">
        <v>52.000475493781998</v>
      </c>
      <c r="I44" s="53"/>
      <c r="J44" s="44">
        <f>IF(I44="",H44,I44)</f>
        <v>52.000475493781998</v>
      </c>
      <c r="K44" s="53">
        <v>8.5000777249451307</v>
      </c>
      <c r="L44" s="53">
        <v>6.3303894909407799</v>
      </c>
      <c r="M44" s="44">
        <f>IF(L44="",K44,L44)</f>
        <v>6.3303894909407799</v>
      </c>
      <c r="N44" s="53">
        <v>5.7900529444037998</v>
      </c>
      <c r="O44" s="59"/>
      <c r="P44" s="53">
        <f>N44-O44</f>
        <v>5.7900529444037998</v>
      </c>
      <c r="Q44" s="55">
        <f>BF44</f>
        <v>477.42766171243198</v>
      </c>
      <c r="R44" s="37"/>
      <c r="S44" s="37"/>
      <c r="T44" s="37"/>
      <c r="U44" s="37"/>
      <c r="V44" s="37"/>
      <c r="W44" s="53">
        <f>J44/N44</f>
        <v>8.9810017271157214</v>
      </c>
      <c r="X44" s="53">
        <f>J44/M44</f>
        <v>8.214419597435235</v>
      </c>
      <c r="Y44" s="59"/>
      <c r="Z44" s="59"/>
      <c r="AA44" s="73">
        <f>P44/J44</f>
        <v>0.11134615384615378</v>
      </c>
      <c r="AB44" s="55">
        <f>(Q44*2204.6/2240)/(0.01*J44*3.2808)^3</f>
        <v>94.629849494243985</v>
      </c>
      <c r="AC44" s="74">
        <f>J44*M44*N44</f>
        <v>1905.9885245963485</v>
      </c>
      <c r="AD44" s="74">
        <f>J44*(M44+N44)</f>
        <v>630.26876983293118</v>
      </c>
      <c r="AE44" s="74">
        <f>J44*(M44+2*N44)</f>
        <v>931.35427607610131</v>
      </c>
      <c r="AF44" s="37"/>
      <c r="AG44" s="37"/>
      <c r="AH44" s="37"/>
      <c r="AI44" s="37"/>
      <c r="AJ44" s="84"/>
      <c r="AK44" s="84"/>
      <c r="AL44" s="84"/>
      <c r="AM44" s="84"/>
      <c r="AN44" s="84"/>
      <c r="AO44" s="84"/>
      <c r="AP44" s="95"/>
      <c r="AQ44" s="84"/>
      <c r="AR44" s="84"/>
      <c r="AS44" s="84"/>
      <c r="AT44" s="74">
        <v>207.80766171243201</v>
      </c>
      <c r="AU44" s="74">
        <v>99.72</v>
      </c>
      <c r="AV44" s="74">
        <v>25.07</v>
      </c>
      <c r="AW44" s="74">
        <v>24.55</v>
      </c>
      <c r="AX44" s="74">
        <v>60.3</v>
      </c>
      <c r="AY44" s="74">
        <v>40.03</v>
      </c>
      <c r="AZ44" s="74">
        <v>19.95</v>
      </c>
      <c r="BA44" s="74">
        <f>SUM(AT44:AZ44)</f>
        <v>477.42766171243198</v>
      </c>
      <c r="BB44" s="84"/>
      <c r="BC44" s="74">
        <f>SUM(BA44:BB44)</f>
        <v>477.42766171243198</v>
      </c>
      <c r="BD44" s="84"/>
      <c r="BE44" s="84"/>
      <c r="BF44" s="74">
        <f>SUM(BC44:BE44)</f>
        <v>477.42766171243198</v>
      </c>
      <c r="BG44" s="37"/>
      <c r="BH44" s="37"/>
      <c r="BI44" s="74"/>
      <c r="BJ44" s="74"/>
      <c r="BK44" s="74"/>
      <c r="BL44" s="74"/>
      <c r="BM44" s="74"/>
      <c r="BN44" s="74"/>
      <c r="BO44" s="74"/>
      <c r="BP44" s="74"/>
      <c r="BQ44" s="74"/>
      <c r="BR44" s="74"/>
      <c r="BS44" s="55">
        <v>35</v>
      </c>
      <c r="BT44" s="55">
        <v>20.5</v>
      </c>
      <c r="BU44" s="55">
        <v>6.5</v>
      </c>
      <c r="BV44" s="55">
        <v>4</v>
      </c>
      <c r="BW44" s="55">
        <v>21.25</v>
      </c>
      <c r="BX44" s="55">
        <v>7.5</v>
      </c>
      <c r="BY44" s="55">
        <v>5.25</v>
      </c>
      <c r="BZ44" s="37">
        <v>0</v>
      </c>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74"/>
      <c r="CZ44" s="74"/>
      <c r="DA44" s="74"/>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row>
    <row r="45" spans="1:154" s="39" customFormat="1">
      <c r="A45" s="51"/>
      <c r="B45" s="42"/>
      <c r="C45" s="42"/>
      <c r="D45" s="42"/>
      <c r="E45" s="42"/>
      <c r="F45" s="51"/>
      <c r="G45" s="42"/>
      <c r="H45" s="40"/>
      <c r="I45" s="42"/>
      <c r="J45" s="42"/>
      <c r="K45" s="44"/>
      <c r="L45" s="42"/>
      <c r="M45" s="44"/>
      <c r="N45" s="64"/>
      <c r="O45" s="44"/>
      <c r="P45" s="40"/>
      <c r="Q45" s="42"/>
      <c r="R45" s="71"/>
      <c r="S45" s="71"/>
      <c r="T45" s="71"/>
      <c r="U45" s="71"/>
      <c r="V45" s="42"/>
      <c r="W45" s="53"/>
      <c r="X45" s="53"/>
      <c r="Y45" s="53"/>
      <c r="Z45" s="42"/>
      <c r="AA45" s="73"/>
      <c r="AB45" s="55"/>
      <c r="AC45" s="42"/>
      <c r="AD45" s="42"/>
      <c r="AE45" s="42"/>
      <c r="AF45" s="42"/>
      <c r="AG45" s="42"/>
      <c r="AH45" s="42"/>
      <c r="AI45" s="42"/>
      <c r="AJ45" s="40"/>
      <c r="AK45" s="40"/>
      <c r="AL45" s="42"/>
      <c r="AM45" s="42"/>
      <c r="AN45" s="42"/>
      <c r="AO45" s="40"/>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3"/>
      <c r="CA45" s="43"/>
      <c r="CB45" s="43"/>
      <c r="CC45" s="43"/>
      <c r="CD45" s="44"/>
      <c r="CE45" s="44"/>
      <c r="CF45" s="44"/>
      <c r="CG45" s="44"/>
      <c r="CH45" s="44"/>
      <c r="CI45" s="44"/>
      <c r="CJ45" s="43"/>
      <c r="CK45" s="43"/>
      <c r="CL45" s="43"/>
      <c r="CM45" s="43"/>
      <c r="CN45" s="43"/>
      <c r="CO45" s="40"/>
      <c r="CP45" s="40"/>
      <c r="CQ45" s="42"/>
      <c r="CR45" s="40"/>
      <c r="CS45" s="40"/>
      <c r="CT45" s="43"/>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row>
    <row r="46" spans="1:154" s="37" customFormat="1" ht="12.75">
      <c r="A46" s="37" t="s">
        <v>545</v>
      </c>
      <c r="B46" s="41"/>
      <c r="D46" s="37" t="s">
        <v>781</v>
      </c>
      <c r="E46" s="37" t="s">
        <v>741</v>
      </c>
      <c r="G46" s="53"/>
      <c r="H46" s="53">
        <v>77.724945135332803</v>
      </c>
      <c r="I46" s="53"/>
      <c r="J46" s="44">
        <f>IF(I46="",H46,I46)</f>
        <v>77.724945135332803</v>
      </c>
      <c r="K46" s="53">
        <v>9.7537186052182392</v>
      </c>
      <c r="L46" s="53">
        <v>10.668129724457399</v>
      </c>
      <c r="M46" s="44">
        <f>IF(L46="",K46,L46)</f>
        <v>10.668129724457399</v>
      </c>
      <c r="N46" s="53">
        <v>6.0198732016581298</v>
      </c>
      <c r="O46" s="53">
        <v>3.0480370641307002</v>
      </c>
      <c r="P46" s="53">
        <f>N46-O46</f>
        <v>2.9718361375274296</v>
      </c>
      <c r="Q46" s="80"/>
      <c r="U46" s="41"/>
      <c r="V46" s="41"/>
      <c r="W46" s="53">
        <f>J46/N46</f>
        <v>12.911392405063289</v>
      </c>
      <c r="X46" s="53">
        <f>J46/M46</f>
        <v>7.2857142857143158</v>
      </c>
      <c r="Y46" s="53">
        <f>M46/O46</f>
        <v>3.4999999999999831</v>
      </c>
      <c r="Z46" s="53">
        <f>H46/O46</f>
        <v>25.499999999999982</v>
      </c>
      <c r="AA46" s="73">
        <f>P46/J46</f>
        <v>3.8235294117647048E-2</v>
      </c>
      <c r="AB46" s="84"/>
      <c r="AC46" s="74">
        <f>J46*M46*N46</f>
        <v>4991.5572425075488</v>
      </c>
      <c r="AD46" s="74">
        <f>J46*(M46+N46)</f>
        <v>1297.0741118506028</v>
      </c>
      <c r="AE46" s="74">
        <f>J46*(M46+2*N46)</f>
        <v>1764.9684261711411</v>
      </c>
      <c r="AF46" s="57"/>
      <c r="AG46" s="57"/>
      <c r="AH46" s="57"/>
      <c r="AI46" s="57"/>
      <c r="AJ46" s="84"/>
      <c r="AK46" s="84"/>
      <c r="AL46" s="84"/>
      <c r="AM46" s="84"/>
      <c r="AN46" s="84"/>
      <c r="AO46" s="84"/>
      <c r="AP46" s="95"/>
      <c r="AQ46" s="84"/>
      <c r="AR46" s="84"/>
      <c r="AS46" s="84"/>
      <c r="AT46" s="74">
        <v>486.256148844015</v>
      </c>
      <c r="AU46" s="74">
        <v>167.02</v>
      </c>
      <c r="AV46" s="84"/>
      <c r="AW46" s="84"/>
      <c r="AX46" s="74">
        <v>167.05</v>
      </c>
      <c r="AY46" s="84"/>
      <c r="AZ46" s="84"/>
      <c r="BA46" s="95"/>
      <c r="BB46" s="95"/>
      <c r="BC46" s="95"/>
      <c r="BD46" s="95"/>
      <c r="BE46" s="84"/>
      <c r="BF46" s="84"/>
      <c r="BI46" s="85"/>
      <c r="BJ46" s="85"/>
      <c r="BK46" s="85"/>
      <c r="BL46" s="85"/>
      <c r="BM46" s="85"/>
      <c r="BN46" s="85"/>
      <c r="BO46" s="85"/>
      <c r="BP46" s="85"/>
      <c r="BQ46" s="85"/>
      <c r="BR46" s="85"/>
      <c r="BS46" s="80"/>
      <c r="BT46" s="80"/>
      <c r="BU46" s="80"/>
      <c r="BV46" s="80"/>
      <c r="BW46" s="80"/>
      <c r="BX46" s="80"/>
      <c r="BY46" s="80"/>
      <c r="BZ46" s="80"/>
      <c r="CA46" s="41"/>
      <c r="CW46" s="57"/>
      <c r="CY46" s="74"/>
      <c r="CZ46" s="74"/>
      <c r="DA46" s="74">
        <v>800.12168854122797</v>
      </c>
    </row>
    <row r="47" spans="1:154" s="37" customFormat="1">
      <c r="A47" s="42"/>
      <c r="B47"/>
      <c r="C47" s="43"/>
      <c r="D47" s="43"/>
      <c r="E47" s="43"/>
      <c r="F47" s="57"/>
      <c r="G47" s="40"/>
      <c r="H47" s="43"/>
      <c r="I47" s="40"/>
      <c r="J47" s="44"/>
      <c r="K47" s="43"/>
      <c r="L47" s="40"/>
      <c r="M47" s="44"/>
      <c r="N47" s="43"/>
      <c r="O47" s="43"/>
      <c r="P47" s="45"/>
      <c r="Q47" s="46"/>
      <c r="R47" s="79"/>
      <c r="S47" s="79"/>
      <c r="T47" s="79"/>
      <c r="U47" s="79"/>
      <c r="V47"/>
      <c r="W47" s="53"/>
      <c r="X47" s="53"/>
      <c r="Y47" s="53"/>
      <c r="Z47" s="43"/>
      <c r="AA47" s="73"/>
      <c r="AB47" s="55"/>
      <c r="AC47" s="46"/>
      <c r="AD47" s="46"/>
      <c r="AE47" s="46"/>
      <c r="AF47"/>
      <c r="AG47"/>
      <c r="AH47"/>
      <c r="AI47"/>
      <c r="AJ47" s="43"/>
      <c r="AK47" s="46"/>
      <c r="AL47" s="46"/>
      <c r="AM47" s="46"/>
      <c r="AN47" s="43"/>
      <c r="AO47" s="43"/>
      <c r="AP47" s="43"/>
      <c r="AQ47" s="40"/>
      <c r="AR47" s="43"/>
      <c r="AS47" s="40"/>
      <c r="AT47" s="46"/>
      <c r="AU47" s="46"/>
      <c r="AV47" s="46"/>
      <c r="AW47" s="46"/>
      <c r="AX47" s="46"/>
      <c r="AY47" s="46"/>
      <c r="AZ47" s="46"/>
      <c r="BA47" s="46"/>
      <c r="BB47" s="40"/>
      <c r="BC47" s="46"/>
      <c r="BD47" s="40"/>
      <c r="BE47" s="46"/>
      <c r="BF47" s="43"/>
      <c r="BG47" s="43"/>
      <c r="BH47" s="43"/>
      <c r="BI47" s="43"/>
      <c r="BJ47" s="43"/>
      <c r="BK47" s="43"/>
      <c r="BL47" s="43"/>
      <c r="BM47" s="43"/>
      <c r="BN47" s="43"/>
      <c r="BO47" s="43"/>
      <c r="BP47" s="43"/>
      <c r="BQ47" s="43"/>
      <c r="BR47" s="43"/>
      <c r="BS47" s="44"/>
      <c r="BT47" s="44"/>
      <c r="BU47" s="44"/>
      <c r="BV47" s="44"/>
      <c r="BW47" s="44"/>
      <c r="BX47" s="44"/>
      <c r="BY47" s="44"/>
      <c r="BZ47" s="44"/>
      <c r="CA47"/>
      <c r="CB47" s="43"/>
      <c r="CC47" s="43"/>
      <c r="CD47" s="43"/>
      <c r="CE47" s="43"/>
      <c r="CF47" s="43"/>
      <c r="CG47" s="43"/>
      <c r="CH47" s="43"/>
      <c r="CI47" s="43"/>
      <c r="CJ47" s="43"/>
      <c r="CK47" s="43"/>
      <c r="CL47" s="43"/>
      <c r="CM47" s="43"/>
      <c r="CN47" s="43"/>
      <c r="CO47" s="43"/>
      <c r="CP47" s="43"/>
      <c r="CQ47" s="40"/>
      <c r="CR47" s="43"/>
      <c r="CS47" s="43"/>
      <c r="CT47" s="43"/>
      <c r="CU47" s="40"/>
      <c r="CV47" s="40"/>
      <c r="CW47"/>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row>
    <row r="48" spans="1:154" s="37" customFormat="1">
      <c r="A48" s="42"/>
      <c r="B48" s="57"/>
      <c r="C48" s="42"/>
      <c r="D48" s="42"/>
      <c r="E48" s="56"/>
      <c r="F48" s="57"/>
      <c r="G48" s="42"/>
      <c r="H48" s="42"/>
      <c r="I48" s="42"/>
      <c r="J48" s="44"/>
      <c r="K48" s="42"/>
      <c r="L48" s="42"/>
      <c r="M48" s="44"/>
      <c r="N48" s="42"/>
      <c r="O48" s="42"/>
      <c r="P48" s="42"/>
      <c r="Q48" s="76"/>
      <c r="R48" s="78"/>
      <c r="S48" s="78"/>
      <c r="T48" s="78"/>
      <c r="U48" s="78"/>
      <c r="V48" s="57"/>
      <c r="W48" s="53"/>
      <c r="X48" s="53"/>
      <c r="Y48" s="53"/>
      <c r="Z48" s="83"/>
      <c r="AA48" s="73"/>
      <c r="AB48" s="55"/>
      <c r="AC48" s="46"/>
      <c r="AD48" s="46"/>
      <c r="AE48" s="46"/>
      <c r="AF48"/>
      <c r="AG48"/>
      <c r="AH48"/>
      <c r="AI48"/>
      <c r="AJ48" s="42"/>
      <c r="AK48" s="42"/>
      <c r="AL48" s="42"/>
      <c r="AM48" s="46"/>
      <c r="AN48" s="42"/>
      <c r="AO48" s="42"/>
      <c r="AP48" s="42"/>
      <c r="AQ48" s="42"/>
      <c r="AR48" s="42"/>
      <c r="AS48" s="46"/>
      <c r="AT48" s="42"/>
      <c r="AU48" s="42"/>
      <c r="AV48" s="42"/>
      <c r="AW48" s="42"/>
      <c r="AX48" s="42"/>
      <c r="AY48" s="42"/>
      <c r="AZ48" s="42"/>
      <c r="BA48" s="76"/>
      <c r="BB48" s="42"/>
      <c r="BC48" s="76"/>
      <c r="BD48" s="42"/>
      <c r="BE48" s="76"/>
      <c r="BF48" s="42"/>
      <c r="BG48" s="52"/>
      <c r="BH48" s="52"/>
      <c r="BI48" s="42"/>
      <c r="BJ48" s="42"/>
      <c r="BK48" s="42"/>
      <c r="BL48" s="42"/>
      <c r="BM48" s="42"/>
      <c r="BN48" s="42"/>
      <c r="BO48" s="42"/>
      <c r="BP48" s="42"/>
      <c r="BQ48" s="42"/>
      <c r="BR48" s="42"/>
      <c r="BS48" s="66"/>
      <c r="BT48" s="66"/>
      <c r="BU48" s="66"/>
      <c r="BV48" s="66"/>
      <c r="BW48" s="66"/>
      <c r="BX48" s="66"/>
      <c r="BY48" s="66"/>
      <c r="BZ48" s="66"/>
      <c r="CA48" s="57"/>
      <c r="CB48" s="57"/>
      <c r="CC48" s="57"/>
      <c r="CD48" s="57"/>
      <c r="CE48" s="57"/>
      <c r="CF48" s="57"/>
      <c r="CG48" s="57"/>
      <c r="CH48" s="57"/>
      <c r="CI48" s="57"/>
      <c r="CJ48" s="57"/>
      <c r="CK48" s="57"/>
      <c r="CL48" s="57"/>
      <c r="CM48" s="57"/>
      <c r="CN48" s="57"/>
      <c r="CO48" s="57"/>
      <c r="CP48" s="57"/>
      <c r="CQ48" s="57"/>
      <c r="CR48" s="57"/>
      <c r="CS48" s="57"/>
      <c r="CT48" s="57"/>
      <c r="CU48" s="57"/>
      <c r="CV48" s="57"/>
      <c r="CW48"/>
      <c r="CX48" s="57"/>
      <c r="CY48" s="42"/>
      <c r="CZ48" s="42"/>
      <c r="DA48" s="42"/>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row>
    <row r="49" spans="1:154" s="37" customFormat="1" ht="12.75">
      <c r="A49" s="37" t="s">
        <v>540</v>
      </c>
      <c r="B49" s="41"/>
      <c r="C49" s="37" t="s">
        <v>725</v>
      </c>
      <c r="D49" s="37" t="s">
        <v>807</v>
      </c>
      <c r="E49" s="37" t="s">
        <v>741</v>
      </c>
      <c r="F49" s="41"/>
      <c r="G49" s="53"/>
      <c r="H49" s="53">
        <v>63.399170933918597</v>
      </c>
      <c r="I49" s="53"/>
      <c r="J49" s="44">
        <f t="shared" ref="J49:J57" si="62">IF(I49="",H49,I49)</f>
        <v>63.399170933918597</v>
      </c>
      <c r="K49" s="53">
        <v>9.4489148988051692</v>
      </c>
      <c r="L49" s="53">
        <v>8.3272372592050701</v>
      </c>
      <c r="M49" s="44">
        <f t="shared" ref="M49:M57" si="63">IF(L49="",K49,L49)</f>
        <v>8.3272372592050701</v>
      </c>
      <c r="N49" s="53">
        <v>6.4862228724701296</v>
      </c>
      <c r="O49" s="53">
        <v>3.0663252865154802</v>
      </c>
      <c r="P49" s="53">
        <f t="shared" ref="P49:P57" si="64">N49-O49</f>
        <v>3.4198975859546494</v>
      </c>
      <c r="Q49" s="55">
        <f t="shared" ref="Q49:Q54" si="65">BF49</f>
        <v>722.8558257378395</v>
      </c>
      <c r="R49" s="41"/>
      <c r="S49" s="41"/>
      <c r="T49" s="41"/>
      <c r="U49" s="41"/>
      <c r="V49" s="41"/>
      <c r="W49" s="53">
        <f t="shared" ref="W49:W57" si="66">J49/N49</f>
        <v>9.7744360902255689</v>
      </c>
      <c r="X49" s="53">
        <f t="shared" ref="X49:X57" si="67">J49/M49</f>
        <v>7.6134699853587184</v>
      </c>
      <c r="Y49" s="53">
        <f>M49/O49</f>
        <v>2.7157057654075576</v>
      </c>
      <c r="Z49" s="53">
        <f>H49/O49</f>
        <v>20.675944333996064</v>
      </c>
      <c r="AA49" s="73">
        <f t="shared" ref="AA49:AA57" si="68">P49/J49</f>
        <v>5.3942307692307727E-2</v>
      </c>
      <c r="AB49" s="55">
        <f t="shared" ref="AB49:AB54" si="69">(Q49*2204.6/2240)/(0.01*J49*3.2808)^3</f>
        <v>79.057570744466787</v>
      </c>
      <c r="AC49" s="74">
        <f t="shared" ref="AC49:AC57" si="70">J49*M49*N49</f>
        <v>3424.3361037641484</v>
      </c>
      <c r="AD49" s="74">
        <f t="shared" ref="AD49:AD57" si="71">J49*(M49+N49)</f>
        <v>939.16109101086431</v>
      </c>
      <c r="AE49" s="74">
        <f t="shared" ref="AE49:AE57" si="72">J49*(M49+2*N49)</f>
        <v>1350.3822436180906</v>
      </c>
      <c r="AF49" s="57"/>
      <c r="AG49" s="57"/>
      <c r="AH49" s="57"/>
      <c r="AI49" s="57"/>
      <c r="AJ49" s="84"/>
      <c r="AK49" s="84"/>
      <c r="AL49" s="84"/>
      <c r="AM49" s="84"/>
      <c r="AN49" s="84"/>
      <c r="AO49" s="84"/>
      <c r="AP49" s="95"/>
      <c r="AQ49" s="84"/>
      <c r="AR49" s="74"/>
      <c r="AS49" s="74"/>
      <c r="AT49" s="74">
        <v>301.42603798226099</v>
      </c>
      <c r="AU49" s="74">
        <v>163.74863003246799</v>
      </c>
      <c r="AV49" s="74">
        <v>39.6516341826133</v>
      </c>
      <c r="AW49" s="74">
        <v>55.888475205766397</v>
      </c>
      <c r="AX49" s="74">
        <v>66.707000510055806</v>
      </c>
      <c r="AY49" s="74">
        <v>56.553561396103703</v>
      </c>
      <c r="AZ49" s="74">
        <v>38.880486428571402</v>
      </c>
      <c r="BA49" s="74">
        <f>SUM(AT49:AZ49)</f>
        <v>722.8558257378395</v>
      </c>
      <c r="BB49" s="95"/>
      <c r="BC49" s="74">
        <f>SUM(BA49:BB49)</f>
        <v>722.8558257378395</v>
      </c>
      <c r="BD49" s="95"/>
      <c r="BE49" s="84"/>
      <c r="BF49" s="74">
        <f t="shared" ref="BF49:BF54" si="73">SUM(BC49:BE49)</f>
        <v>722.8558257378395</v>
      </c>
      <c r="BG49" s="41"/>
      <c r="BH49" s="41"/>
      <c r="BI49" s="74"/>
      <c r="BJ49" s="74"/>
      <c r="BK49" s="74"/>
      <c r="BL49" s="74"/>
      <c r="BM49" s="74"/>
      <c r="BN49" s="74"/>
      <c r="BO49" s="74"/>
      <c r="BP49" s="74"/>
      <c r="BQ49" s="74"/>
      <c r="BR49" s="74"/>
      <c r="BS49" s="55">
        <v>35</v>
      </c>
      <c r="BT49" s="55">
        <v>20.5</v>
      </c>
      <c r="BU49" s="55">
        <v>6.5</v>
      </c>
      <c r="BV49" s="55">
        <v>4</v>
      </c>
      <c r="BW49" s="55">
        <v>21.25</v>
      </c>
      <c r="BX49" s="55">
        <v>7.5</v>
      </c>
      <c r="BY49" s="55">
        <v>5.25</v>
      </c>
      <c r="BZ49" s="37">
        <v>0</v>
      </c>
      <c r="CA49" s="41"/>
      <c r="CB49" s="41"/>
      <c r="CC49" s="41"/>
      <c r="CD49" s="41"/>
      <c r="CE49" s="41"/>
      <c r="CF49" s="41"/>
      <c r="CG49" s="41"/>
      <c r="CH49" s="41"/>
      <c r="CI49" s="41"/>
      <c r="CJ49" s="41"/>
      <c r="CK49" s="41"/>
      <c r="CL49" s="41"/>
      <c r="CM49" s="41"/>
      <c r="CN49" s="41"/>
      <c r="CO49" s="41"/>
      <c r="CP49" s="41"/>
      <c r="CQ49" s="41"/>
      <c r="CR49" s="41"/>
      <c r="CS49" s="41"/>
      <c r="CT49" s="41"/>
      <c r="CU49" s="41"/>
      <c r="CV49" s="41"/>
      <c r="CW49" s="102"/>
      <c r="CX49" s="41"/>
      <c r="CY49" s="74"/>
      <c r="CZ49" s="74"/>
      <c r="DA49" s="74">
        <v>1274.3045827059</v>
      </c>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row>
    <row r="50" spans="1:154" s="37" customFormat="1" ht="12.75">
      <c r="A50" s="37" t="s">
        <v>543</v>
      </c>
      <c r="C50" s="37" t="s">
        <v>725</v>
      </c>
      <c r="D50" s="37" t="s">
        <v>808</v>
      </c>
      <c r="E50" s="37" t="s">
        <v>741</v>
      </c>
      <c r="G50" s="53"/>
      <c r="H50" s="53">
        <v>63.399170933918597</v>
      </c>
      <c r="I50" s="53"/>
      <c r="J50" s="44">
        <f t="shared" si="62"/>
        <v>63.399170933918597</v>
      </c>
      <c r="K50" s="53">
        <v>9.7537186052182392</v>
      </c>
      <c r="L50" s="53">
        <v>8.6869056327724898</v>
      </c>
      <c r="M50" s="44">
        <f t="shared" si="63"/>
        <v>8.6869056327724898</v>
      </c>
      <c r="N50" s="53">
        <v>6.4862228724701296</v>
      </c>
      <c r="O50" s="53">
        <v>2.8651548402828602</v>
      </c>
      <c r="P50" s="53">
        <f t="shared" si="64"/>
        <v>3.6210680321872695</v>
      </c>
      <c r="Q50" s="55">
        <f t="shared" si="65"/>
        <v>669.79950796777609</v>
      </c>
      <c r="W50" s="53">
        <f t="shared" si="66"/>
        <v>9.7744360902255689</v>
      </c>
      <c r="X50" s="53">
        <f t="shared" si="67"/>
        <v>7.2982456140350962</v>
      </c>
      <c r="Y50" s="53">
        <f>M50/O50</f>
        <v>3.0319148936170173</v>
      </c>
      <c r="Z50" s="53">
        <f>H50/O50</f>
        <v>22.12765957446808</v>
      </c>
      <c r="AA50" s="73">
        <f t="shared" si="68"/>
        <v>5.7115384615384547E-2</v>
      </c>
      <c r="AB50" s="55">
        <f t="shared" si="69"/>
        <v>73.25488721311909</v>
      </c>
      <c r="AC50" s="74">
        <f t="shared" si="70"/>
        <v>3572.2393468989094</v>
      </c>
      <c r="AD50" s="74">
        <f t="shared" si="71"/>
        <v>961.96376770618963</v>
      </c>
      <c r="AE50" s="74">
        <f t="shared" si="72"/>
        <v>1373.1849203134159</v>
      </c>
      <c r="AF50" s="42"/>
      <c r="AG50" s="42"/>
      <c r="AH50" s="42"/>
      <c r="AI50" s="42"/>
      <c r="AJ50" s="84"/>
      <c r="AK50" s="84"/>
      <c r="AL50" s="84"/>
      <c r="AM50" s="84"/>
      <c r="AN50" s="84"/>
      <c r="AO50" s="84"/>
      <c r="AP50" s="95"/>
      <c r="AQ50" s="84"/>
      <c r="AR50" s="74"/>
      <c r="AS50" s="74"/>
      <c r="AT50" s="74">
        <v>292.149507967776</v>
      </c>
      <c r="AU50" s="74">
        <v>151.74</v>
      </c>
      <c r="AV50" s="74">
        <v>35.08</v>
      </c>
      <c r="AW50" s="74">
        <v>30.71</v>
      </c>
      <c r="AX50" s="74">
        <v>56.85</v>
      </c>
      <c r="AY50" s="74">
        <v>53.94</v>
      </c>
      <c r="AZ50" s="74">
        <v>49.33</v>
      </c>
      <c r="BA50" s="74">
        <f>SUM(AT50:AZ50)</f>
        <v>669.79950796777609</v>
      </c>
      <c r="BB50" s="95"/>
      <c r="BC50" s="74">
        <f>SUM(BA50:BB50)</f>
        <v>669.79950796777609</v>
      </c>
      <c r="BD50" s="95"/>
      <c r="BE50" s="84"/>
      <c r="BF50" s="74">
        <f t="shared" si="73"/>
        <v>669.79950796777609</v>
      </c>
      <c r="BI50" s="74"/>
      <c r="BJ50" s="74"/>
      <c r="BK50" s="74"/>
      <c r="BL50" s="74"/>
      <c r="BM50" s="74"/>
      <c r="BN50" s="74"/>
      <c r="BO50" s="74"/>
      <c r="BP50" s="74"/>
      <c r="BQ50" s="74"/>
      <c r="BR50" s="74"/>
      <c r="BS50" s="55">
        <v>35</v>
      </c>
      <c r="BT50" s="55">
        <v>20.5</v>
      </c>
      <c r="BU50" s="55">
        <v>6.5</v>
      </c>
      <c r="BV50" s="55">
        <v>4</v>
      </c>
      <c r="BW50" s="55">
        <v>21.25</v>
      </c>
      <c r="BX50" s="55">
        <v>7.5</v>
      </c>
      <c r="BY50" s="55">
        <v>5.25</v>
      </c>
      <c r="BZ50" s="37">
        <v>0</v>
      </c>
      <c r="CW50" s="39"/>
      <c r="CY50" s="74"/>
      <c r="CZ50" s="74"/>
      <c r="DA50" s="74">
        <v>1376.1639956835299</v>
      </c>
    </row>
    <row r="51" spans="1:154" s="37" customFormat="1">
      <c r="A51" s="37" t="s">
        <v>809</v>
      </c>
      <c r="B51" s="40"/>
      <c r="C51" s="37" t="s">
        <v>725</v>
      </c>
      <c r="D51" s="37" t="s">
        <v>810</v>
      </c>
      <c r="E51" s="37" t="s">
        <v>811</v>
      </c>
      <c r="F51" s="37">
        <v>1973</v>
      </c>
      <c r="G51" s="53">
        <v>71.324067300658399</v>
      </c>
      <c r="H51" s="53">
        <v>67.056815410875402</v>
      </c>
      <c r="I51" s="53"/>
      <c r="J51" s="44">
        <f t="shared" si="62"/>
        <v>67.056815410875402</v>
      </c>
      <c r="K51" s="53">
        <v>8.3821019263594199</v>
      </c>
      <c r="L51" s="53">
        <v>8.3821019263594199</v>
      </c>
      <c r="M51" s="44">
        <f t="shared" si="63"/>
        <v>8.3821019263594199</v>
      </c>
      <c r="N51" s="53">
        <v>5.9436722750548601</v>
      </c>
      <c r="O51" s="53">
        <v>2.6416321222466101</v>
      </c>
      <c r="P51" s="53">
        <f t="shared" si="64"/>
        <v>3.3020401528082499</v>
      </c>
      <c r="Q51" s="55">
        <f t="shared" si="65"/>
        <v>716</v>
      </c>
      <c r="R51" s="37">
        <v>0.47</v>
      </c>
      <c r="S51" s="37">
        <v>0.62</v>
      </c>
      <c r="T51" s="37">
        <v>0.76</v>
      </c>
      <c r="U51" s="40"/>
      <c r="V51" s="40"/>
      <c r="W51" s="53">
        <f t="shared" si="66"/>
        <v>11.282051282051292</v>
      </c>
      <c r="X51" s="53">
        <f t="shared" si="67"/>
        <v>8.0000000000000053</v>
      </c>
      <c r="Y51" s="53">
        <f>M51/O51</f>
        <v>3.1730769230769171</v>
      </c>
      <c r="Z51" s="53">
        <f>H51/O51</f>
        <v>25.384615384615351</v>
      </c>
      <c r="AA51" s="73">
        <f t="shared" si="68"/>
        <v>4.9242424242424115E-2</v>
      </c>
      <c r="AB51" s="55">
        <f t="shared" si="69"/>
        <v>66.18000026832668</v>
      </c>
      <c r="AC51" s="74">
        <f t="shared" si="70"/>
        <v>3340.8018476606353</v>
      </c>
      <c r="AD51" s="74">
        <f t="shared" si="71"/>
        <v>960.64079624211831</v>
      </c>
      <c r="AE51" s="74">
        <f t="shared" si="72"/>
        <v>1359.2045308532101</v>
      </c>
      <c r="AF51" s="40"/>
      <c r="AG51" s="40"/>
      <c r="AH51" s="40"/>
      <c r="AI51" s="40"/>
      <c r="AJ51" s="84"/>
      <c r="AK51" s="84"/>
      <c r="AL51" s="84"/>
      <c r="AM51" s="84"/>
      <c r="AN51" s="94">
        <v>27.4</v>
      </c>
      <c r="AO51" s="74">
        <v>18</v>
      </c>
      <c r="AP51" s="95"/>
      <c r="AQ51" s="74">
        <f>3*200</f>
        <v>600</v>
      </c>
      <c r="AR51" s="74">
        <v>69</v>
      </c>
      <c r="AS51" s="74">
        <f>AR51*AC51</f>
        <v>230515.32748858383</v>
      </c>
      <c r="AT51" s="84"/>
      <c r="AU51" s="84"/>
      <c r="AV51" s="84"/>
      <c r="AW51" s="84"/>
      <c r="AX51" s="84"/>
      <c r="AY51" s="84"/>
      <c r="AZ51" s="84"/>
      <c r="BA51" s="95"/>
      <c r="BB51" s="95"/>
      <c r="BC51" s="74">
        <v>511.8</v>
      </c>
      <c r="BD51" s="95"/>
      <c r="BE51" s="74">
        <v>204.2</v>
      </c>
      <c r="BF51" s="37">
        <f t="shared" si="73"/>
        <v>716</v>
      </c>
      <c r="BG51" s="40"/>
      <c r="BH51" s="40"/>
      <c r="BI51" s="40"/>
      <c r="BJ51" s="40"/>
      <c r="BK51" s="40"/>
      <c r="BL51" s="40"/>
      <c r="BM51" s="40"/>
      <c r="BN51" s="40"/>
      <c r="BO51" s="40"/>
      <c r="BP51" s="40"/>
      <c r="BQ51" s="40"/>
      <c r="BR51" s="40"/>
      <c r="BS51" s="55">
        <f t="shared" ref="BS51:BY51" si="74">AT51/$BC51*100</f>
        <v>0</v>
      </c>
      <c r="BT51" s="55">
        <f t="shared" si="74"/>
        <v>0</v>
      </c>
      <c r="BU51" s="55">
        <f t="shared" si="74"/>
        <v>0</v>
      </c>
      <c r="BV51" s="55">
        <f t="shared" si="74"/>
        <v>0</v>
      </c>
      <c r="BW51" s="55">
        <f t="shared" si="74"/>
        <v>0</v>
      </c>
      <c r="BX51" s="55">
        <f t="shared" si="74"/>
        <v>0</v>
      </c>
      <c r="BY51" s="55">
        <f t="shared" si="74"/>
        <v>0</v>
      </c>
      <c r="BZ51" s="55">
        <f>BB51/$BC51*100</f>
        <v>0</v>
      </c>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74"/>
      <c r="CZ51" s="74"/>
      <c r="DA51" s="74"/>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row>
    <row r="52" spans="1:154" s="37" customFormat="1">
      <c r="A52" s="37" t="s">
        <v>549</v>
      </c>
      <c r="B52" s="40"/>
      <c r="C52" s="37" t="s">
        <v>718</v>
      </c>
      <c r="D52" s="37" t="s">
        <v>549</v>
      </c>
      <c r="E52" s="37" t="s">
        <v>720</v>
      </c>
      <c r="F52" s="40"/>
      <c r="G52" s="53"/>
      <c r="H52" s="53">
        <v>70.104852475006098</v>
      </c>
      <c r="I52" s="53"/>
      <c r="J52" s="44">
        <f t="shared" si="62"/>
        <v>70.104852475006098</v>
      </c>
      <c r="K52" s="53">
        <v>9.4611070470616898</v>
      </c>
      <c r="L52" s="53">
        <v>9.4611070470616898</v>
      </c>
      <c r="M52" s="44">
        <f t="shared" si="63"/>
        <v>9.4611070470616898</v>
      </c>
      <c r="N52" s="53">
        <v>6.0869300170690099</v>
      </c>
      <c r="O52" s="59"/>
      <c r="P52" s="53">
        <f t="shared" si="64"/>
        <v>6.0869300170690099</v>
      </c>
      <c r="Q52" s="55">
        <f t="shared" si="65"/>
        <v>688.786138074934</v>
      </c>
      <c r="R52" s="40"/>
      <c r="S52" s="40"/>
      <c r="T52" s="40"/>
      <c r="U52" s="40"/>
      <c r="V52" s="40"/>
      <c r="W52" s="53">
        <f t="shared" si="66"/>
        <v>11.517275913870803</v>
      </c>
      <c r="X52" s="53">
        <f t="shared" si="67"/>
        <v>7.4097938144329918</v>
      </c>
      <c r="Y52" s="59"/>
      <c r="Z52" s="59"/>
      <c r="AA52" s="73">
        <f t="shared" si="68"/>
        <v>8.6826086956521775E-2</v>
      </c>
      <c r="AB52" s="55">
        <f t="shared" si="69"/>
        <v>55.716352193873327</v>
      </c>
      <c r="AC52" s="74">
        <f t="shared" si="70"/>
        <v>4037.2751128616424</v>
      </c>
      <c r="AD52" s="74">
        <f t="shared" si="71"/>
        <v>1089.9928446568097</v>
      </c>
      <c r="AE52" s="74">
        <f t="shared" si="72"/>
        <v>1516.716175529119</v>
      </c>
      <c r="AF52" s="40"/>
      <c r="AG52" s="40"/>
      <c r="AH52" s="40"/>
      <c r="AI52" s="40"/>
      <c r="AJ52" s="84"/>
      <c r="AK52" s="84"/>
      <c r="AL52" s="84"/>
      <c r="AM52" s="84"/>
      <c r="AN52" s="84"/>
      <c r="AO52" s="84"/>
      <c r="AP52" s="95"/>
      <c r="AQ52" s="84"/>
      <c r="AR52" s="84"/>
      <c r="AS52" s="84"/>
      <c r="AT52" s="74">
        <v>301.58613807493401</v>
      </c>
      <c r="AU52" s="74">
        <v>116.94</v>
      </c>
      <c r="AV52" s="74">
        <v>45.32</v>
      </c>
      <c r="AW52" s="74">
        <v>43.55</v>
      </c>
      <c r="AX52" s="74">
        <v>91.3</v>
      </c>
      <c r="AY52" s="74">
        <v>66.48</v>
      </c>
      <c r="AZ52" s="74">
        <v>23.61</v>
      </c>
      <c r="BA52" s="74">
        <f t="shared" ref="BA52:BA57" si="75">SUM(AT52:AZ52)</f>
        <v>688.786138074934</v>
      </c>
      <c r="BB52" s="95"/>
      <c r="BC52" s="74">
        <f t="shared" ref="BC52:BC57" si="76">SUM(BA52:BB52)</f>
        <v>688.786138074934</v>
      </c>
      <c r="BD52" s="95"/>
      <c r="BE52" s="84"/>
      <c r="BF52" s="74">
        <f t="shared" si="73"/>
        <v>688.786138074934</v>
      </c>
      <c r="BG52" s="40"/>
      <c r="BH52" s="40"/>
      <c r="BI52" s="74"/>
      <c r="BJ52" s="74"/>
      <c r="BK52" s="74"/>
      <c r="BL52" s="74"/>
      <c r="BM52" s="74"/>
      <c r="BN52" s="74"/>
      <c r="BO52" s="74"/>
      <c r="BP52" s="74"/>
      <c r="BQ52" s="74"/>
      <c r="BR52" s="74"/>
      <c r="BS52" s="55">
        <v>35</v>
      </c>
      <c r="BT52" s="55">
        <v>20.5</v>
      </c>
      <c r="BU52" s="55">
        <v>6.5</v>
      </c>
      <c r="BV52" s="55">
        <v>4</v>
      </c>
      <c r="BW52" s="55">
        <v>21.25</v>
      </c>
      <c r="BX52" s="55">
        <v>7.5</v>
      </c>
      <c r="BY52" s="55">
        <v>5.25</v>
      </c>
      <c r="BZ52" s="55">
        <f>BB52/$BC52*100</f>
        <v>0</v>
      </c>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74">
        <f>SUM(CZ52:DA52)</f>
        <v>3325.7084178254781</v>
      </c>
      <c r="CZ52" s="74">
        <v>2525.5867292842499</v>
      </c>
      <c r="DA52" s="74">
        <v>800.12168854122797</v>
      </c>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row>
    <row r="53" spans="1:154" s="37" customFormat="1">
      <c r="A53" s="37" t="s">
        <v>546</v>
      </c>
      <c r="B53" s="40"/>
      <c r="C53" s="37" t="s">
        <v>725</v>
      </c>
      <c r="D53" s="37" t="s">
        <v>812</v>
      </c>
      <c r="E53" s="37" t="s">
        <v>741</v>
      </c>
      <c r="F53" s="40"/>
      <c r="G53" s="53"/>
      <c r="H53" s="53">
        <v>79.248963667398201</v>
      </c>
      <c r="I53" s="53"/>
      <c r="J53" s="44">
        <f t="shared" si="62"/>
        <v>79.248963667398201</v>
      </c>
      <c r="K53" s="53">
        <v>10.210924164837801</v>
      </c>
      <c r="L53" s="53">
        <v>10.820531577663999</v>
      </c>
      <c r="M53" s="44">
        <f t="shared" si="63"/>
        <v>10.820531577663999</v>
      </c>
      <c r="N53" s="53">
        <v>6.0198732016581298</v>
      </c>
      <c r="O53" s="53">
        <v>3.3528407705437702</v>
      </c>
      <c r="P53" s="53">
        <f t="shared" si="64"/>
        <v>2.6670324311143596</v>
      </c>
      <c r="Q53" s="55">
        <f t="shared" si="65"/>
        <v>1119.014790929217</v>
      </c>
      <c r="R53" s="40"/>
      <c r="S53" s="40"/>
      <c r="T53" s="40"/>
      <c r="U53" s="40"/>
      <c r="V53" s="40"/>
      <c r="W53" s="53">
        <f t="shared" si="66"/>
        <v>13.164556962025323</v>
      </c>
      <c r="X53" s="53">
        <f t="shared" si="67"/>
        <v>7.3239436619718212</v>
      </c>
      <c r="Y53" s="53">
        <f>M53/O53</f>
        <v>3.2272727272727315</v>
      </c>
      <c r="Z53" s="53">
        <f>H53/O53</f>
        <v>23.636363636363637</v>
      </c>
      <c r="AA53" s="73">
        <f t="shared" si="68"/>
        <v>3.3653846153846118E-2</v>
      </c>
      <c r="AB53" s="55">
        <f t="shared" si="69"/>
        <v>62.661035545695214</v>
      </c>
      <c r="AC53" s="74">
        <f t="shared" si="70"/>
        <v>5162.1370698425744</v>
      </c>
      <c r="AD53" s="74">
        <f t="shared" si="71"/>
        <v>1334.5846265007783</v>
      </c>
      <c r="AE53" s="74">
        <f t="shared" si="72"/>
        <v>1811.6533391413275</v>
      </c>
      <c r="AJ53" s="84"/>
      <c r="AK53" s="84"/>
      <c r="AL53" s="84"/>
      <c r="AM53" s="84"/>
      <c r="AN53" s="84"/>
      <c r="AO53" s="84"/>
      <c r="AP53" s="95"/>
      <c r="AQ53" s="84"/>
      <c r="AR53" s="84"/>
      <c r="AS53" s="84"/>
      <c r="AT53" s="74">
        <v>498.41255256511602</v>
      </c>
      <c r="AU53" s="74">
        <v>177.533482142857</v>
      </c>
      <c r="AV53" s="74">
        <v>69.928618204099806</v>
      </c>
      <c r="AW53" s="74">
        <v>56.792746902687803</v>
      </c>
      <c r="AX53" s="74">
        <v>169.75272169123301</v>
      </c>
      <c r="AY53" s="74">
        <v>104.16368299465201</v>
      </c>
      <c r="AZ53" s="74">
        <v>42.430986428571401</v>
      </c>
      <c r="BA53" s="74">
        <f t="shared" si="75"/>
        <v>1119.014790929217</v>
      </c>
      <c r="BB53" s="95"/>
      <c r="BC53" s="74">
        <f t="shared" si="76"/>
        <v>1119.014790929217</v>
      </c>
      <c r="BD53" s="95"/>
      <c r="BE53" s="84"/>
      <c r="BF53" s="74">
        <f t="shared" si="73"/>
        <v>1119.014790929217</v>
      </c>
      <c r="BG53" s="40"/>
      <c r="BH53" s="40"/>
      <c r="BI53" s="74"/>
      <c r="BJ53" s="74"/>
      <c r="BK53" s="74"/>
      <c r="BL53" s="74"/>
      <c r="BM53" s="74"/>
      <c r="BN53" s="74"/>
      <c r="BO53" s="74"/>
      <c r="BP53" s="74"/>
      <c r="BQ53" s="74"/>
      <c r="BR53" s="74"/>
      <c r="BS53" s="55">
        <v>35</v>
      </c>
      <c r="BT53" s="55">
        <v>20.5</v>
      </c>
      <c r="BU53" s="55">
        <v>6.5</v>
      </c>
      <c r="BV53" s="55">
        <v>4</v>
      </c>
      <c r="BW53" s="55">
        <v>21.25</v>
      </c>
      <c r="BX53" s="55">
        <v>7.5</v>
      </c>
      <c r="BY53" s="55">
        <v>5.25</v>
      </c>
      <c r="BZ53" s="55">
        <f>BB53/$BC53*100</f>
        <v>0</v>
      </c>
      <c r="CA53" s="40"/>
      <c r="CB53" s="40"/>
      <c r="CC53" s="40"/>
      <c r="CD53" s="40"/>
      <c r="CE53" s="40"/>
      <c r="CF53" s="40"/>
      <c r="CG53" s="40"/>
      <c r="CH53" s="40"/>
      <c r="CI53" s="40"/>
      <c r="CJ53" s="40"/>
      <c r="CK53" s="40"/>
      <c r="CL53" s="40"/>
      <c r="CM53" s="40"/>
      <c r="CN53" s="40"/>
      <c r="CO53" s="40"/>
      <c r="CP53" s="40"/>
      <c r="CQ53" s="40"/>
      <c r="CR53" s="40"/>
      <c r="CS53" s="40"/>
      <c r="CT53" s="40"/>
      <c r="CU53" s="40"/>
      <c r="CV53" s="40"/>
      <c r="CX53" s="40"/>
      <c r="CY53" s="74"/>
      <c r="CZ53" s="74"/>
      <c r="DA53" s="74">
        <v>1274.3045827059</v>
      </c>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row>
    <row r="54" spans="1:154" s="37" customFormat="1">
      <c r="A54" s="37" t="s">
        <v>547</v>
      </c>
      <c r="B54" s="40"/>
      <c r="C54" s="37" t="s">
        <v>725</v>
      </c>
      <c r="D54" s="37" t="s">
        <v>813</v>
      </c>
      <c r="E54" s="37" t="s">
        <v>741</v>
      </c>
      <c r="F54" s="40"/>
      <c r="G54" s="53"/>
      <c r="H54" s="53">
        <v>79.248963667398201</v>
      </c>
      <c r="I54" s="53"/>
      <c r="J54" s="44">
        <f t="shared" si="62"/>
        <v>79.248963667398201</v>
      </c>
      <c r="K54" s="53">
        <v>10.515727871250901</v>
      </c>
      <c r="L54" s="53">
        <v>11.704462326261901</v>
      </c>
      <c r="M54" s="44">
        <f t="shared" si="63"/>
        <v>11.704462326261901</v>
      </c>
      <c r="N54" s="53">
        <v>6.0198732016581298</v>
      </c>
      <c r="O54" s="53">
        <v>3.3528407705437702</v>
      </c>
      <c r="P54" s="53">
        <f t="shared" si="64"/>
        <v>2.6670324311143596</v>
      </c>
      <c r="Q54" s="55">
        <f t="shared" si="65"/>
        <v>1135.9939756087399</v>
      </c>
      <c r="R54" s="40"/>
      <c r="S54" s="40"/>
      <c r="T54" s="40"/>
      <c r="U54" s="40"/>
      <c r="V54" s="40"/>
      <c r="W54" s="53">
        <f t="shared" si="66"/>
        <v>13.164556962025323</v>
      </c>
      <c r="X54" s="53">
        <f t="shared" si="67"/>
        <v>6.7708333333333259</v>
      </c>
      <c r="Y54" s="53">
        <f>M54/O54</f>
        <v>3.4909090909090943</v>
      </c>
      <c r="Z54" s="53">
        <f>H54/O54</f>
        <v>23.636363636363637</v>
      </c>
      <c r="AA54" s="73">
        <f t="shared" si="68"/>
        <v>3.3653846153846118E-2</v>
      </c>
      <c r="AB54" s="55">
        <f t="shared" si="69"/>
        <v>63.61181233914315</v>
      </c>
      <c r="AC54" s="74">
        <f t="shared" si="70"/>
        <v>5583.8327741395724</v>
      </c>
      <c r="AD54" s="74">
        <f t="shared" si="71"/>
        <v>1404.6352222809096</v>
      </c>
      <c r="AE54" s="74">
        <f t="shared" si="72"/>
        <v>1881.703934921459</v>
      </c>
      <c r="AF54" s="40"/>
      <c r="AG54" s="40"/>
      <c r="AH54" s="40"/>
      <c r="AI54" s="40"/>
      <c r="AJ54" s="84"/>
      <c r="AK54" s="84"/>
      <c r="AL54" s="84"/>
      <c r="AM54" s="84"/>
      <c r="AN54" s="84"/>
      <c r="AO54" s="84"/>
      <c r="AP54" s="95"/>
      <c r="AQ54" s="84"/>
      <c r="AR54" s="84"/>
      <c r="AS54" s="84"/>
      <c r="AT54" s="74">
        <v>514.05397560873996</v>
      </c>
      <c r="AU54" s="74">
        <v>174.87</v>
      </c>
      <c r="AV54" s="74">
        <v>69.36</v>
      </c>
      <c r="AW54" s="74">
        <v>62.99</v>
      </c>
      <c r="AX54" s="74">
        <v>167.63</v>
      </c>
      <c r="AY54" s="74">
        <v>102.24</v>
      </c>
      <c r="AZ54" s="74">
        <v>44.85</v>
      </c>
      <c r="BA54" s="74">
        <f t="shared" si="75"/>
        <v>1135.9939756087399</v>
      </c>
      <c r="BB54" s="95"/>
      <c r="BC54" s="74">
        <f t="shared" si="76"/>
        <v>1135.9939756087399</v>
      </c>
      <c r="BD54" s="95"/>
      <c r="BE54" s="84"/>
      <c r="BF54" s="74">
        <f t="shared" si="73"/>
        <v>1135.9939756087399</v>
      </c>
      <c r="BG54" s="40"/>
      <c r="BH54" s="40"/>
      <c r="BI54" s="74"/>
      <c r="BJ54" s="74"/>
      <c r="BK54" s="74"/>
      <c r="BL54" s="74"/>
      <c r="BM54" s="74"/>
      <c r="BN54" s="74"/>
      <c r="BO54" s="74"/>
      <c r="BP54" s="74"/>
      <c r="BQ54" s="74"/>
      <c r="BR54" s="74"/>
      <c r="BS54" s="55">
        <v>35</v>
      </c>
      <c r="BT54" s="55">
        <v>20.5</v>
      </c>
      <c r="BU54" s="55">
        <v>6.5</v>
      </c>
      <c r="BV54" s="55">
        <v>4</v>
      </c>
      <c r="BW54" s="55">
        <v>21.25</v>
      </c>
      <c r="BX54" s="55">
        <v>7.5</v>
      </c>
      <c r="BY54" s="55">
        <v>5.25</v>
      </c>
      <c r="BZ54" s="55">
        <f>BB54/$BC54*100</f>
        <v>0</v>
      </c>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74"/>
      <c r="CZ54" s="74"/>
      <c r="DA54" s="74">
        <v>1274.3045827059</v>
      </c>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row>
    <row r="55" spans="1:154" ht="12.75">
      <c r="A55" s="37" t="s">
        <v>544</v>
      </c>
      <c r="B55" s="37"/>
      <c r="C55" s="37"/>
      <c r="D55" s="37" t="s">
        <v>814</v>
      </c>
      <c r="E55" s="37" t="s">
        <v>741</v>
      </c>
      <c r="F55" s="37"/>
      <c r="G55" s="53"/>
      <c r="H55" s="53">
        <v>84.122774932943202</v>
      </c>
      <c r="I55" s="53"/>
      <c r="J55" s="44">
        <f t="shared" si="62"/>
        <v>84.122774932943202</v>
      </c>
      <c r="K55" s="53">
        <v>11.1497195805901</v>
      </c>
      <c r="L55" s="53">
        <v>12.3506461838576</v>
      </c>
      <c r="M55" s="44">
        <f t="shared" si="63"/>
        <v>12.3506461838576</v>
      </c>
      <c r="N55" s="53">
        <v>6.25152401853207</v>
      </c>
      <c r="O55" s="53">
        <v>3.3528407705437702</v>
      </c>
      <c r="P55" s="53">
        <f t="shared" si="64"/>
        <v>2.8986832479882998</v>
      </c>
      <c r="Q55" s="80"/>
      <c r="R55" s="37"/>
      <c r="S55" s="37"/>
      <c r="T55" s="37"/>
      <c r="U55" s="37"/>
      <c r="V55" s="37"/>
      <c r="W55" s="53">
        <f t="shared" si="66"/>
        <v>13.456362749878101</v>
      </c>
      <c r="X55" s="53">
        <f t="shared" si="67"/>
        <v>6.8112043435340563</v>
      </c>
      <c r="Y55" s="53">
        <f>M55/O55</f>
        <v>3.6836363636363645</v>
      </c>
      <c r="Z55" s="53">
        <f>H55/O55</f>
        <v>25.090000000000003</v>
      </c>
      <c r="AA55" s="73">
        <f t="shared" si="68"/>
        <v>3.445777020906559E-2</v>
      </c>
      <c r="AB55" s="84"/>
      <c r="AC55" s="74">
        <f t="shared" si="70"/>
        <v>6495.1498429998455</v>
      </c>
      <c r="AD55" s="74">
        <f t="shared" si="71"/>
        <v>1564.8661771999289</v>
      </c>
      <c r="AE55" s="74">
        <f t="shared" si="72"/>
        <v>2090.7617251987904</v>
      </c>
      <c r="AF55" s="37"/>
      <c r="AG55" s="37"/>
      <c r="AH55" s="37"/>
      <c r="AI55" s="37"/>
      <c r="AJ55" s="84"/>
      <c r="AK55" s="84"/>
      <c r="AL55" s="84"/>
      <c r="AM55" s="84"/>
      <c r="AN55" s="84"/>
      <c r="AO55" s="84"/>
      <c r="AP55" s="95"/>
      <c r="AQ55" s="84"/>
      <c r="AR55" s="84"/>
      <c r="AS55" s="84"/>
      <c r="AT55" s="74">
        <v>590.67477093350305</v>
      </c>
      <c r="AU55" s="74">
        <v>228.09</v>
      </c>
      <c r="AV55" s="74">
        <v>65.61</v>
      </c>
      <c r="AW55" s="74">
        <v>61.3</v>
      </c>
      <c r="AX55" s="74">
        <v>209.79</v>
      </c>
      <c r="AY55" s="74">
        <v>135.18</v>
      </c>
      <c r="AZ55" s="74">
        <v>38.43</v>
      </c>
      <c r="BA55" s="74">
        <f t="shared" si="75"/>
        <v>1329.0747709335033</v>
      </c>
      <c r="BB55" s="95"/>
      <c r="BC55" s="74">
        <f t="shared" si="76"/>
        <v>1329.0747709335033</v>
      </c>
      <c r="BD55" s="74"/>
      <c r="BE55" s="84"/>
      <c r="BF55" s="84"/>
      <c r="BG55" s="37"/>
      <c r="BH55" s="37"/>
      <c r="BI55" s="84"/>
      <c r="BJ55" s="84"/>
      <c r="BK55" s="84"/>
      <c r="BL55" s="84"/>
      <c r="BM55" s="84"/>
      <c r="BN55" s="84"/>
      <c r="BO55" s="84"/>
      <c r="BP55" s="84"/>
      <c r="BQ55" s="84"/>
      <c r="BR55" s="84"/>
      <c r="BS55" s="80"/>
      <c r="BT55" s="80"/>
      <c r="BU55" s="80"/>
      <c r="BV55" s="80"/>
      <c r="BW55" s="80"/>
      <c r="BX55" s="80"/>
      <c r="BY55" s="80"/>
      <c r="BZ55" s="80"/>
      <c r="CA55" s="53"/>
      <c r="CB55" s="37"/>
      <c r="CC55" s="37"/>
      <c r="CD55" s="37"/>
      <c r="CE55" s="37"/>
      <c r="CF55" s="37"/>
      <c r="CG55" s="37"/>
      <c r="CH55" s="37"/>
      <c r="CI55" s="37"/>
      <c r="CJ55" s="55"/>
      <c r="CK55" s="37"/>
      <c r="CL55" s="37"/>
      <c r="CM55" s="37"/>
      <c r="CN55" s="37"/>
      <c r="CO55" s="37"/>
      <c r="CP55" s="37"/>
      <c r="CQ55" s="37"/>
      <c r="CR55" s="37"/>
      <c r="CS55" s="37"/>
      <c r="CT55" s="37"/>
      <c r="CU55" s="37"/>
      <c r="CV55" s="37"/>
      <c r="CW55" s="37"/>
      <c r="CX55" s="37"/>
      <c r="CY55" s="74"/>
      <c r="CZ55" s="74"/>
      <c r="DA55" s="74"/>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row>
    <row r="56" spans="1:154" ht="12.75">
      <c r="A56" s="41" t="s">
        <v>541</v>
      </c>
      <c r="B56" s="41"/>
      <c r="C56" s="41"/>
      <c r="D56" s="41" t="s">
        <v>815</v>
      </c>
      <c r="E56" s="41" t="s">
        <v>732</v>
      </c>
      <c r="F56" s="41"/>
      <c r="G56" s="60"/>
      <c r="H56" s="60">
        <v>85.619361131431305</v>
      </c>
      <c r="I56" s="60"/>
      <c r="J56" s="67">
        <f t="shared" si="62"/>
        <v>85.619361131431305</v>
      </c>
      <c r="K56" s="60">
        <v>10.3938063886857</v>
      </c>
      <c r="L56" s="60">
        <v>11.887344550109701</v>
      </c>
      <c r="M56" s="67">
        <f t="shared" si="63"/>
        <v>11.887344550109701</v>
      </c>
      <c r="N56" s="60">
        <v>6.8916118019995096</v>
      </c>
      <c r="O56" s="60">
        <v>3.1699585466959301</v>
      </c>
      <c r="P56" s="60">
        <f t="shared" si="64"/>
        <v>3.7216532553035795</v>
      </c>
      <c r="Q56" s="81"/>
      <c r="R56" s="41"/>
      <c r="S56" s="41"/>
      <c r="T56" s="41"/>
      <c r="U56" s="41"/>
      <c r="V56" s="41"/>
      <c r="W56" s="60">
        <f t="shared" si="66"/>
        <v>12.423706324635114</v>
      </c>
      <c r="X56" s="60">
        <f t="shared" si="67"/>
        <v>7.2025641025641152</v>
      </c>
      <c r="Y56" s="60">
        <f>M56/O56</f>
        <v>3.749999999999988</v>
      </c>
      <c r="Z56" s="60">
        <f>H56/O56</f>
        <v>27.009615384615348</v>
      </c>
      <c r="AA56" s="73">
        <f t="shared" si="68"/>
        <v>4.3467426130295445E-2</v>
      </c>
      <c r="AB56" s="85"/>
      <c r="AC56" s="86">
        <f t="shared" si="70"/>
        <v>7014.1918393282485</v>
      </c>
      <c r="AD56" s="86">
        <f t="shared" si="71"/>
        <v>1607.8422455826244</v>
      </c>
      <c r="AE56" s="86">
        <f t="shared" si="72"/>
        <v>2197.8976452356546</v>
      </c>
      <c r="AF56" s="41"/>
      <c r="AG56" s="41"/>
      <c r="AH56" s="41"/>
      <c r="AI56" s="41"/>
      <c r="AJ56" s="85"/>
      <c r="AK56" s="85"/>
      <c r="AL56" s="85"/>
      <c r="AM56" s="85"/>
      <c r="AN56" s="85"/>
      <c r="AO56" s="85"/>
      <c r="AP56" s="98"/>
      <c r="AQ56" s="85"/>
      <c r="AR56" s="85"/>
      <c r="AS56" s="85"/>
      <c r="AT56" s="86">
        <v>405.40687653088997</v>
      </c>
      <c r="AU56" s="86">
        <v>180</v>
      </c>
      <c r="AV56" s="86">
        <v>73</v>
      </c>
      <c r="AW56" s="86">
        <v>107.86</v>
      </c>
      <c r="AX56" s="86">
        <v>132</v>
      </c>
      <c r="AY56" s="86">
        <v>60</v>
      </c>
      <c r="AZ56" s="86">
        <v>25</v>
      </c>
      <c r="BA56" s="86">
        <f t="shared" si="75"/>
        <v>983.26687653089004</v>
      </c>
      <c r="BB56" s="98"/>
      <c r="BC56" s="86">
        <f t="shared" si="76"/>
        <v>983.26687653089004</v>
      </c>
      <c r="BD56" s="86"/>
      <c r="BE56" s="85"/>
      <c r="BF56" s="85"/>
      <c r="BG56" s="41"/>
      <c r="BH56" s="41"/>
      <c r="BI56" s="85"/>
      <c r="BJ56" s="85"/>
      <c r="BK56" s="85"/>
      <c r="BL56" s="85"/>
      <c r="BM56" s="85"/>
      <c r="BN56" s="85"/>
      <c r="BO56" s="85"/>
      <c r="BP56" s="85"/>
      <c r="BQ56" s="85"/>
      <c r="BR56" s="85"/>
      <c r="BS56" s="81"/>
      <c r="BT56" s="81"/>
      <c r="BU56" s="81"/>
      <c r="BV56" s="81"/>
      <c r="BW56" s="81"/>
      <c r="BX56" s="81"/>
      <c r="BY56" s="81"/>
      <c r="BZ56" s="81"/>
      <c r="CA56" s="60"/>
      <c r="CB56" s="41"/>
      <c r="CC56" s="41"/>
      <c r="CD56" s="41"/>
      <c r="CE56" s="41"/>
      <c r="CF56" s="41"/>
      <c r="CG56" s="41"/>
      <c r="CH56" s="41"/>
      <c r="CI56" s="41"/>
      <c r="CJ56" s="100"/>
      <c r="CK56" s="41"/>
      <c r="CL56" s="41"/>
      <c r="CM56" s="41"/>
      <c r="CN56" s="41"/>
      <c r="CO56" s="41"/>
      <c r="CP56" s="41"/>
      <c r="CQ56" s="41"/>
      <c r="CR56" s="41"/>
      <c r="CS56" s="41"/>
      <c r="CT56" s="41"/>
      <c r="CU56" s="41"/>
      <c r="CV56" s="41"/>
      <c r="CW56" s="41"/>
      <c r="CX56" s="41"/>
      <c r="CY56" s="86"/>
      <c r="CZ56" s="86"/>
      <c r="DA56" s="86"/>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row>
    <row r="57" spans="1:154">
      <c r="A57" s="37" t="s">
        <v>542</v>
      </c>
      <c r="B57" s="37"/>
      <c r="C57" s="37"/>
      <c r="D57" s="37" t="s">
        <v>816</v>
      </c>
      <c r="E57" s="37" t="s">
        <v>741</v>
      </c>
      <c r="F57" s="37"/>
      <c r="G57" s="53"/>
      <c r="H57" s="53">
        <v>85.619361131431305</v>
      </c>
      <c r="I57" s="53"/>
      <c r="J57" s="44">
        <f t="shared" si="62"/>
        <v>85.619361131431305</v>
      </c>
      <c r="K57" s="53">
        <v>10.3938063886857</v>
      </c>
      <c r="L57" s="53">
        <v>11.887344550109701</v>
      </c>
      <c r="M57" s="44">
        <f t="shared" si="63"/>
        <v>11.887344550109701</v>
      </c>
      <c r="N57" s="53">
        <v>6.8916118019995096</v>
      </c>
      <c r="O57" s="53">
        <v>3.1699585466959301</v>
      </c>
      <c r="P57" s="53">
        <f t="shared" si="64"/>
        <v>3.7216532553035795</v>
      </c>
      <c r="Q57" s="80"/>
      <c r="R57" s="37"/>
      <c r="S57" s="37"/>
      <c r="T57" s="37"/>
      <c r="U57" s="37"/>
      <c r="V57" s="37"/>
      <c r="W57" s="53">
        <f t="shared" si="66"/>
        <v>12.423706324635114</v>
      </c>
      <c r="X57" s="53">
        <f t="shared" si="67"/>
        <v>7.2025641025641152</v>
      </c>
      <c r="Y57" s="53">
        <f>M57/O57</f>
        <v>3.749999999999988</v>
      </c>
      <c r="Z57" s="53">
        <f>H57/O57</f>
        <v>27.009615384615348</v>
      </c>
      <c r="AA57" s="73">
        <f t="shared" si="68"/>
        <v>4.3467426130295445E-2</v>
      </c>
      <c r="AB57" s="84"/>
      <c r="AC57" s="74">
        <f t="shared" si="70"/>
        <v>7014.1918393282485</v>
      </c>
      <c r="AD57" s="74">
        <f t="shared" si="71"/>
        <v>1607.8422455826244</v>
      </c>
      <c r="AE57" s="74">
        <f t="shared" si="72"/>
        <v>2197.8976452356546</v>
      </c>
      <c r="AF57" s="37"/>
      <c r="AG57" s="37"/>
      <c r="AH57" s="37"/>
      <c r="AI57" s="37"/>
      <c r="AJ57" s="84"/>
      <c r="AK57" s="84"/>
      <c r="AL57" s="84"/>
      <c r="AM57" s="84"/>
      <c r="AN57" s="84"/>
      <c r="AO57" s="84"/>
      <c r="AP57" s="95"/>
      <c r="AQ57" s="84"/>
      <c r="AR57" s="84"/>
      <c r="AS57" s="84"/>
      <c r="AT57" s="74">
        <v>414.68347999637098</v>
      </c>
      <c r="AU57" s="74">
        <v>180</v>
      </c>
      <c r="AV57" s="74">
        <v>73</v>
      </c>
      <c r="AW57" s="74">
        <v>107.86</v>
      </c>
      <c r="AX57" s="74">
        <v>132</v>
      </c>
      <c r="AY57" s="74">
        <v>60.39</v>
      </c>
      <c r="AZ57" s="74">
        <v>25</v>
      </c>
      <c r="BA57" s="74">
        <f t="shared" si="75"/>
        <v>992.93347999637103</v>
      </c>
      <c r="BB57" s="95"/>
      <c r="BC57" s="74">
        <f t="shared" si="76"/>
        <v>992.93347999637103</v>
      </c>
      <c r="BD57" s="74"/>
      <c r="BE57" s="84"/>
      <c r="BF57" s="84"/>
      <c r="BG57" s="40"/>
      <c r="BH57" s="40"/>
      <c r="BI57" s="84"/>
      <c r="BJ57" s="84"/>
      <c r="BK57" s="84"/>
      <c r="BL57" s="84"/>
      <c r="BM57" s="84"/>
      <c r="BN57" s="84"/>
      <c r="BO57" s="84"/>
      <c r="BP57" s="84"/>
      <c r="BQ57" s="84"/>
      <c r="BR57" s="84"/>
      <c r="BS57" s="80"/>
      <c r="BT57" s="80"/>
      <c r="BU57" s="80"/>
      <c r="BV57" s="80"/>
      <c r="BW57" s="80"/>
      <c r="BX57" s="80"/>
      <c r="BY57" s="80"/>
      <c r="BZ57" s="80"/>
      <c r="CA57" s="53"/>
      <c r="CB57" s="40"/>
      <c r="CC57" s="40"/>
      <c r="CD57" s="40"/>
      <c r="CE57" s="40"/>
      <c r="CF57" s="40"/>
      <c r="CG57" s="40"/>
      <c r="CH57" s="40"/>
      <c r="CI57" s="40"/>
      <c r="CJ57" s="55"/>
      <c r="CK57" s="40"/>
      <c r="CL57" s="40"/>
      <c r="CM57" s="40"/>
      <c r="CN57" s="40"/>
      <c r="CO57" s="40"/>
      <c r="CP57" s="40"/>
      <c r="CQ57" s="40"/>
      <c r="CR57" s="40"/>
      <c r="CS57" s="40"/>
      <c r="CT57" s="40"/>
      <c r="CU57" s="40"/>
      <c r="CV57" s="40"/>
      <c r="CW57" s="37"/>
      <c r="CX57" s="40"/>
      <c r="CY57" s="74"/>
      <c r="CZ57" s="74"/>
      <c r="DA57" s="74"/>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row>
    <row r="58" spans="1:154">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73"/>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row>
    <row r="59" spans="1:154" s="38" customFormat="1" ht="12.7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73"/>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row>
    <row r="60" spans="1:154" s="37" customFormat="1" ht="12.75">
      <c r="A60" s="57"/>
      <c r="B60" s="42"/>
      <c r="C60" s="42"/>
      <c r="D60" s="42"/>
      <c r="E60" s="42"/>
      <c r="F60" s="42"/>
      <c r="G60" s="42"/>
      <c r="H60" s="42"/>
      <c r="I60" s="42"/>
      <c r="J60" s="57"/>
      <c r="K60" s="42"/>
      <c r="L60" s="42"/>
      <c r="M60" s="57"/>
      <c r="N60" s="42"/>
      <c r="O60" s="42"/>
      <c r="P60" s="42"/>
      <c r="Q60" s="42"/>
      <c r="R60" s="42"/>
      <c r="S60" s="42"/>
      <c r="T60" s="42"/>
      <c r="U60" s="42"/>
      <c r="V60" s="42"/>
      <c r="W60" s="42"/>
      <c r="X60" s="42"/>
      <c r="Y60" s="42"/>
      <c r="Z60" s="42"/>
      <c r="AA60" s="73"/>
      <c r="AB60" s="42"/>
      <c r="AC60" s="42"/>
      <c r="AD60" s="42"/>
      <c r="AE60" s="42"/>
      <c r="AF60" s="57"/>
      <c r="AG60" s="57"/>
      <c r="AH60" s="57"/>
      <c r="AI60" s="57"/>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57"/>
      <c r="BH60" s="57"/>
      <c r="BI60" s="57"/>
      <c r="BJ60" s="57"/>
      <c r="BK60" s="57"/>
      <c r="BL60" s="57"/>
      <c r="BM60" s="57"/>
      <c r="BN60" s="57"/>
      <c r="BO60" s="57"/>
      <c r="BP60" s="57"/>
      <c r="BQ60" s="57"/>
      <c r="BR60" s="57"/>
      <c r="BS60" s="42"/>
      <c r="BT60" s="42"/>
      <c r="BU60" s="42"/>
      <c r="BV60" s="42"/>
      <c r="BW60" s="42"/>
      <c r="BX60" s="42"/>
      <c r="BY60" s="42"/>
      <c r="BZ60" s="42"/>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42"/>
      <c r="CZ60" s="42"/>
      <c r="DA60" s="42"/>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row>
    <row r="61" spans="1:154" s="37" customFormat="1">
      <c r="B61" s="41" t="s">
        <v>826</v>
      </c>
      <c r="C61" s="41" t="s">
        <v>718</v>
      </c>
      <c r="D61" s="41" t="s">
        <v>827</v>
      </c>
      <c r="E61" s="41" t="s">
        <v>811</v>
      </c>
      <c r="F61" s="41">
        <v>1976</v>
      </c>
      <c r="G61" s="53">
        <v>19.8</v>
      </c>
      <c r="H61" s="59"/>
      <c r="I61" s="59"/>
      <c r="K61" s="65">
        <v>6.1</v>
      </c>
      <c r="L61" s="59"/>
      <c r="N61" s="68">
        <v>2.96</v>
      </c>
      <c r="O61" s="59"/>
      <c r="P61" s="59"/>
      <c r="Q61" s="55">
        <v>72.599999999999994</v>
      </c>
      <c r="R61" s="75"/>
      <c r="S61" s="75"/>
      <c r="T61" s="75"/>
      <c r="U61" s="75"/>
      <c r="V61" s="75"/>
      <c r="W61" s="59"/>
      <c r="X61" s="59"/>
      <c r="Y61" s="59"/>
      <c r="Z61" s="59"/>
      <c r="AA61" s="73"/>
      <c r="AB61" s="80"/>
      <c r="AC61" s="74">
        <f>G61*K61*N61</f>
        <v>357.50880000000001</v>
      </c>
      <c r="AD61" s="84"/>
      <c r="AE61" s="84"/>
      <c r="AJ61" s="84"/>
      <c r="AK61" s="80"/>
      <c r="AL61" s="84"/>
      <c r="AM61" s="84"/>
      <c r="AN61" s="84"/>
      <c r="AO61" s="84"/>
      <c r="AP61" s="98"/>
      <c r="AQ61" s="84"/>
      <c r="AR61" s="74"/>
      <c r="AS61" s="74"/>
      <c r="AT61" s="74">
        <f>14.9+6.8</f>
        <v>21.7</v>
      </c>
      <c r="AU61" s="74">
        <v>11.1</v>
      </c>
      <c r="AV61" s="74">
        <v>3.9</v>
      </c>
      <c r="AW61" s="74">
        <v>1.1000000000000001</v>
      </c>
      <c r="AX61" s="74">
        <v>3.5</v>
      </c>
      <c r="AY61" s="74">
        <v>3.4</v>
      </c>
      <c r="AZ61" s="74">
        <v>11.3</v>
      </c>
      <c r="BA61" s="74">
        <f>SUM(AT61:AZ61)</f>
        <v>56</v>
      </c>
      <c r="BB61" s="95"/>
      <c r="BC61" s="74">
        <f>SUM(BA61:BB61)</f>
        <v>56</v>
      </c>
      <c r="BD61" s="95"/>
      <c r="BE61" s="74">
        <f>72.6-BC61</f>
        <v>16.599999999999994</v>
      </c>
      <c r="BF61" s="37">
        <f>SUM(BC61:BE61)</f>
        <v>72.599999999999994</v>
      </c>
      <c r="BI61" s="40"/>
      <c r="BJ61" s="40"/>
      <c r="BK61" s="40"/>
      <c r="BL61" s="40"/>
      <c r="BM61" s="40"/>
      <c r="BN61" s="40"/>
      <c r="BO61" s="40"/>
      <c r="BP61" s="40"/>
      <c r="BQ61" s="40"/>
      <c r="BR61" s="40"/>
      <c r="BS61" s="55">
        <f t="shared" ref="BS61:BY61" si="77">AT61/$BC61*100</f>
        <v>38.75</v>
      </c>
      <c r="BT61" s="55">
        <f t="shared" si="77"/>
        <v>19.821428571428569</v>
      </c>
      <c r="BU61" s="55">
        <f t="shared" si="77"/>
        <v>6.9642857142857144</v>
      </c>
      <c r="BV61" s="55">
        <f t="shared" si="77"/>
        <v>1.9642857142857146</v>
      </c>
      <c r="BW61" s="55">
        <f t="shared" si="77"/>
        <v>6.25</v>
      </c>
      <c r="BX61" s="55">
        <f t="shared" si="77"/>
        <v>6.0714285714285712</v>
      </c>
      <c r="BY61" s="55">
        <f t="shared" si="77"/>
        <v>20.178571428571431</v>
      </c>
      <c r="BZ61" s="55">
        <f>BB61/$BC61*100</f>
        <v>0</v>
      </c>
      <c r="CY61" s="74"/>
      <c r="CZ61" s="74"/>
      <c r="DA61" s="74"/>
    </row>
    <row r="62" spans="1:154" s="37" customFormat="1">
      <c r="A62" s="40"/>
      <c r="B62" s="40"/>
      <c r="C62" s="40"/>
      <c r="D62" s="40"/>
      <c r="E62" s="40"/>
      <c r="F62" s="40"/>
      <c r="G62" s="55"/>
      <c r="H62" s="55"/>
      <c r="I62" s="55"/>
      <c r="J62" s="40"/>
      <c r="K62" s="53"/>
      <c r="L62" s="53"/>
      <c r="M62" s="40"/>
      <c r="N62" s="53"/>
      <c r="O62" s="53"/>
      <c r="P62" s="53"/>
      <c r="Q62" s="74"/>
      <c r="R62" s="40"/>
      <c r="S62" s="40"/>
      <c r="T62" s="40"/>
      <c r="U62" s="40"/>
      <c r="V62" s="40"/>
      <c r="W62" s="53"/>
      <c r="X62" s="53"/>
      <c r="Y62" s="53"/>
      <c r="Z62" s="53"/>
      <c r="AA62" s="73"/>
      <c r="AB62" s="55"/>
      <c r="AC62" s="74"/>
      <c r="AD62" s="74"/>
      <c r="AE62" s="74"/>
      <c r="AF62" s="40"/>
      <c r="AG62" s="40"/>
      <c r="AH62" s="40"/>
      <c r="AI62" s="40"/>
      <c r="AJ62" s="74"/>
      <c r="AK62" s="74"/>
      <c r="AL62" s="74"/>
      <c r="AM62" s="74"/>
      <c r="AN62" s="74"/>
      <c r="AO62" s="74"/>
      <c r="AP62" s="40"/>
      <c r="AQ62" s="74"/>
      <c r="AR62" s="74"/>
      <c r="AS62" s="74"/>
      <c r="AT62" s="74"/>
      <c r="AU62" s="74"/>
      <c r="AV62" s="74"/>
      <c r="AW62" s="74"/>
      <c r="AX62" s="74"/>
      <c r="AY62" s="74"/>
      <c r="AZ62" s="74"/>
      <c r="BA62" s="74"/>
      <c r="BB62" s="74"/>
      <c r="BC62" s="74"/>
      <c r="BD62" s="74"/>
      <c r="BE62" s="74"/>
      <c r="BF62" s="74"/>
      <c r="BG62" s="40"/>
      <c r="BH62" s="40"/>
      <c r="BI62" s="74"/>
      <c r="BJ62" s="74"/>
      <c r="BK62" s="74"/>
      <c r="BL62" s="74"/>
      <c r="BM62" s="74"/>
      <c r="BN62" s="74"/>
      <c r="BO62" s="74"/>
      <c r="BP62" s="74"/>
      <c r="BQ62" s="74"/>
      <c r="BR62" s="74"/>
      <c r="BS62" s="55"/>
      <c r="BT62" s="55"/>
      <c r="BU62" s="55"/>
      <c r="BV62" s="55"/>
      <c r="BW62" s="55"/>
      <c r="BX62" s="55"/>
      <c r="BY62" s="55"/>
      <c r="BZ62" s="55"/>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74"/>
      <c r="CZ62" s="74"/>
      <c r="DA62" s="74"/>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row>
    <row r="63" spans="1:154" s="37" customFormat="1" ht="12.75">
      <c r="B63" s="61" t="s">
        <v>831</v>
      </c>
      <c r="D63" s="37" t="s">
        <v>832</v>
      </c>
      <c r="E63" s="37" t="s">
        <v>811</v>
      </c>
      <c r="F63" s="37">
        <v>1996</v>
      </c>
      <c r="G63" s="53">
        <v>42.6</v>
      </c>
      <c r="H63" s="53"/>
      <c r="I63" s="53">
        <v>38.799999999999997</v>
      </c>
      <c r="J63" s="44">
        <f>IF(I63="",H63,I63)</f>
        <v>38.799999999999997</v>
      </c>
      <c r="K63" s="69">
        <v>6.9</v>
      </c>
      <c r="L63" s="53">
        <v>8.1999999999999993</v>
      </c>
      <c r="M63" s="44">
        <f>IF(L63="",K63,L63)</f>
        <v>8.1999999999999993</v>
      </c>
      <c r="N63" s="69">
        <v>10</v>
      </c>
      <c r="O63" s="53">
        <v>1.9</v>
      </c>
      <c r="P63" s="53">
        <f>N63-O63</f>
        <v>8.1</v>
      </c>
      <c r="Q63" s="55">
        <f>BF63</f>
        <v>250</v>
      </c>
      <c r="R63" s="73"/>
      <c r="S63" s="73"/>
      <c r="T63" s="73"/>
      <c r="U63" s="73"/>
      <c r="W63" s="69">
        <f>I63/N63</f>
        <v>3.88</v>
      </c>
      <c r="X63" s="69">
        <f>I63/K63</f>
        <v>5.6231884057971007</v>
      </c>
      <c r="Y63" s="53">
        <f>K63/O63</f>
        <v>3.6315789473684212</v>
      </c>
      <c r="Z63" s="53">
        <f>I63/O63</f>
        <v>20.421052631578945</v>
      </c>
      <c r="AA63" s="73">
        <f>P63/J63</f>
        <v>0.20876288659793815</v>
      </c>
      <c r="AB63" s="55">
        <f>(Q63*2204.6/2240)/(0.01*I63*3.2808)^3</f>
        <v>119.28541553934558</v>
      </c>
      <c r="AC63" s="74">
        <f>I63*K63*N63</f>
        <v>2677.2</v>
      </c>
      <c r="AD63" s="74">
        <f>I63*(K63+N63)</f>
        <v>655.71999999999991</v>
      </c>
      <c r="AE63" s="74">
        <f>I63*(K63+2*N63)</f>
        <v>1043.7199999999998</v>
      </c>
      <c r="AJ63" s="95"/>
      <c r="AK63" s="80"/>
      <c r="AL63" s="84"/>
      <c r="AM63" s="84"/>
      <c r="AN63" s="95"/>
      <c r="AO63" s="95"/>
      <c r="AP63" s="95"/>
      <c r="AQ63" s="95"/>
      <c r="AS63" s="74"/>
      <c r="AT63" s="74">
        <v>67.5</v>
      </c>
      <c r="AU63" s="74">
        <v>32.5</v>
      </c>
      <c r="AV63" s="74">
        <v>13.7</v>
      </c>
      <c r="AW63" s="74">
        <v>10</v>
      </c>
      <c r="AX63" s="74">
        <v>23.8</v>
      </c>
      <c r="AY63" s="74">
        <v>15</v>
      </c>
      <c r="AZ63" s="74">
        <v>12.5</v>
      </c>
      <c r="BA63" s="74">
        <f>SUM(AT63:AZ63)</f>
        <v>175</v>
      </c>
      <c r="BB63" s="37">
        <v>15</v>
      </c>
      <c r="BC63" s="74">
        <f>SUM(BA63:BB63)</f>
        <v>190</v>
      </c>
      <c r="BD63" s="95"/>
      <c r="BE63" s="37">
        <v>60</v>
      </c>
      <c r="BF63" s="37">
        <f>SUM(BC63:BE63)</f>
        <v>250</v>
      </c>
      <c r="BS63" s="55">
        <f t="shared" ref="BS63:BY63" si="78">AT63/$BC63*100</f>
        <v>35.526315789473685</v>
      </c>
      <c r="BT63" s="55">
        <f t="shared" si="78"/>
        <v>17.105263157894736</v>
      </c>
      <c r="BU63" s="55">
        <f t="shared" si="78"/>
        <v>7.2105263157894726</v>
      </c>
      <c r="BV63" s="55">
        <f t="shared" si="78"/>
        <v>5.2631578947368416</v>
      </c>
      <c r="BW63" s="55">
        <f t="shared" si="78"/>
        <v>12.526315789473685</v>
      </c>
      <c r="BX63" s="55">
        <f t="shared" si="78"/>
        <v>7.8947368421052628</v>
      </c>
      <c r="BY63" s="55">
        <f t="shared" si="78"/>
        <v>6.5789473684210522</v>
      </c>
      <c r="BZ63" s="55">
        <f>BB63/$BC63*100</f>
        <v>7.8947368421052628</v>
      </c>
    </row>
    <row r="64" spans="1:154">
      <c r="K64" s="44"/>
      <c r="Q64" s="45"/>
      <c r="R64" s="45"/>
      <c r="S64" s="46"/>
      <c r="W64" s="43"/>
      <c r="X64" s="43"/>
      <c r="AB64" s="45"/>
      <c r="AC64" s="45"/>
      <c r="AD64" s="44"/>
      <c r="AP64" s="46"/>
      <c r="AS64" s="43"/>
      <c r="BS64" s="46"/>
      <c r="BT64" s="46"/>
      <c r="BU64" s="46"/>
      <c r="CA64" s="44"/>
      <c r="CB64" s="44"/>
      <c r="CC64" s="44"/>
      <c r="CU64" s="45"/>
      <c r="CV64" s="45"/>
    </row>
    <row r="65" spans="11:100">
      <c r="K65" s="44"/>
      <c r="Q65" s="45"/>
      <c r="R65" s="45"/>
      <c r="S65" s="46"/>
      <c r="W65" s="43"/>
      <c r="X65" s="43"/>
      <c r="AB65" s="45"/>
      <c r="AC65" s="45"/>
      <c r="AD65" s="44"/>
      <c r="AP65" s="46"/>
      <c r="AR65" s="43"/>
      <c r="BS65" s="46"/>
      <c r="BT65" s="46"/>
      <c r="CA65" s="44"/>
      <c r="CB65" s="44"/>
      <c r="CU65" s="45"/>
      <c r="CV65" s="45"/>
    </row>
  </sheetData>
  <sortState ref="A2:EX59">
    <sortCondition ref="AP2:AP59"/>
  </sortState>
  <pageMargins left="0.25" right="0.25" top="0.5" bottom="0.5" header="0.5" footer="0.5"/>
  <pageSetup scale="45" fitToWidth="3" fitToHeight="0"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76"/>
  <sheetViews>
    <sheetView zoomScale="90" zoomScaleNormal="90" workbookViewId="0">
      <pane xSplit="1" ySplit="2" topLeftCell="H16" activePane="bottomRight" state="frozen"/>
      <selection pane="topRight"/>
      <selection pane="bottomLeft"/>
      <selection pane="bottomRight" activeCell="I16" sqref="I16"/>
    </sheetView>
  </sheetViews>
  <sheetFormatPr defaultColWidth="8" defaultRowHeight="12.75"/>
  <cols>
    <col min="1" max="1" width="18" style="1" customWidth="1"/>
    <col min="2" max="2" width="8.75" style="1"/>
    <col min="3" max="5" width="8.625" style="1"/>
    <col min="6" max="6" width="9.125" style="1" customWidth="1"/>
    <col min="7" max="7" width="9.125" style="1"/>
    <col min="8" max="8" width="8" style="1"/>
    <col min="9" max="9" width="8.125" style="1" customWidth="1"/>
    <col min="10" max="12" width="11.625" style="1"/>
    <col min="13" max="13" width="11.875" style="1"/>
    <col min="14" max="14" width="12.875" style="1"/>
    <col min="15" max="16384" width="8" style="1"/>
  </cols>
  <sheetData>
    <row r="1" spans="1:14">
      <c r="A1" s="641" t="s">
        <v>974</v>
      </c>
      <c r="B1" s="638" t="s">
        <v>975</v>
      </c>
      <c r="C1" s="639"/>
      <c r="D1" s="639"/>
      <c r="E1" s="639"/>
      <c r="F1" s="639"/>
      <c r="G1" s="640"/>
      <c r="I1" s="638" t="s">
        <v>975</v>
      </c>
      <c r="J1" s="639"/>
      <c r="K1" s="639"/>
      <c r="L1" s="639"/>
      <c r="M1" s="639"/>
      <c r="N1" s="640"/>
    </row>
    <row r="2" spans="1:14">
      <c r="A2" s="642"/>
      <c r="B2" s="2">
        <v>47</v>
      </c>
      <c r="C2" s="3">
        <v>87</v>
      </c>
      <c r="D2" s="3">
        <v>110</v>
      </c>
      <c r="E2" s="3">
        <v>120</v>
      </c>
      <c r="F2" s="3">
        <v>270</v>
      </c>
      <c r="G2" s="4">
        <v>378</v>
      </c>
      <c r="I2" s="2">
        <v>47</v>
      </c>
      <c r="J2" s="3">
        <v>87</v>
      </c>
      <c r="K2" s="3">
        <v>110</v>
      </c>
      <c r="L2" s="3">
        <v>120</v>
      </c>
      <c r="M2" s="3">
        <v>270</v>
      </c>
      <c r="N2" s="4">
        <v>378</v>
      </c>
    </row>
    <row r="3" spans="1:14">
      <c r="A3" s="5" t="s">
        <v>976</v>
      </c>
      <c r="B3" s="6">
        <v>2.67</v>
      </c>
      <c r="C3" s="7">
        <v>5.9</v>
      </c>
      <c r="D3" s="7">
        <v>6.44</v>
      </c>
      <c r="E3" s="7">
        <v>4.9000000000000004</v>
      </c>
      <c r="F3" s="7">
        <v>13</v>
      </c>
      <c r="G3" s="8">
        <v>13.5</v>
      </c>
      <c r="I3" s="27">
        <f t="shared" ref="I3:N3" si="0">B3/3.2808</f>
        <v>0.8138258961228968</v>
      </c>
      <c r="J3" s="27">
        <f t="shared" si="0"/>
        <v>1.798341867837113</v>
      </c>
      <c r="K3" s="27">
        <f t="shared" si="0"/>
        <v>1.9629358693001706</v>
      </c>
      <c r="L3" s="27">
        <f t="shared" si="0"/>
        <v>1.4935381614240431</v>
      </c>
      <c r="M3" s="27">
        <f t="shared" si="0"/>
        <v>3.9624481833699097</v>
      </c>
      <c r="N3" s="27">
        <f t="shared" si="0"/>
        <v>4.1148500365764447</v>
      </c>
    </row>
    <row r="4" spans="1:14">
      <c r="A4" s="9" t="s">
        <v>977</v>
      </c>
      <c r="B4" s="10">
        <f>B7*B8*B9/1000</f>
        <v>4.2963637499999994</v>
      </c>
      <c r="C4" s="11">
        <f t="shared" ref="C4:G4" si="1">C7*C8*C9/1000</f>
        <v>18.386400000000002</v>
      </c>
      <c r="D4" s="11">
        <f t="shared" si="1"/>
        <v>23.854478472000004</v>
      </c>
      <c r="E4" s="11">
        <f t="shared" si="1"/>
        <v>28.962032000000001</v>
      </c>
      <c r="F4" s="11">
        <f t="shared" si="1"/>
        <v>294.86583300000001</v>
      </c>
      <c r="G4" s="12">
        <f t="shared" si="1"/>
        <v>427.38542000000007</v>
      </c>
      <c r="I4" s="28">
        <f t="shared" ref="I4:N4" si="2">I7*I8*I9</f>
        <v>121.66391145770029</v>
      </c>
      <c r="J4" s="28">
        <f t="shared" si="2"/>
        <v>520.66386176586218</v>
      </c>
      <c r="K4" s="28">
        <f t="shared" si="2"/>
        <v>675.50824966508617</v>
      </c>
      <c r="L4" s="28">
        <f t="shared" si="2"/>
        <v>820.14333560166608</v>
      </c>
      <c r="M4" s="28">
        <f t="shared" si="2"/>
        <v>8349.975161673181</v>
      </c>
      <c r="N4" s="28">
        <f t="shared" si="2"/>
        <v>12102.648873059705</v>
      </c>
    </row>
    <row r="5" spans="1:14">
      <c r="A5" s="9" t="s">
        <v>978</v>
      </c>
      <c r="B5" s="13">
        <v>47.92</v>
      </c>
      <c r="C5" s="14">
        <v>87</v>
      </c>
      <c r="D5" s="14">
        <v>110</v>
      </c>
      <c r="E5" s="14">
        <v>120.2</v>
      </c>
      <c r="F5" s="14">
        <v>270</v>
      </c>
      <c r="G5" s="15">
        <v>378</v>
      </c>
      <c r="I5" s="27">
        <f t="shared" ref="I5:I9" si="3">B5/3.2808</f>
        <v>14.606193611314314</v>
      </c>
      <c r="J5" s="27">
        <f t="shared" ref="J5:J9" si="4">C5/3.2808</f>
        <v>26.517922457937086</v>
      </c>
      <c r="K5" s="27">
        <f t="shared" ref="K5:K9" si="5">D5/3.2808</f>
        <v>33.528407705437694</v>
      </c>
      <c r="L5" s="27">
        <f t="shared" ref="L5:L9" si="6">E5/3.2808</f>
        <v>36.637405510851011</v>
      </c>
      <c r="M5" s="27">
        <f t="shared" ref="M5:M9" si="7">F5/3.2808</f>
        <v>82.297000731528897</v>
      </c>
      <c r="N5" s="27">
        <f t="shared" ref="N5:N9" si="8">G5/3.2808</f>
        <v>115.21580102414045</v>
      </c>
    </row>
    <row r="6" spans="1:14">
      <c r="A6" s="9" t="s">
        <v>979</v>
      </c>
      <c r="B6" s="13">
        <v>14.66</v>
      </c>
      <c r="C6" s="14">
        <v>19.5</v>
      </c>
      <c r="D6" s="14">
        <v>21.08</v>
      </c>
      <c r="E6" s="14">
        <v>22.6</v>
      </c>
      <c r="F6" s="14">
        <v>38</v>
      </c>
      <c r="G6" s="15">
        <v>42</v>
      </c>
      <c r="I6" s="27">
        <f t="shared" si="3"/>
        <v>4.4684223360156059</v>
      </c>
      <c r="J6" s="27">
        <f t="shared" si="4"/>
        <v>5.9436722750548645</v>
      </c>
      <c r="K6" s="27">
        <f t="shared" si="5"/>
        <v>6.4252621311875142</v>
      </c>
      <c r="L6" s="27">
        <f t="shared" si="6"/>
        <v>6.8885637649353821</v>
      </c>
      <c r="M6" s="27">
        <f t="shared" si="7"/>
        <v>11.582540843696659</v>
      </c>
      <c r="N6" s="27">
        <f t="shared" si="8"/>
        <v>12.801755669348939</v>
      </c>
    </row>
    <row r="7" spans="1:14">
      <c r="A7" s="9" t="s">
        <v>8</v>
      </c>
      <c r="B7" s="16">
        <v>42.91</v>
      </c>
      <c r="C7" s="1">
        <v>81.5</v>
      </c>
      <c r="D7" s="1">
        <v>104.04</v>
      </c>
      <c r="E7" s="1">
        <v>110</v>
      </c>
      <c r="F7" s="1">
        <v>255</v>
      </c>
      <c r="G7" s="17">
        <v>350</v>
      </c>
      <c r="I7" s="27">
        <f t="shared" si="3"/>
        <v>13.079127042184831</v>
      </c>
      <c r="J7" s="27">
        <f t="shared" si="4"/>
        <v>24.841502072665204</v>
      </c>
      <c r="K7" s="27">
        <f t="shared" si="5"/>
        <v>31.711777615215802</v>
      </c>
      <c r="L7" s="27">
        <f t="shared" si="6"/>
        <v>33.528407705437694</v>
      </c>
      <c r="M7" s="27">
        <f t="shared" si="7"/>
        <v>77.724945135332845</v>
      </c>
      <c r="N7" s="27">
        <f t="shared" si="8"/>
        <v>106.68129724457449</v>
      </c>
    </row>
    <row r="8" spans="1:14">
      <c r="A8" s="9" t="s">
        <v>980</v>
      </c>
      <c r="B8" s="16">
        <v>12.5</v>
      </c>
      <c r="C8" s="1">
        <v>18.8</v>
      </c>
      <c r="D8" s="1">
        <v>19.579999999999998</v>
      </c>
      <c r="E8" s="1">
        <v>20.83</v>
      </c>
      <c r="F8" s="1">
        <v>37.58</v>
      </c>
      <c r="G8" s="17">
        <v>42.02</v>
      </c>
      <c r="I8" s="27">
        <f t="shared" si="3"/>
        <v>3.8100463301633747</v>
      </c>
      <c r="J8" s="27">
        <f t="shared" si="4"/>
        <v>5.7303096805657159</v>
      </c>
      <c r="K8" s="27">
        <f t="shared" si="5"/>
        <v>5.9680565715679093</v>
      </c>
      <c r="L8" s="27">
        <f t="shared" si="6"/>
        <v>6.3490612045842472</v>
      </c>
      <c r="M8" s="27">
        <f t="shared" si="7"/>
        <v>11.45452328700317</v>
      </c>
      <c r="N8" s="27">
        <f t="shared" si="8"/>
        <v>12.807851743477201</v>
      </c>
    </row>
    <row r="9" spans="1:14">
      <c r="A9" s="9" t="s">
        <v>981</v>
      </c>
      <c r="B9" s="16">
        <v>8.01</v>
      </c>
      <c r="C9" s="1">
        <v>12</v>
      </c>
      <c r="D9" s="1">
        <v>11.71</v>
      </c>
      <c r="E9" s="1">
        <v>12.64</v>
      </c>
      <c r="F9" s="1">
        <v>30.77</v>
      </c>
      <c r="G9" s="17">
        <v>29.06</v>
      </c>
      <c r="I9" s="27">
        <f t="shared" si="3"/>
        <v>2.4414776883686904</v>
      </c>
      <c r="J9" s="27">
        <f t="shared" si="4"/>
        <v>3.6576444769568397</v>
      </c>
      <c r="K9" s="27">
        <f t="shared" si="5"/>
        <v>3.5692514020970494</v>
      </c>
      <c r="L9" s="27">
        <f t="shared" si="6"/>
        <v>3.8527188490612048</v>
      </c>
      <c r="M9" s="27">
        <f t="shared" si="7"/>
        <v>9.3788100463301625</v>
      </c>
      <c r="N9" s="27">
        <f t="shared" si="8"/>
        <v>8.8575957083638137</v>
      </c>
    </row>
    <row r="10" spans="1:14">
      <c r="A10" s="9" t="s">
        <v>658</v>
      </c>
      <c r="B10" s="18">
        <f t="shared" ref="B10:G10" si="9">B8/B3</f>
        <v>4.6816479400749067</v>
      </c>
      <c r="C10" s="19">
        <f t="shared" si="9"/>
        <v>3.1864406779661016</v>
      </c>
      <c r="D10" s="19">
        <f t="shared" si="9"/>
        <v>3.0403726708074528</v>
      </c>
      <c r="E10" s="19">
        <f t="shared" si="9"/>
        <v>4.2510204081632645</v>
      </c>
      <c r="F10" s="19">
        <f t="shared" si="9"/>
        <v>2.8907692307692305</v>
      </c>
      <c r="G10" s="20">
        <f t="shared" si="9"/>
        <v>3.112592592592593</v>
      </c>
      <c r="I10" s="28">
        <f t="shared" ref="I10:N10" si="10">I8/I3</f>
        <v>4.6816479400749067</v>
      </c>
      <c r="J10" s="28">
        <f t="shared" si="10"/>
        <v>3.1864406779661016</v>
      </c>
      <c r="K10" s="28">
        <f t="shared" si="10"/>
        <v>3.0403726708074532</v>
      </c>
      <c r="L10" s="28">
        <f t="shared" si="10"/>
        <v>4.2510204081632645</v>
      </c>
      <c r="M10" s="28">
        <f t="shared" si="10"/>
        <v>2.890769230769231</v>
      </c>
      <c r="N10" s="28">
        <f t="shared" si="10"/>
        <v>3.1125925925925926</v>
      </c>
    </row>
    <row r="11" spans="1:14">
      <c r="A11" s="9" t="s">
        <v>669</v>
      </c>
      <c r="B11" s="16">
        <v>850</v>
      </c>
      <c r="C11" s="1">
        <v>3490</v>
      </c>
      <c r="D11" s="1">
        <v>6000</v>
      </c>
      <c r="E11" s="1">
        <v>6866</v>
      </c>
      <c r="F11" s="1">
        <v>7200</v>
      </c>
      <c r="G11" s="17">
        <v>43000</v>
      </c>
      <c r="I11" s="29">
        <f t="shared" ref="I11:N11" si="11">B11*0.7457</f>
        <v>633.84500000000003</v>
      </c>
      <c r="J11" s="29">
        <f t="shared" si="11"/>
        <v>2602.4929999999999</v>
      </c>
      <c r="K11" s="29">
        <f t="shared" si="11"/>
        <v>4474.2</v>
      </c>
      <c r="L11" s="29">
        <f t="shared" si="11"/>
        <v>5119.9762000000001</v>
      </c>
      <c r="M11" s="29">
        <f t="shared" si="11"/>
        <v>5369.04</v>
      </c>
      <c r="N11" s="29">
        <f t="shared" si="11"/>
        <v>32065.100000000002</v>
      </c>
    </row>
    <row r="12" spans="1:14">
      <c r="A12" s="9" t="s">
        <v>982</v>
      </c>
      <c r="B12" s="16">
        <v>0</v>
      </c>
      <c r="C12" s="1">
        <v>90</v>
      </c>
      <c r="D12" s="1">
        <v>198</v>
      </c>
      <c r="E12" s="1">
        <v>198</v>
      </c>
      <c r="F12" s="1">
        <v>1443</v>
      </c>
      <c r="G12" s="17">
        <v>1500</v>
      </c>
      <c r="I12" s="27">
        <f t="shared" ref="I12:N12" si="12">B12</f>
        <v>0</v>
      </c>
      <c r="J12" s="27">
        <f t="shared" si="12"/>
        <v>90</v>
      </c>
      <c r="K12" s="27">
        <f t="shared" si="12"/>
        <v>198</v>
      </c>
      <c r="L12" s="27">
        <f t="shared" si="12"/>
        <v>198</v>
      </c>
      <c r="M12" s="27">
        <f t="shared" si="12"/>
        <v>1443</v>
      </c>
      <c r="N12" s="27">
        <f t="shared" si="12"/>
        <v>1500</v>
      </c>
    </row>
    <row r="13" spans="1:14">
      <c r="A13" s="9" t="s">
        <v>983</v>
      </c>
      <c r="B13" s="21">
        <f t="shared" ref="B13:G13" si="13">B12*B5*B6</f>
        <v>0</v>
      </c>
      <c r="C13" s="22">
        <f t="shared" si="13"/>
        <v>152685</v>
      </c>
      <c r="D13" s="22">
        <f t="shared" si="13"/>
        <v>459122.39999999997</v>
      </c>
      <c r="E13" s="22">
        <f t="shared" si="13"/>
        <v>537870.96000000008</v>
      </c>
      <c r="F13" s="22">
        <f t="shared" si="13"/>
        <v>14805180</v>
      </c>
      <c r="G13" s="23">
        <f t="shared" si="13"/>
        <v>23814000</v>
      </c>
    </row>
    <row r="14" spans="1:14">
      <c r="A14" s="9" t="s">
        <v>984</v>
      </c>
      <c r="B14" s="21">
        <f t="shared" ref="B14:G14" si="14">B12*B4</f>
        <v>0</v>
      </c>
      <c r="C14" s="22">
        <f t="shared" si="14"/>
        <v>1654.7760000000001</v>
      </c>
      <c r="D14" s="22">
        <f t="shared" si="14"/>
        <v>4723.1867374560006</v>
      </c>
      <c r="E14" s="22">
        <f t="shared" si="14"/>
        <v>5734.482336</v>
      </c>
      <c r="F14" s="22">
        <f t="shared" si="14"/>
        <v>425491.39701900003</v>
      </c>
      <c r="G14" s="23">
        <f t="shared" si="14"/>
        <v>641078.13000000012</v>
      </c>
    </row>
    <row r="15" spans="1:14">
      <c r="A15" s="9" t="s">
        <v>985</v>
      </c>
      <c r="B15" s="21">
        <f t="shared" ref="B15:G15" si="15">B12*B5</f>
        <v>0</v>
      </c>
      <c r="C15" s="22">
        <f t="shared" si="15"/>
        <v>7830</v>
      </c>
      <c r="D15" s="22">
        <f t="shared" si="15"/>
        <v>21780</v>
      </c>
      <c r="E15" s="22">
        <f t="shared" si="15"/>
        <v>23799.600000000002</v>
      </c>
      <c r="F15" s="22">
        <f t="shared" si="15"/>
        <v>389610</v>
      </c>
      <c r="G15" s="23">
        <f t="shared" si="15"/>
        <v>567000</v>
      </c>
    </row>
    <row r="16" spans="1:14">
      <c r="A16" s="9" t="s">
        <v>986</v>
      </c>
      <c r="B16" s="16">
        <v>4</v>
      </c>
      <c r="C16" s="1">
        <v>10</v>
      </c>
      <c r="D16" s="1">
        <v>16</v>
      </c>
      <c r="E16" s="1">
        <v>17</v>
      </c>
      <c r="F16" s="1">
        <v>107</v>
      </c>
      <c r="G16" s="17">
        <v>174</v>
      </c>
      <c r="I16" s="30">
        <f t="shared" ref="I16:N16" si="16">B16</f>
        <v>4</v>
      </c>
      <c r="J16" s="30">
        <f t="shared" si="16"/>
        <v>10</v>
      </c>
      <c r="K16" s="30">
        <f t="shared" si="16"/>
        <v>16</v>
      </c>
      <c r="L16" s="30">
        <f t="shared" si="16"/>
        <v>17</v>
      </c>
      <c r="M16" s="30">
        <f t="shared" si="16"/>
        <v>107</v>
      </c>
      <c r="N16" s="30">
        <f t="shared" si="16"/>
        <v>174</v>
      </c>
    </row>
    <row r="17" spans="1:14">
      <c r="A17" s="9" t="s">
        <v>987</v>
      </c>
      <c r="B17" s="16">
        <v>18.57</v>
      </c>
      <c r="C17" s="1">
        <v>91</v>
      </c>
      <c r="D17" s="1">
        <v>154.96</v>
      </c>
      <c r="E17" s="1">
        <v>163.54</v>
      </c>
      <c r="F17" s="1">
        <v>1625.4</v>
      </c>
      <c r="G17" s="17">
        <v>2780</v>
      </c>
      <c r="I17" s="29">
        <f t="shared" ref="I17:I23" si="17">B17*2240/2204.6</f>
        <v>18.868184704708341</v>
      </c>
      <c r="J17" s="29">
        <f t="shared" ref="J17:J23" si="18">C17*2240/2204.6</f>
        <v>92.4612174544135</v>
      </c>
      <c r="K17" s="29">
        <f t="shared" ref="K17:K23" si="19">D17*2240/2204.6</f>
        <v>157.44824457951557</v>
      </c>
      <c r="L17" s="29">
        <f t="shared" ref="L17:L23" si="20">E17*2240/2204.6</f>
        <v>166.16601651093168</v>
      </c>
      <c r="M17" s="29">
        <f t="shared" ref="M17:M23" si="21">F17*2240/2204.6</f>
        <v>1651.4995917626782</v>
      </c>
      <c r="N17" s="29">
        <f t="shared" ref="N17:N23" si="22">G17*2240/2204.6</f>
        <v>2824.6393903655994</v>
      </c>
    </row>
    <row r="18" spans="1:14">
      <c r="A18" s="9" t="s">
        <v>988</v>
      </c>
      <c r="B18" s="16">
        <v>16.54</v>
      </c>
      <c r="C18" s="1">
        <v>75.11</v>
      </c>
      <c r="D18" s="1">
        <v>116.96</v>
      </c>
      <c r="E18" s="1">
        <v>123.04</v>
      </c>
      <c r="F18" s="1">
        <v>1294.25</v>
      </c>
      <c r="G18" s="17">
        <v>2055.67</v>
      </c>
      <c r="I18" s="29">
        <f t="shared" si="17"/>
        <v>16.80558831534065</v>
      </c>
      <c r="J18" s="29">
        <f t="shared" si="18"/>
        <v>76.316066406604378</v>
      </c>
      <c r="K18" s="29">
        <f t="shared" si="19"/>
        <v>118.83806586228795</v>
      </c>
      <c r="L18" s="29">
        <f t="shared" si="20"/>
        <v>125.01569445704439</v>
      </c>
      <c r="M18" s="29">
        <f t="shared" si="21"/>
        <v>1315.0322053887328</v>
      </c>
      <c r="N18" s="29">
        <f t="shared" si="22"/>
        <v>2088.6785811485079</v>
      </c>
    </row>
    <row r="19" spans="1:14">
      <c r="A19" s="9" t="s">
        <v>989</v>
      </c>
      <c r="B19" s="16">
        <v>5.4</v>
      </c>
      <c r="C19" s="1">
        <v>8.0500000000000007</v>
      </c>
      <c r="D19" s="1">
        <v>9.82</v>
      </c>
      <c r="E19" s="1">
        <v>8.6</v>
      </c>
      <c r="F19" s="1">
        <v>18.86</v>
      </c>
      <c r="G19" s="17">
        <v>19.32</v>
      </c>
      <c r="I19" s="27">
        <f t="shared" ref="I19:N19" si="23">B19/3.2808</f>
        <v>1.645940014630578</v>
      </c>
      <c r="J19" s="27">
        <f t="shared" si="23"/>
        <v>2.4536698366252137</v>
      </c>
      <c r="K19" s="27">
        <f t="shared" si="23"/>
        <v>2.9931723969763473</v>
      </c>
      <c r="L19" s="27">
        <f t="shared" si="23"/>
        <v>2.6213118751524016</v>
      </c>
      <c r="M19" s="27">
        <f t="shared" si="23"/>
        <v>5.7485979029504994</v>
      </c>
      <c r="N19" s="27">
        <f t="shared" si="23"/>
        <v>5.8888076079005121</v>
      </c>
    </row>
    <row r="20" spans="1:14">
      <c r="A20" s="9" t="s">
        <v>990</v>
      </c>
      <c r="B20" s="18">
        <f t="shared" ref="B20:G20" si="24">B19/B9</f>
        <v>0.67415730337078661</v>
      </c>
      <c r="C20" s="19">
        <f t="shared" si="24"/>
        <v>0.67083333333333339</v>
      </c>
      <c r="D20" s="19">
        <f t="shared" si="24"/>
        <v>0.83859948761742098</v>
      </c>
      <c r="E20" s="19">
        <f t="shared" si="24"/>
        <v>0.680379746835443</v>
      </c>
      <c r="F20" s="19">
        <f t="shared" si="24"/>
        <v>0.61293467663308421</v>
      </c>
      <c r="G20" s="20">
        <f t="shared" si="24"/>
        <v>0.66483138334480385</v>
      </c>
    </row>
    <row r="21" spans="1:14">
      <c r="A21" s="9" t="s">
        <v>991</v>
      </c>
      <c r="B21" s="16">
        <v>7.31</v>
      </c>
      <c r="C21" s="1">
        <v>34.090000000000003</v>
      </c>
      <c r="D21" s="1">
        <v>42.57</v>
      </c>
      <c r="E21" s="1">
        <v>45.64</v>
      </c>
      <c r="F21" s="1">
        <v>593.96</v>
      </c>
      <c r="G21" s="17">
        <v>917.5</v>
      </c>
      <c r="I21" s="29">
        <f t="shared" si="17"/>
        <v>7.4273791163929967</v>
      </c>
      <c r="J21" s="29">
        <f t="shared" si="18"/>
        <v>34.637394538691829</v>
      </c>
      <c r="K21" s="29">
        <f t="shared" si="19"/>
        <v>43.253560736641568</v>
      </c>
      <c r="L21" s="29">
        <f t="shared" si="20"/>
        <v>46.372856754059697</v>
      </c>
      <c r="M21" s="29">
        <f t="shared" si="21"/>
        <v>603.49741449696103</v>
      </c>
      <c r="N21" s="29">
        <f t="shared" si="22"/>
        <v>932.23260455411412</v>
      </c>
    </row>
    <row r="22" spans="1:14">
      <c r="A22" s="9" t="s">
        <v>992</v>
      </c>
      <c r="B22" s="16">
        <v>5.53</v>
      </c>
      <c r="C22" s="1">
        <v>7.67</v>
      </c>
      <c r="D22" s="1">
        <v>9.5</v>
      </c>
      <c r="E22" s="1">
        <v>7.61</v>
      </c>
      <c r="F22" s="1">
        <v>17</v>
      </c>
      <c r="G22" s="17">
        <v>19.100000000000001</v>
      </c>
      <c r="I22" s="29">
        <f t="shared" si="17"/>
        <v>5.618797060691282</v>
      </c>
      <c r="J22" s="29">
        <f t="shared" si="18"/>
        <v>7.7931597568719946</v>
      </c>
      <c r="K22" s="29">
        <f t="shared" si="19"/>
        <v>9.6525446793069047</v>
      </c>
      <c r="L22" s="29">
        <f t="shared" si="20"/>
        <v>7.7321963167921632</v>
      </c>
      <c r="M22" s="29">
        <f t="shared" si="21"/>
        <v>17.272974689286038</v>
      </c>
      <c r="N22" s="29">
        <f t="shared" si="22"/>
        <v>19.406695092080195</v>
      </c>
    </row>
    <row r="23" spans="1:14">
      <c r="A23" s="9" t="s">
        <v>993</v>
      </c>
      <c r="B23" s="16">
        <v>0.91</v>
      </c>
      <c r="C23" s="1">
        <v>2.0299999999999998</v>
      </c>
      <c r="D23" s="1">
        <v>3.85</v>
      </c>
      <c r="E23" s="1">
        <v>2.78</v>
      </c>
      <c r="F23" s="1">
        <v>22.08</v>
      </c>
      <c r="G23" s="17">
        <v>149.69999999999999</v>
      </c>
      <c r="I23" s="29">
        <f t="shared" si="17"/>
        <v>0.92461217454413502</v>
      </c>
      <c r="J23" s="29">
        <f t="shared" si="18"/>
        <v>2.0625963893676857</v>
      </c>
      <c r="K23" s="29">
        <f t="shared" si="19"/>
        <v>3.911820738455956</v>
      </c>
      <c r="L23" s="29">
        <f t="shared" si="20"/>
        <v>2.8246393903655993</v>
      </c>
      <c r="M23" s="29">
        <f t="shared" si="21"/>
        <v>22.43454594937857</v>
      </c>
      <c r="N23" s="29">
        <f t="shared" si="22"/>
        <v>152.10378299918352</v>
      </c>
    </row>
    <row r="24" spans="1:14">
      <c r="A24" s="9" t="s">
        <v>994</v>
      </c>
      <c r="B24" s="16">
        <v>11.22</v>
      </c>
      <c r="C24" s="1">
        <v>18.2</v>
      </c>
      <c r="D24" s="1">
        <v>19.32</v>
      </c>
      <c r="E24" s="1">
        <v>19.3</v>
      </c>
      <c r="F24" s="1">
        <v>42.73</v>
      </c>
      <c r="G24" s="17">
        <v>37.1</v>
      </c>
      <c r="I24" s="27">
        <f t="shared" ref="I24:N24" si="25">B24/3.2808</f>
        <v>3.4198975859546454</v>
      </c>
      <c r="J24" s="27">
        <f t="shared" si="25"/>
        <v>5.5474274567178732</v>
      </c>
      <c r="K24" s="27">
        <f t="shared" si="25"/>
        <v>5.8888076079005121</v>
      </c>
      <c r="L24" s="27">
        <f t="shared" si="25"/>
        <v>5.8827115337722509</v>
      </c>
      <c r="M24" s="27">
        <f t="shared" si="25"/>
        <v>13.024262375030478</v>
      </c>
      <c r="N24" s="27">
        <f t="shared" si="25"/>
        <v>11.308217507924896</v>
      </c>
    </row>
    <row r="25" spans="1:14">
      <c r="A25" s="9" t="s">
        <v>995</v>
      </c>
      <c r="B25" s="18">
        <f t="shared" ref="B25:G25" si="26">B24/B9</f>
        <v>1.4007490636704121</v>
      </c>
      <c r="C25" s="19">
        <f t="shared" si="26"/>
        <v>1.5166666666666666</v>
      </c>
      <c r="D25" s="19">
        <f t="shared" si="26"/>
        <v>1.6498719043552519</v>
      </c>
      <c r="E25" s="19">
        <f t="shared" si="26"/>
        <v>1.5268987341772151</v>
      </c>
      <c r="F25" s="19">
        <f t="shared" si="26"/>
        <v>1.3886902827429313</v>
      </c>
      <c r="G25" s="20">
        <f t="shared" si="26"/>
        <v>1.276668960770819</v>
      </c>
    </row>
    <row r="26" spans="1:14">
      <c r="A26" s="9" t="s">
        <v>996</v>
      </c>
      <c r="B26" s="18">
        <f t="shared" ref="B26:G26" si="27">B21-B23</f>
        <v>6.3999999999999995</v>
      </c>
      <c r="C26" s="19">
        <f t="shared" si="27"/>
        <v>32.06</v>
      </c>
      <c r="D26" s="19">
        <f t="shared" si="27"/>
        <v>38.72</v>
      </c>
      <c r="E26" s="19">
        <f t="shared" si="27"/>
        <v>42.86</v>
      </c>
      <c r="F26" s="19">
        <f t="shared" si="27"/>
        <v>571.88</v>
      </c>
      <c r="G26" s="20">
        <f t="shared" si="27"/>
        <v>767.8</v>
      </c>
      <c r="I26" s="29">
        <f t="shared" ref="I26:N26" si="28">B26*2240/2204.6</f>
        <v>6.5027669418488605</v>
      </c>
      <c r="J26" s="29">
        <f t="shared" si="28"/>
        <v>32.574798149324145</v>
      </c>
      <c r="K26" s="29">
        <f t="shared" si="28"/>
        <v>39.341739998185616</v>
      </c>
      <c r="L26" s="29">
        <f t="shared" si="28"/>
        <v>43.548217363694093</v>
      </c>
      <c r="M26" s="29">
        <f t="shared" si="28"/>
        <v>581.0628685475823</v>
      </c>
      <c r="N26" s="29">
        <f t="shared" si="28"/>
        <v>780.1288215549306</v>
      </c>
    </row>
    <row r="27" spans="1:14">
      <c r="A27" s="9" t="s">
        <v>997</v>
      </c>
      <c r="B27" s="18">
        <f t="shared" ref="B27:G27" si="29">(B21*B22-B23*B24)/(B21-B23)</f>
        <v>4.7209531250000003</v>
      </c>
      <c r="C27" s="19">
        <f t="shared" si="29"/>
        <v>7.0032532751091701</v>
      </c>
      <c r="D27" s="19">
        <f t="shared" si="29"/>
        <v>8.5235795454545453</v>
      </c>
      <c r="E27" s="19">
        <f t="shared" si="29"/>
        <v>6.8517592160522636</v>
      </c>
      <c r="F27" s="19">
        <f t="shared" si="29"/>
        <v>16.006577603693081</v>
      </c>
      <c r="G27" s="20">
        <f t="shared" si="29"/>
        <v>15.590492315707218</v>
      </c>
    </row>
    <row r="28" spans="1:14">
      <c r="A28" s="9" t="s">
        <v>998</v>
      </c>
      <c r="B28" s="18">
        <f t="shared" ref="B28:G28" si="30">B26/B18</f>
        <v>0.38694074969770254</v>
      </c>
      <c r="C28" s="19">
        <f t="shared" si="30"/>
        <v>0.4268406337371855</v>
      </c>
      <c r="D28" s="19">
        <f t="shared" si="30"/>
        <v>0.33105335157318744</v>
      </c>
      <c r="E28" s="19">
        <f t="shared" si="30"/>
        <v>0.34834200260078019</v>
      </c>
      <c r="F28" s="19">
        <f t="shared" si="30"/>
        <v>0.44186208228703883</v>
      </c>
      <c r="G28" s="20">
        <f t="shared" si="30"/>
        <v>0.37350352926296532</v>
      </c>
    </row>
    <row r="29" spans="1:14">
      <c r="A29" s="9" t="s">
        <v>999</v>
      </c>
      <c r="B29" s="18">
        <f t="shared" ref="B29:G29" si="31">B27/B9</f>
        <v>0.58938241260923852</v>
      </c>
      <c r="C29" s="19">
        <f t="shared" si="31"/>
        <v>0.5836044395924308</v>
      </c>
      <c r="D29" s="19">
        <f t="shared" si="31"/>
        <v>0.72788894495768952</v>
      </c>
      <c r="E29" s="19">
        <f t="shared" si="31"/>
        <v>0.54206955823198288</v>
      </c>
      <c r="F29" s="19">
        <f t="shared" si="31"/>
        <v>0.52020076710084762</v>
      </c>
      <c r="G29" s="20">
        <f t="shared" si="31"/>
        <v>0.53649319737464618</v>
      </c>
    </row>
    <row r="30" spans="1:14">
      <c r="A30" s="9" t="s">
        <v>1000</v>
      </c>
      <c r="B30" s="16">
        <v>4.3499999999999996</v>
      </c>
      <c r="C30" s="1">
        <v>13.04</v>
      </c>
      <c r="D30" s="1">
        <v>28.95</v>
      </c>
      <c r="E30" s="1">
        <v>24.46</v>
      </c>
      <c r="F30" s="1">
        <v>169.69</v>
      </c>
      <c r="G30" s="17">
        <v>383.6</v>
      </c>
      <c r="I30" s="29">
        <f t="shared" ref="I30:N30" si="32">B30*2240/2204.6</f>
        <v>4.4198494057878985</v>
      </c>
      <c r="J30" s="29">
        <f t="shared" si="32"/>
        <v>13.249387644017055</v>
      </c>
      <c r="K30" s="29">
        <f t="shared" si="32"/>
        <v>29.414859838519462</v>
      </c>
      <c r="L30" s="29">
        <f t="shared" si="32"/>
        <v>24.852762405878618</v>
      </c>
      <c r="M30" s="29">
        <f t="shared" si="32"/>
        <v>172.41476911911457</v>
      </c>
      <c r="N30" s="29">
        <f t="shared" si="32"/>
        <v>389.75959357706614</v>
      </c>
    </row>
    <row r="31" spans="1:14">
      <c r="A31" s="9" t="s">
        <v>1001</v>
      </c>
      <c r="B31" s="16">
        <v>3.22</v>
      </c>
      <c r="C31" s="1">
        <v>5.48</v>
      </c>
      <c r="D31" s="1">
        <v>8.0299999999999994</v>
      </c>
      <c r="E31" s="1">
        <v>6.03</v>
      </c>
      <c r="F31" s="1">
        <v>10.46</v>
      </c>
      <c r="G31" s="17">
        <v>11.4</v>
      </c>
      <c r="I31" s="27">
        <f t="shared" ref="I31:N31" si="33">B31/3.2808</f>
        <v>0.98146793465008531</v>
      </c>
      <c r="J31" s="27">
        <f t="shared" si="33"/>
        <v>1.6703243111436235</v>
      </c>
      <c r="K31" s="27">
        <f t="shared" si="33"/>
        <v>2.4475737624969516</v>
      </c>
      <c r="L31" s="27">
        <f t="shared" si="33"/>
        <v>1.8379663496708121</v>
      </c>
      <c r="M31" s="27">
        <f t="shared" si="33"/>
        <v>3.1882467690807119</v>
      </c>
      <c r="N31" s="27">
        <f t="shared" si="33"/>
        <v>3.4747622531089979</v>
      </c>
    </row>
    <row r="32" spans="1:14">
      <c r="A32" s="9" t="s">
        <v>1002</v>
      </c>
      <c r="B32" s="18">
        <f t="shared" ref="B32:G32" si="34">B31/B9</f>
        <v>0.40199750312109866</v>
      </c>
      <c r="C32" s="19">
        <f t="shared" si="34"/>
        <v>0.45666666666666672</v>
      </c>
      <c r="D32" s="19">
        <f t="shared" si="34"/>
        <v>0.68573868488471379</v>
      </c>
      <c r="E32" s="19">
        <f t="shared" si="34"/>
        <v>0.47705696202531644</v>
      </c>
      <c r="F32" s="19">
        <f t="shared" si="34"/>
        <v>0.33994150146246349</v>
      </c>
      <c r="G32" s="20">
        <f t="shared" si="34"/>
        <v>0.3922918100481762</v>
      </c>
    </row>
    <row r="33" spans="1:14">
      <c r="A33" s="9" t="s">
        <v>1003</v>
      </c>
      <c r="B33" s="16">
        <v>2.35</v>
      </c>
      <c r="C33" s="1">
        <v>8.77</v>
      </c>
      <c r="D33" s="1">
        <v>21.71</v>
      </c>
      <c r="E33" s="1">
        <v>13.42</v>
      </c>
      <c r="F33" s="1">
        <v>61.21</v>
      </c>
      <c r="G33" s="17">
        <v>152.9</v>
      </c>
      <c r="I33" s="29">
        <f t="shared" ref="I33:N33" si="35">B33*2240/2204.6</f>
        <v>2.3877347364601289</v>
      </c>
      <c r="J33" s="29">
        <f t="shared" si="35"/>
        <v>8.9108228250022687</v>
      </c>
      <c r="K33" s="29">
        <f t="shared" si="35"/>
        <v>22.058604735552937</v>
      </c>
      <c r="L33" s="29">
        <f t="shared" si="35"/>
        <v>13.635489431189331</v>
      </c>
      <c r="M33" s="29">
        <f t="shared" si="35"/>
        <v>62.192869454776378</v>
      </c>
      <c r="N33" s="29">
        <f t="shared" si="35"/>
        <v>155.35516647010797</v>
      </c>
    </row>
    <row r="34" spans="1:14">
      <c r="A34" s="9" t="s">
        <v>1004</v>
      </c>
      <c r="B34" s="16">
        <v>3.32</v>
      </c>
      <c r="C34" s="1">
        <v>5.51</v>
      </c>
      <c r="D34" s="1">
        <v>8.67</v>
      </c>
      <c r="E34" s="1">
        <v>6.63</v>
      </c>
      <c r="F34" s="1">
        <v>8.81</v>
      </c>
      <c r="G34" s="17">
        <v>11.62</v>
      </c>
      <c r="I34" s="27">
        <f t="shared" ref="I34:N34" si="36">B34/3.2808</f>
        <v>1.0119483052913922</v>
      </c>
      <c r="J34" s="27">
        <f t="shared" si="36"/>
        <v>1.6794684223360155</v>
      </c>
      <c r="K34" s="27">
        <f t="shared" si="36"/>
        <v>2.6426481346013166</v>
      </c>
      <c r="L34" s="27">
        <f t="shared" si="36"/>
        <v>2.0208485735186539</v>
      </c>
      <c r="M34" s="27">
        <f t="shared" si="36"/>
        <v>2.6853206534991467</v>
      </c>
      <c r="N34" s="27">
        <f t="shared" si="36"/>
        <v>3.5418190685198727</v>
      </c>
    </row>
    <row r="35" spans="1:14">
      <c r="A35" s="9" t="s">
        <v>1005</v>
      </c>
      <c r="B35" s="18">
        <f t="shared" ref="B35:G35" si="37">B34/B9</f>
        <v>0.41448189762796506</v>
      </c>
      <c r="C35" s="19">
        <f t="shared" si="37"/>
        <v>0.45916666666666667</v>
      </c>
      <c r="D35" s="19">
        <f t="shared" si="37"/>
        <v>0.74039282664389405</v>
      </c>
      <c r="E35" s="19">
        <f t="shared" si="37"/>
        <v>0.52452531645569622</v>
      </c>
      <c r="F35" s="19">
        <f t="shared" si="37"/>
        <v>0.28631784205394867</v>
      </c>
      <c r="G35" s="20">
        <f t="shared" si="37"/>
        <v>0.39986235375086027</v>
      </c>
    </row>
    <row r="36" spans="1:14">
      <c r="A36" s="9" t="s">
        <v>1006</v>
      </c>
      <c r="B36" s="16">
        <v>1.1000000000000001</v>
      </c>
      <c r="C36" s="1">
        <v>1.67</v>
      </c>
      <c r="D36" s="1">
        <v>2.2799999999999998</v>
      </c>
      <c r="E36" s="1">
        <v>4.33</v>
      </c>
      <c r="F36" s="1">
        <v>60.44</v>
      </c>
      <c r="G36" s="17">
        <v>127.3</v>
      </c>
      <c r="I36" s="29">
        <f t="shared" ref="I36:N36" si="38">B36*2240/2204.6</f>
        <v>1.1176630681302731</v>
      </c>
      <c r="J36" s="29">
        <f t="shared" si="38"/>
        <v>1.6968157488886872</v>
      </c>
      <c r="K36" s="29">
        <f t="shared" si="38"/>
        <v>2.3166107230336568</v>
      </c>
      <c r="L36" s="29">
        <f t="shared" si="38"/>
        <v>4.3995282590946205</v>
      </c>
      <c r="M36" s="29">
        <f t="shared" si="38"/>
        <v>61.410505307085188</v>
      </c>
      <c r="N36" s="29">
        <f t="shared" si="38"/>
        <v>129.34409870271253</v>
      </c>
    </row>
    <row r="37" spans="1:14">
      <c r="A37" s="9" t="s">
        <v>1007</v>
      </c>
      <c r="B37" s="16">
        <v>2.09</v>
      </c>
      <c r="C37" s="1">
        <v>2.19</v>
      </c>
      <c r="D37" s="1">
        <v>2.97</v>
      </c>
      <c r="E37" s="1">
        <v>2.87</v>
      </c>
      <c r="F37" s="1">
        <v>7.28</v>
      </c>
      <c r="G37" s="17">
        <v>4.0199999999999996</v>
      </c>
      <c r="I37" s="27">
        <f t="shared" ref="I37:N37" si="39">B37/3.2808</f>
        <v>0.63703974640331618</v>
      </c>
      <c r="J37" s="27">
        <f t="shared" si="39"/>
        <v>0.66752011704462322</v>
      </c>
      <c r="K37" s="27">
        <f t="shared" si="39"/>
        <v>0.90526700804681781</v>
      </c>
      <c r="L37" s="27">
        <f t="shared" si="39"/>
        <v>0.87478663740551088</v>
      </c>
      <c r="M37" s="27">
        <f t="shared" si="39"/>
        <v>2.2189709826871495</v>
      </c>
      <c r="N37" s="27">
        <f t="shared" si="39"/>
        <v>1.2253108997805411</v>
      </c>
    </row>
    <row r="38" spans="1:14">
      <c r="A38" s="9" t="s">
        <v>1008</v>
      </c>
      <c r="B38" s="18">
        <f t="shared" ref="B38:G38" si="40">B37/B9</f>
        <v>0.26092384519350809</v>
      </c>
      <c r="C38" s="19">
        <f t="shared" si="40"/>
        <v>0.1825</v>
      </c>
      <c r="D38" s="19">
        <f t="shared" si="40"/>
        <v>0.25362937660119556</v>
      </c>
      <c r="E38" s="19">
        <f t="shared" si="40"/>
        <v>0.22705696202531644</v>
      </c>
      <c r="F38" s="19">
        <f t="shared" si="40"/>
        <v>0.23659408514787131</v>
      </c>
      <c r="G38" s="20">
        <f t="shared" si="40"/>
        <v>0.13833448038540949</v>
      </c>
    </row>
    <row r="39" spans="1:14">
      <c r="A39" s="9" t="s">
        <v>1009</v>
      </c>
      <c r="B39" s="18">
        <f t="shared" ref="B39:G39" si="41">B30-B33-B36</f>
        <v>0.89999999999999947</v>
      </c>
      <c r="C39" s="19">
        <f t="shared" si="41"/>
        <v>2.5999999999999996</v>
      </c>
      <c r="D39" s="19">
        <f t="shared" si="41"/>
        <v>4.9599999999999991</v>
      </c>
      <c r="E39" s="19">
        <f t="shared" si="41"/>
        <v>6.7100000000000009</v>
      </c>
      <c r="F39" s="19">
        <f t="shared" si="41"/>
        <v>48.039999999999992</v>
      </c>
      <c r="G39" s="20">
        <f t="shared" si="41"/>
        <v>103.40000000000002</v>
      </c>
    </row>
    <row r="40" spans="1:14">
      <c r="A40" s="9" t="s">
        <v>1010</v>
      </c>
      <c r="B40" s="18">
        <f t="shared" ref="B40:G40" si="42">(B30*B31-B33*B34-B36*B37)/(B30-B33-B36)</f>
        <v>4.3400000000000025</v>
      </c>
      <c r="C40" s="19">
        <f t="shared" si="42"/>
        <v>7.4920000000000009</v>
      </c>
      <c r="D40" s="19">
        <f t="shared" si="42"/>
        <v>7.5546774193548325</v>
      </c>
      <c r="E40" s="19">
        <f t="shared" si="42"/>
        <v>6.8691654247391982</v>
      </c>
      <c r="F40" s="19">
        <f t="shared" si="42"/>
        <v>16.563157785179026</v>
      </c>
      <c r="G40" s="20">
        <f t="shared" si="42"/>
        <v>20.160502901353961</v>
      </c>
    </row>
    <row r="41" spans="1:14">
      <c r="A41" s="9" t="s">
        <v>1011</v>
      </c>
      <c r="B41" s="16">
        <v>1.32</v>
      </c>
      <c r="C41" s="1">
        <v>4.3899999999999997</v>
      </c>
      <c r="D41" s="1">
        <v>7.94</v>
      </c>
      <c r="E41" s="1">
        <v>10.01</v>
      </c>
      <c r="F41" s="1">
        <v>80.67</v>
      </c>
      <c r="G41" s="17">
        <v>88</v>
      </c>
      <c r="I41" s="29">
        <f t="shared" ref="I41:N41" si="43">B41*2240/2204.6</f>
        <v>1.3411956817563278</v>
      </c>
      <c r="J41" s="29">
        <f t="shared" si="43"/>
        <v>4.4604916991744528</v>
      </c>
      <c r="K41" s="29">
        <f t="shared" si="43"/>
        <v>8.0674952372312454</v>
      </c>
      <c r="L41" s="29">
        <f t="shared" si="43"/>
        <v>10.170733919985484</v>
      </c>
      <c r="M41" s="29">
        <f t="shared" si="43"/>
        <v>81.965345187335586</v>
      </c>
      <c r="N41" s="29">
        <f t="shared" si="43"/>
        <v>89.413045450421848</v>
      </c>
    </row>
    <row r="42" spans="1:14">
      <c r="A42" s="9" t="s">
        <v>1012</v>
      </c>
      <c r="B42" s="16">
        <v>5.32</v>
      </c>
      <c r="C42" s="1">
        <v>9.49</v>
      </c>
      <c r="D42" s="1">
        <v>10.210000000000001</v>
      </c>
      <c r="E42" s="1">
        <v>8.6</v>
      </c>
      <c r="F42" s="1">
        <v>21.2</v>
      </c>
      <c r="G42" s="17">
        <v>23.5</v>
      </c>
      <c r="I42" s="27">
        <f t="shared" ref="I42:N42" si="44">B42/3.2808</f>
        <v>1.6215557181175324</v>
      </c>
      <c r="J42" s="27">
        <f t="shared" si="44"/>
        <v>2.8925871738600342</v>
      </c>
      <c r="K42" s="27">
        <f t="shared" si="44"/>
        <v>3.1120458424774444</v>
      </c>
      <c r="L42" s="27">
        <f t="shared" si="44"/>
        <v>2.6213118751524016</v>
      </c>
      <c r="M42" s="27">
        <f t="shared" si="44"/>
        <v>6.4618385759570831</v>
      </c>
      <c r="N42" s="27">
        <f t="shared" si="44"/>
        <v>7.1628871007071444</v>
      </c>
    </row>
    <row r="43" spans="1:14">
      <c r="A43" s="9" t="s">
        <v>1013</v>
      </c>
      <c r="B43" s="18">
        <f t="shared" ref="B43:G43" si="45">B42/B9</f>
        <v>0.66416978776529345</v>
      </c>
      <c r="C43" s="19">
        <f t="shared" si="45"/>
        <v>0.79083333333333339</v>
      </c>
      <c r="D43" s="19">
        <f t="shared" si="45"/>
        <v>0.87190435525192145</v>
      </c>
      <c r="E43" s="19">
        <f t="shared" si="45"/>
        <v>0.680379746835443</v>
      </c>
      <c r="F43" s="19">
        <f t="shared" si="45"/>
        <v>0.68898277543061426</v>
      </c>
      <c r="G43" s="20">
        <f t="shared" si="45"/>
        <v>0.80867171369580182</v>
      </c>
    </row>
    <row r="44" spans="1:14">
      <c r="A44" s="9" t="s">
        <v>1014</v>
      </c>
      <c r="B44" s="16">
        <v>0.4</v>
      </c>
      <c r="C44" s="1">
        <v>2.02</v>
      </c>
      <c r="D44" s="1">
        <v>3.14</v>
      </c>
      <c r="E44" s="1">
        <v>4.3899999999999997</v>
      </c>
      <c r="F44" s="1">
        <v>36.020000000000003</v>
      </c>
      <c r="G44" s="17">
        <v>46.5</v>
      </c>
      <c r="I44" s="29">
        <f t="shared" ref="I44:N44" si="46">B44*2240/2204.6</f>
        <v>0.40642293386555384</v>
      </c>
      <c r="J44" s="29">
        <f t="shared" si="46"/>
        <v>2.0524358160210472</v>
      </c>
      <c r="K44" s="29">
        <f t="shared" si="46"/>
        <v>3.190420030844598</v>
      </c>
      <c r="L44" s="29">
        <f t="shared" si="46"/>
        <v>4.4604916991744528</v>
      </c>
      <c r="M44" s="29">
        <f t="shared" si="46"/>
        <v>36.598385194593128</v>
      </c>
      <c r="N44" s="29">
        <f t="shared" si="46"/>
        <v>47.246666061870634</v>
      </c>
    </row>
    <row r="45" spans="1:14">
      <c r="A45" s="9" t="s">
        <v>1015</v>
      </c>
      <c r="B45" s="16">
        <v>1.62</v>
      </c>
      <c r="C45" s="1">
        <v>6.45</v>
      </c>
      <c r="D45" s="1">
        <v>7.51</v>
      </c>
      <c r="E45" s="1">
        <v>7.39</v>
      </c>
      <c r="F45" s="1">
        <v>15.67</v>
      </c>
      <c r="G45" s="17">
        <v>20.3</v>
      </c>
      <c r="I45" s="27">
        <f t="shared" ref="I45:N45" si="47">B45/3.2808</f>
        <v>0.49378200438917336</v>
      </c>
      <c r="J45" s="27">
        <f t="shared" si="47"/>
        <v>1.9659839063643014</v>
      </c>
      <c r="K45" s="27">
        <f t="shared" si="47"/>
        <v>2.2890758351621554</v>
      </c>
      <c r="L45" s="27">
        <f t="shared" si="47"/>
        <v>2.252499390392587</v>
      </c>
      <c r="M45" s="27">
        <f t="shared" si="47"/>
        <v>4.776274079492806</v>
      </c>
      <c r="N45" s="27">
        <f t="shared" si="47"/>
        <v>6.1875152401853208</v>
      </c>
    </row>
    <row r="46" spans="1:14">
      <c r="A46" s="9" t="s">
        <v>1016</v>
      </c>
      <c r="B46" s="18">
        <f t="shared" ref="B46:G46" si="48">B45/B9</f>
        <v>0.20224719101123598</v>
      </c>
      <c r="C46" s="19">
        <f t="shared" si="48"/>
        <v>0.53749999999999998</v>
      </c>
      <c r="D46" s="19">
        <f t="shared" si="48"/>
        <v>0.64133219470537994</v>
      </c>
      <c r="E46" s="19">
        <f t="shared" si="48"/>
        <v>0.58465189873417711</v>
      </c>
      <c r="F46" s="19">
        <f t="shared" si="48"/>
        <v>0.50926226844328892</v>
      </c>
      <c r="G46" s="20">
        <f t="shared" si="48"/>
        <v>0.69855471438403305</v>
      </c>
    </row>
    <row r="47" spans="1:14">
      <c r="A47" s="9" t="s">
        <v>1017</v>
      </c>
      <c r="B47" s="18">
        <f t="shared" ref="B47:G47" si="49">B41-B44</f>
        <v>0.92</v>
      </c>
      <c r="C47" s="19">
        <f t="shared" si="49"/>
        <v>2.3699999999999997</v>
      </c>
      <c r="D47" s="19">
        <f t="shared" si="49"/>
        <v>4.8000000000000007</v>
      </c>
      <c r="E47" s="19">
        <f t="shared" si="49"/>
        <v>5.62</v>
      </c>
      <c r="F47" s="19">
        <f t="shared" si="49"/>
        <v>44.65</v>
      </c>
      <c r="G47" s="20">
        <f t="shared" si="49"/>
        <v>41.5</v>
      </c>
      <c r="I47" s="29">
        <f t="shared" ref="I47:N47" si="50">B47*2240/2204.6</f>
        <v>0.93477274789077391</v>
      </c>
      <c r="J47" s="29">
        <f t="shared" si="50"/>
        <v>2.4080558831534065</v>
      </c>
      <c r="K47" s="29">
        <f t="shared" si="50"/>
        <v>4.8770752063866469</v>
      </c>
      <c r="L47" s="29">
        <f t="shared" si="50"/>
        <v>5.7102422208110326</v>
      </c>
      <c r="M47" s="29">
        <f t="shared" si="50"/>
        <v>45.366959992742451</v>
      </c>
      <c r="N47" s="29">
        <f t="shared" si="50"/>
        <v>42.166379388551213</v>
      </c>
    </row>
    <row r="48" spans="1:14">
      <c r="A48" s="9" t="s">
        <v>1018</v>
      </c>
      <c r="B48" s="18">
        <f t="shared" ref="B48:G48" si="51">(B41*B42-B44*B45)/(B41-B44)</f>
        <v>6.9286956521739143</v>
      </c>
      <c r="C48" s="19">
        <f t="shared" si="51"/>
        <v>12.081054852320676</v>
      </c>
      <c r="D48" s="19">
        <f t="shared" si="51"/>
        <v>11.976249999999999</v>
      </c>
      <c r="E48" s="19">
        <f t="shared" si="51"/>
        <v>9.5451779359430606</v>
      </c>
      <c r="F48" s="19">
        <f t="shared" si="51"/>
        <v>25.661155655095182</v>
      </c>
      <c r="G48" s="20">
        <f t="shared" si="51"/>
        <v>27.085542168674699</v>
      </c>
      <c r="I48" s="27"/>
      <c r="J48" s="27"/>
      <c r="K48" s="27"/>
      <c r="L48" s="27"/>
      <c r="M48" s="27"/>
      <c r="N48" s="27"/>
    </row>
    <row r="49" spans="1:14">
      <c r="A49" s="9" t="s">
        <v>1019</v>
      </c>
      <c r="B49" s="18">
        <f t="shared" ref="B49:G49" si="52">B48/B9</f>
        <v>0.86500569939749239</v>
      </c>
      <c r="C49" s="19">
        <f t="shared" si="52"/>
        <v>1.0067545710267229</v>
      </c>
      <c r="D49" s="19">
        <f t="shared" si="52"/>
        <v>1.0227369769427836</v>
      </c>
      <c r="E49" s="19">
        <f t="shared" si="52"/>
        <v>0.75515648227397625</v>
      </c>
      <c r="F49" s="19">
        <f t="shared" si="52"/>
        <v>0.83396670962285291</v>
      </c>
      <c r="G49" s="20">
        <f t="shared" si="52"/>
        <v>0.93205582135838616</v>
      </c>
    </row>
    <row r="50" spans="1:14">
      <c r="A50" s="9" t="s">
        <v>1020</v>
      </c>
      <c r="B50" s="16">
        <v>0.76</v>
      </c>
      <c r="C50" s="1">
        <v>1.7</v>
      </c>
      <c r="D50" s="1">
        <v>3.72</v>
      </c>
      <c r="E50" s="1">
        <v>0.99</v>
      </c>
      <c r="G50" s="17"/>
      <c r="I50" s="29">
        <f t="shared" ref="I50:L50" si="53">B50*2240/2204.6</f>
        <v>0.77220357434455233</v>
      </c>
      <c r="J50" s="29">
        <f t="shared" si="53"/>
        <v>1.7272974689286038</v>
      </c>
      <c r="K50" s="29">
        <f t="shared" si="53"/>
        <v>3.7797332849496512</v>
      </c>
      <c r="L50" s="29">
        <f t="shared" si="53"/>
        <v>1.0058967613172458</v>
      </c>
      <c r="M50" s="29"/>
      <c r="N50" s="29"/>
    </row>
    <row r="51" spans="1:14">
      <c r="A51" s="9" t="s">
        <v>1021</v>
      </c>
      <c r="B51" s="24">
        <f t="shared" ref="B51:G51" si="54">B41-B44-B50</f>
        <v>0.16000000000000003</v>
      </c>
      <c r="C51" s="25">
        <f t="shared" si="54"/>
        <v>0.66999999999999971</v>
      </c>
      <c r="D51" s="25">
        <f t="shared" si="54"/>
        <v>1.0800000000000005</v>
      </c>
      <c r="E51" s="25">
        <f t="shared" si="54"/>
        <v>4.63</v>
      </c>
      <c r="F51" s="25">
        <f t="shared" si="54"/>
        <v>44.65</v>
      </c>
      <c r="G51" s="26">
        <f t="shared" si="54"/>
        <v>41.5</v>
      </c>
      <c r="I51" s="29">
        <f>B51*2240/2204.6</f>
        <v>0.16256917354622158</v>
      </c>
      <c r="J51" s="29">
        <f>C51*2240/2204.6</f>
        <v>0.68075841422480243</v>
      </c>
      <c r="K51" s="29">
        <f>D51*2240/2204.6</f>
        <v>1.0973419214369959</v>
      </c>
      <c r="L51" s="29">
        <f>E51*2240/2204.6</f>
        <v>4.7043454594937852</v>
      </c>
    </row>
    <row r="52" spans="1:14">
      <c r="A52" s="9" t="s">
        <v>1022</v>
      </c>
      <c r="B52" s="16">
        <v>0.42</v>
      </c>
      <c r="C52" s="1">
        <v>1.03</v>
      </c>
      <c r="D52" s="1">
        <v>1.68</v>
      </c>
      <c r="E52" s="1">
        <v>2.6</v>
      </c>
      <c r="F52" s="1">
        <v>46.82</v>
      </c>
      <c r="G52" s="17">
        <v>38.69</v>
      </c>
      <c r="I52" s="29">
        <f t="shared" ref="I52:N52" si="55">B52*2240/2204.6</f>
        <v>0.42674408055883151</v>
      </c>
      <c r="J52" s="29">
        <f t="shared" si="55"/>
        <v>1.0465390547038014</v>
      </c>
      <c r="K52" s="29">
        <f t="shared" si="55"/>
        <v>1.706976322235326</v>
      </c>
      <c r="L52" s="29">
        <f t="shared" si="55"/>
        <v>2.6417490701260999</v>
      </c>
      <c r="M52" s="29">
        <f t="shared" si="55"/>
        <v>47.571804408963082</v>
      </c>
      <c r="N52" s="29">
        <f t="shared" si="55"/>
        <v>39.311258278145694</v>
      </c>
    </row>
    <row r="53" spans="1:14">
      <c r="A53" s="9" t="s">
        <v>1023</v>
      </c>
      <c r="B53" s="16">
        <v>12.26</v>
      </c>
      <c r="C53" s="1">
        <v>19.62</v>
      </c>
      <c r="D53" s="1">
        <v>20.88</v>
      </c>
      <c r="E53" s="1">
        <v>18.190000000000001</v>
      </c>
      <c r="F53" s="1">
        <v>33.81</v>
      </c>
      <c r="G53" s="17">
        <v>27.27</v>
      </c>
      <c r="I53" s="27">
        <f t="shared" ref="I53:N53" si="56">B53/3.2808</f>
        <v>3.7368934406242378</v>
      </c>
      <c r="J53" s="27">
        <f t="shared" si="56"/>
        <v>5.9802487198244334</v>
      </c>
      <c r="K53" s="27">
        <f t="shared" si="56"/>
        <v>6.3643013899049006</v>
      </c>
      <c r="L53" s="27">
        <f t="shared" si="56"/>
        <v>5.544379419653743</v>
      </c>
      <c r="M53" s="27">
        <f t="shared" si="56"/>
        <v>10.305413313825897</v>
      </c>
      <c r="N53" s="27">
        <f t="shared" si="56"/>
        <v>8.3119970738844184</v>
      </c>
    </row>
    <row r="54" spans="1:14">
      <c r="A54" s="9" t="s">
        <v>1024</v>
      </c>
      <c r="B54" s="18">
        <f t="shared" ref="B54:G54" si="57">B53/B9</f>
        <v>1.5305867665418227</v>
      </c>
      <c r="C54" s="19">
        <f t="shared" si="57"/>
        <v>1.635</v>
      </c>
      <c r="D54" s="19">
        <f t="shared" si="57"/>
        <v>1.7830913748932533</v>
      </c>
      <c r="E54" s="19">
        <f t="shared" si="57"/>
        <v>1.4390822784810127</v>
      </c>
      <c r="F54" s="19">
        <f t="shared" si="57"/>
        <v>1.0987975300617485</v>
      </c>
      <c r="G54" s="20">
        <f t="shared" si="57"/>
        <v>0.93840330350997936</v>
      </c>
    </row>
    <row r="55" spans="1:14">
      <c r="A55" s="9" t="s">
        <v>1025</v>
      </c>
      <c r="B55" s="16">
        <v>1.32</v>
      </c>
      <c r="C55" s="1">
        <v>10.78</v>
      </c>
      <c r="D55" s="1">
        <v>15.92</v>
      </c>
      <c r="E55" s="1">
        <v>17.760000000000002</v>
      </c>
      <c r="F55" s="1">
        <v>233.79</v>
      </c>
      <c r="G55" s="17">
        <v>268.8</v>
      </c>
      <c r="I55" s="29">
        <f t="shared" ref="I55:N55" si="58">B55*2240/2204.6</f>
        <v>1.3411956817563278</v>
      </c>
      <c r="J55" s="29">
        <f t="shared" si="58"/>
        <v>10.953098067676676</v>
      </c>
      <c r="K55" s="29">
        <f t="shared" si="58"/>
        <v>16.175632767849045</v>
      </c>
      <c r="L55" s="29">
        <f t="shared" si="58"/>
        <v>18.045178263630593</v>
      </c>
      <c r="M55" s="29">
        <f t="shared" si="58"/>
        <v>237.54404427106959</v>
      </c>
      <c r="N55" s="29">
        <f t="shared" si="58"/>
        <v>273.11621155765221</v>
      </c>
    </row>
    <row r="56" spans="1:14">
      <c r="A56" s="9" t="s">
        <v>1026</v>
      </c>
      <c r="B56" s="16">
        <v>6.59</v>
      </c>
      <c r="C56" s="1">
        <v>7.88</v>
      </c>
      <c r="D56" s="1">
        <v>9.7799999999999994</v>
      </c>
      <c r="E56" s="1">
        <v>8.93</v>
      </c>
      <c r="F56" s="1">
        <v>22.21</v>
      </c>
      <c r="G56" s="17">
        <v>19.399999999999999</v>
      </c>
      <c r="I56" s="27">
        <f t="shared" ref="I56:N56" si="59">B56/3.2808</f>
        <v>2.0086564252621311</v>
      </c>
      <c r="J56" s="27">
        <f t="shared" si="59"/>
        <v>2.4018532065349913</v>
      </c>
      <c r="K56" s="27">
        <f t="shared" si="59"/>
        <v>2.980980248719824</v>
      </c>
      <c r="L56" s="27">
        <f t="shared" si="59"/>
        <v>2.7218970982687147</v>
      </c>
      <c r="M56" s="27">
        <f t="shared" si="59"/>
        <v>6.7696903194342841</v>
      </c>
      <c r="N56" s="27">
        <f t="shared" si="59"/>
        <v>5.9131919044135568</v>
      </c>
    </row>
    <row r="57" spans="1:14">
      <c r="A57" s="9" t="s">
        <v>1027</v>
      </c>
      <c r="B57" s="18">
        <f t="shared" ref="B57:G57" si="60">B55/B18</f>
        <v>7.9806529625151154E-2</v>
      </c>
      <c r="C57" s="19">
        <f t="shared" si="60"/>
        <v>0.14352283317800557</v>
      </c>
      <c r="D57" s="19">
        <f t="shared" si="60"/>
        <v>0.13611491108071136</v>
      </c>
      <c r="E57" s="19">
        <f t="shared" si="60"/>
        <v>0.14434330299089729</v>
      </c>
      <c r="F57" s="19">
        <f t="shared" si="60"/>
        <v>0.18063743480780375</v>
      </c>
      <c r="G57" s="20">
        <f t="shared" si="60"/>
        <v>0.130760287400215</v>
      </c>
    </row>
    <row r="58" spans="1:14">
      <c r="A58" s="9" t="s">
        <v>1028</v>
      </c>
      <c r="B58" s="18">
        <f t="shared" ref="B58:G58" si="61">B56/B9</f>
        <v>0.82272159800249689</v>
      </c>
      <c r="C58" s="19">
        <f t="shared" si="61"/>
        <v>0.65666666666666662</v>
      </c>
      <c r="D58" s="19">
        <f t="shared" si="61"/>
        <v>0.83518360375747214</v>
      </c>
      <c r="E58" s="19">
        <f t="shared" si="61"/>
        <v>0.70648734177215189</v>
      </c>
      <c r="F58" s="19">
        <f t="shared" si="61"/>
        <v>0.72180695482612933</v>
      </c>
      <c r="G58" s="20">
        <f t="shared" si="61"/>
        <v>0.66758430832759807</v>
      </c>
    </row>
    <row r="59" spans="1:14">
      <c r="A59" s="9" t="s">
        <v>1029</v>
      </c>
      <c r="B59" s="16">
        <v>1.73</v>
      </c>
      <c r="C59" s="1">
        <v>11.57</v>
      </c>
      <c r="D59" s="1">
        <v>18.46</v>
      </c>
      <c r="E59" s="1">
        <v>20.52</v>
      </c>
      <c r="F59" s="1">
        <v>158.01</v>
      </c>
      <c r="G59" s="17">
        <v>325.06</v>
      </c>
      <c r="I59" s="29">
        <f t="shared" ref="I59:N59" si="62">B59*2240/2204.6</f>
        <v>1.7577791889685204</v>
      </c>
      <c r="J59" s="29">
        <f t="shared" si="62"/>
        <v>11.755783362061145</v>
      </c>
      <c r="K59" s="29">
        <f t="shared" si="62"/>
        <v>18.75641839789531</v>
      </c>
      <c r="L59" s="29">
        <f t="shared" si="62"/>
        <v>20.849496507302909</v>
      </c>
      <c r="M59" s="29">
        <f t="shared" si="62"/>
        <v>160.54721945024039</v>
      </c>
      <c r="N59" s="29">
        <f t="shared" si="62"/>
        <v>330.27959720584238</v>
      </c>
    </row>
    <row r="60" spans="1:14">
      <c r="A60" s="9" t="s">
        <v>1030</v>
      </c>
      <c r="B60" s="16">
        <v>7.78</v>
      </c>
      <c r="C60" s="1">
        <v>10.55</v>
      </c>
      <c r="D60" s="1">
        <v>11.97</v>
      </c>
      <c r="E60" s="1">
        <v>11.09</v>
      </c>
      <c r="F60" s="1">
        <v>23.14</v>
      </c>
      <c r="G60" s="17">
        <v>25.63</v>
      </c>
      <c r="I60" s="27">
        <f t="shared" ref="I60:N60" si="63">B60/3.2808</f>
        <v>2.3713728358936845</v>
      </c>
      <c r="J60" s="27">
        <f t="shared" si="63"/>
        <v>3.2156791026578886</v>
      </c>
      <c r="K60" s="27">
        <f t="shared" si="63"/>
        <v>3.6485003657644479</v>
      </c>
      <c r="L60" s="27">
        <f t="shared" si="63"/>
        <v>3.3802731041209459</v>
      </c>
      <c r="M60" s="27">
        <f t="shared" si="63"/>
        <v>7.0531577663984395</v>
      </c>
      <c r="N60" s="27">
        <f t="shared" si="63"/>
        <v>7.8121189953669834</v>
      </c>
    </row>
    <row r="61" spans="1:14">
      <c r="A61" s="9" t="s">
        <v>1031</v>
      </c>
      <c r="B61" s="18">
        <f t="shared" ref="B61:G61" si="64">B59/B18</f>
        <v>0.10459492140266022</v>
      </c>
      <c r="C61" s="19">
        <f t="shared" si="64"/>
        <v>0.15404074024763681</v>
      </c>
      <c r="D61" s="19">
        <f t="shared" si="64"/>
        <v>0.15783173734610126</v>
      </c>
      <c r="E61" s="19">
        <f t="shared" si="64"/>
        <v>0.16677503250975292</v>
      </c>
      <c r="F61" s="19">
        <f t="shared" si="64"/>
        <v>0.12208615028008499</v>
      </c>
      <c r="G61" s="20">
        <f t="shared" si="64"/>
        <v>0.15812849338658441</v>
      </c>
    </row>
    <row r="62" spans="1:14">
      <c r="A62" s="9" t="s">
        <v>1032</v>
      </c>
      <c r="B62" s="18">
        <f t="shared" ref="B62:G62" si="65">B60/B9</f>
        <v>0.97128589263420728</v>
      </c>
      <c r="C62" s="19">
        <f t="shared" si="65"/>
        <v>0.87916666666666676</v>
      </c>
      <c r="D62" s="19">
        <f t="shared" si="65"/>
        <v>1.022203245089667</v>
      </c>
      <c r="E62" s="19">
        <f t="shared" si="65"/>
        <v>0.87737341772151889</v>
      </c>
      <c r="F62" s="19">
        <f t="shared" si="65"/>
        <v>0.75203119922001949</v>
      </c>
      <c r="G62" s="20">
        <f t="shared" si="65"/>
        <v>0.88196834136269786</v>
      </c>
    </row>
    <row r="63" spans="1:14">
      <c r="A63" s="9" t="s">
        <v>1033</v>
      </c>
      <c r="B63" s="16">
        <v>0.01</v>
      </c>
      <c r="C63" s="1">
        <v>0.21</v>
      </c>
      <c r="D63" s="1">
        <v>1.44</v>
      </c>
      <c r="E63" s="1">
        <v>2.0499999999999998</v>
      </c>
      <c r="F63" s="1">
        <v>11.3</v>
      </c>
      <c r="G63" s="17">
        <v>34.020000000000003</v>
      </c>
      <c r="I63" s="29">
        <f t="shared" ref="I63:N63" si="66">B63*2240/2204.6</f>
        <v>1.0160573346638847E-2</v>
      </c>
      <c r="J63" s="29">
        <f t="shared" si="66"/>
        <v>0.21337204027941575</v>
      </c>
      <c r="K63" s="29">
        <f t="shared" si="66"/>
        <v>1.4631225619159938</v>
      </c>
      <c r="L63" s="29">
        <f t="shared" si="66"/>
        <v>2.0829175360609637</v>
      </c>
      <c r="M63" s="29">
        <f t="shared" si="66"/>
        <v>11.481447881701897</v>
      </c>
      <c r="N63" s="29">
        <f t="shared" si="66"/>
        <v>34.566270525265359</v>
      </c>
    </row>
    <row r="64" spans="1:14">
      <c r="A64" s="9" t="s">
        <v>1034</v>
      </c>
      <c r="B64" s="16">
        <v>7.76</v>
      </c>
      <c r="C64" s="1">
        <v>6.65</v>
      </c>
      <c r="D64" s="1">
        <v>13.11</v>
      </c>
      <c r="E64" s="1">
        <v>17.61</v>
      </c>
      <c r="F64" s="1">
        <v>34.82</v>
      </c>
      <c r="G64" s="17">
        <v>33.49</v>
      </c>
      <c r="I64" s="27">
        <f t="shared" ref="I64:N64" si="67">B64/3.2808</f>
        <v>2.3652767617654229</v>
      </c>
      <c r="J64" s="27">
        <f t="shared" si="67"/>
        <v>2.0269446476469155</v>
      </c>
      <c r="K64" s="27">
        <f t="shared" si="67"/>
        <v>3.9959765910753471</v>
      </c>
      <c r="L64" s="27">
        <f t="shared" si="67"/>
        <v>5.3675932699341615</v>
      </c>
      <c r="M64" s="27">
        <f t="shared" si="67"/>
        <v>10.613265057303096</v>
      </c>
      <c r="N64" s="27">
        <f t="shared" si="67"/>
        <v>10.207876127773714</v>
      </c>
    </row>
    <row r="65" spans="1:14">
      <c r="A65" s="9" t="s">
        <v>1035</v>
      </c>
      <c r="B65" s="18">
        <f t="shared" ref="B65:G65" si="68">B63/B18</f>
        <v>6.045949214026603E-4</v>
      </c>
      <c r="C65" s="19">
        <f t="shared" si="68"/>
        <v>2.7958993476234857E-3</v>
      </c>
      <c r="D65" s="19">
        <f t="shared" si="68"/>
        <v>1.2311901504787962E-2</v>
      </c>
      <c r="E65" s="19">
        <f t="shared" si="68"/>
        <v>1.6661248374512352E-2</v>
      </c>
      <c r="F65" s="19">
        <f t="shared" si="68"/>
        <v>8.730925246281631E-3</v>
      </c>
      <c r="G65" s="20">
        <f t="shared" si="68"/>
        <v>1.6549348874089712E-2</v>
      </c>
    </row>
    <row r="66" spans="1:14">
      <c r="A66" s="31" t="s">
        <v>1036</v>
      </c>
      <c r="B66" s="32">
        <f t="shared" ref="B66:G66" si="69">B64/B9</f>
        <v>0.96878901373283399</v>
      </c>
      <c r="C66" s="33">
        <f t="shared" si="69"/>
        <v>0.5541666666666667</v>
      </c>
      <c r="D66" s="33">
        <f t="shared" si="69"/>
        <v>1.1195559350982065</v>
      </c>
      <c r="E66" s="33">
        <f t="shared" si="69"/>
        <v>1.3931962025316456</v>
      </c>
      <c r="F66" s="33">
        <f t="shared" si="69"/>
        <v>1.1316217094572636</v>
      </c>
      <c r="G66" s="34">
        <f t="shared" si="69"/>
        <v>1.1524432209222299</v>
      </c>
    </row>
    <row r="67" spans="1:14">
      <c r="A67" s="35"/>
      <c r="I67" s="27">
        <f t="shared" ref="I67:N67" si="70">I4/100</f>
        <v>1.216639114577003</v>
      </c>
      <c r="J67" s="27">
        <f t="shared" si="70"/>
        <v>5.2066386176586219</v>
      </c>
      <c r="K67" s="27">
        <f t="shared" si="70"/>
        <v>6.7550824966508616</v>
      </c>
      <c r="L67" s="27">
        <f t="shared" si="70"/>
        <v>8.2014333560166612</v>
      </c>
      <c r="M67" s="27">
        <f t="shared" si="70"/>
        <v>83.499751616731814</v>
      </c>
      <c r="N67" s="27">
        <f t="shared" si="70"/>
        <v>121.02648873059705</v>
      </c>
    </row>
    <row r="68" spans="1:14">
      <c r="A68" s="35" t="s">
        <v>662</v>
      </c>
      <c r="I68" s="29">
        <f t="shared" ref="I68:N68" si="71">I7*(I8+I9)</f>
        <v>81.764476845650719</v>
      </c>
      <c r="J68" s="29">
        <f t="shared" si="71"/>
        <v>233.21088266218248</v>
      </c>
      <c r="K68" s="29">
        <f t="shared" si="71"/>
        <v>302.44498950868763</v>
      </c>
      <c r="L68" s="29">
        <f t="shared" si="71"/>
        <v>342.04944095982671</v>
      </c>
      <c r="M68" s="29">
        <f t="shared" si="71"/>
        <v>1619.2696903194342</v>
      </c>
      <c r="N68" s="29">
        <f t="shared" si="71"/>
        <v>2311.2980395465602</v>
      </c>
    </row>
    <row r="69" spans="1:14">
      <c r="A69" s="35" t="s">
        <v>663</v>
      </c>
      <c r="I69" s="29">
        <f t="shared" ref="I69:N69" si="72">I7*(I8+2*I9)</f>
        <v>113.69687370248457</v>
      </c>
      <c r="J69" s="29">
        <f t="shared" si="72"/>
        <v>324.07226551757827</v>
      </c>
      <c r="K69" s="29">
        <f t="shared" si="72"/>
        <v>415.63229622478639</v>
      </c>
      <c r="L69" s="29">
        <f t="shared" si="72"/>
        <v>471.22496930557548</v>
      </c>
      <c r="M69" s="29">
        <f t="shared" si="72"/>
        <v>2348.2371866051544</v>
      </c>
      <c r="N69" s="29">
        <f t="shared" si="72"/>
        <v>3256.2378401827877</v>
      </c>
    </row>
    <row r="70" spans="1:14">
      <c r="A70" s="35"/>
    </row>
    <row r="71" spans="1:14">
      <c r="A71" s="35" t="s">
        <v>1037</v>
      </c>
      <c r="B71" s="30">
        <v>4554.5</v>
      </c>
      <c r="C71" s="30">
        <v>16784</v>
      </c>
      <c r="D71" s="30">
        <v>21717</v>
      </c>
      <c r="E71" s="30">
        <v>26116</v>
      </c>
      <c r="F71" s="30">
        <v>232159.5</v>
      </c>
      <c r="G71" s="30">
        <v>388754</v>
      </c>
      <c r="I71" s="29">
        <f t="shared" ref="I71:N71" si="73">B71/3.2808^3</f>
        <v>128.97378270964509</v>
      </c>
      <c r="J71" s="29">
        <f t="shared" si="73"/>
        <v>475.28729146968567</v>
      </c>
      <c r="K71" s="29">
        <f t="shared" si="73"/>
        <v>614.97939161386819</v>
      </c>
      <c r="L71" s="29">
        <f t="shared" si="73"/>
        <v>739.54974404327402</v>
      </c>
      <c r="M71" s="29">
        <f t="shared" si="73"/>
        <v>6574.2647726380183</v>
      </c>
      <c r="N71" s="29">
        <f t="shared" si="73"/>
        <v>11008.68897211667</v>
      </c>
    </row>
    <row r="72" spans="1:14">
      <c r="A72" s="35" t="s">
        <v>1038</v>
      </c>
      <c r="B72" s="1">
        <v>1228.5</v>
      </c>
      <c r="C72" s="1">
        <v>6094.5</v>
      </c>
      <c r="D72" s="1">
        <v>9142</v>
      </c>
      <c r="E72" s="1">
        <v>10743</v>
      </c>
      <c r="F72" s="1">
        <v>51126.5</v>
      </c>
      <c r="G72" s="1">
        <v>118530</v>
      </c>
      <c r="I72" s="29">
        <f t="shared" ref="I72:N72" si="74">B72/3.2808^3</f>
        <v>34.78851510787112</v>
      </c>
      <c r="J72" s="29">
        <f t="shared" si="74"/>
        <v>172.58331731780262</v>
      </c>
      <c r="K72" s="29">
        <f t="shared" si="74"/>
        <v>258.88205544660786</v>
      </c>
      <c r="L72" s="29">
        <f t="shared" si="74"/>
        <v>304.21898071132227</v>
      </c>
      <c r="M72" s="29">
        <f t="shared" si="74"/>
        <v>1447.7940721714065</v>
      </c>
      <c r="N72" s="29">
        <f t="shared" si="74"/>
        <v>3356.5182708473453</v>
      </c>
    </row>
    <row r="73" spans="1:14">
      <c r="A73" s="1" t="s">
        <v>1039</v>
      </c>
      <c r="B73" s="1">
        <v>3326</v>
      </c>
      <c r="C73" s="1">
        <v>12396.5</v>
      </c>
      <c r="D73" s="1">
        <v>17532</v>
      </c>
      <c r="E73" s="1">
        <v>20298</v>
      </c>
      <c r="F73" s="1">
        <v>181033</v>
      </c>
      <c r="G73" s="1">
        <v>270224</v>
      </c>
      <c r="I73" s="29">
        <f t="shared" ref="I73:N73" si="75">B73/3.2808^3</f>
        <v>94.185267601773987</v>
      </c>
      <c r="J73" s="29">
        <f t="shared" si="75"/>
        <v>351.04259465586023</v>
      </c>
      <c r="K73" s="29">
        <f t="shared" si="75"/>
        <v>496.46906542221933</v>
      </c>
      <c r="L73" s="29">
        <f t="shared" si="75"/>
        <v>574.79632043920878</v>
      </c>
      <c r="M73" s="29">
        <f t="shared" si="75"/>
        <v>5126.4707004666116</v>
      </c>
      <c r="N73" s="29">
        <f t="shared" si="75"/>
        <v>7652.1707012693241</v>
      </c>
    </row>
    <row r="76" spans="1:14">
      <c r="F76" s="30"/>
    </row>
  </sheetData>
  <mergeCells count="3">
    <mergeCell ref="B1:G1"/>
    <mergeCell ref="I1:N1"/>
    <mergeCell ref="A1:A2"/>
  </mergeCells>
  <pageMargins left="0.25" right="0.25" top="0.25" bottom="0.25" header="0.5" footer="0.5"/>
  <pageSetup scale="70" orientation="landscape"/>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election activeCell="A35" sqref="A35"/>
    </sheetView>
  </sheetViews>
  <sheetFormatPr defaultColWidth="8.625" defaultRowHeight="15.75"/>
  <cols>
    <col min="1" max="1" width="155.375" customWidth="1"/>
  </cols>
  <sheetData>
    <row r="1" spans="1:1">
      <c r="A1" s="317" t="s">
        <v>222</v>
      </c>
    </row>
    <row r="2" spans="1:1">
      <c r="A2" s="317" t="s">
        <v>223</v>
      </c>
    </row>
    <row r="3" spans="1:1">
      <c r="A3" s="317"/>
    </row>
    <row r="4" spans="1:1" ht="47.25">
      <c r="A4" s="318" t="s">
        <v>224</v>
      </c>
    </row>
    <row r="5" spans="1:1">
      <c r="A5" s="319" t="s">
        <v>225</v>
      </c>
    </row>
    <row r="6" spans="1:1">
      <c r="A6" s="319" t="s">
        <v>226</v>
      </c>
    </row>
    <row r="7" spans="1:1">
      <c r="A7" s="319" t="s">
        <v>227</v>
      </c>
    </row>
    <row r="8" spans="1:1">
      <c r="A8" s="319" t="s">
        <v>228</v>
      </c>
    </row>
    <row r="10" spans="1:1" ht="47.25">
      <c r="A10" s="318" t="s">
        <v>229</v>
      </c>
    </row>
    <row r="11" spans="1:1">
      <c r="A11" s="319" t="s">
        <v>230</v>
      </c>
    </row>
    <row r="13" spans="1:1" ht="31.5">
      <c r="A13" s="318" t="s">
        <v>231</v>
      </c>
    </row>
    <row r="14" spans="1:1">
      <c r="A14" s="320" t="s">
        <v>232</v>
      </c>
    </row>
    <row r="16" spans="1:1">
      <c r="A16" t="s">
        <v>233</v>
      </c>
    </row>
    <row r="18" spans="1:1">
      <c r="A18" t="s">
        <v>234</v>
      </c>
    </row>
    <row r="19" spans="1:1">
      <c r="A19" t="s">
        <v>235</v>
      </c>
    </row>
    <row r="20" spans="1:1">
      <c r="A20" s="321" t="s">
        <v>236</v>
      </c>
    </row>
    <row r="22" spans="1:1">
      <c r="A22" t="s">
        <v>237</v>
      </c>
    </row>
    <row r="23" spans="1:1">
      <c r="A23" t="s">
        <v>238</v>
      </c>
    </row>
    <row r="24" spans="1:1">
      <c r="A24" t="s">
        <v>239</v>
      </c>
    </row>
    <row r="25" spans="1:1">
      <c r="A25" t="s">
        <v>240</v>
      </c>
    </row>
    <row r="26" spans="1:1">
      <c r="A26" t="s">
        <v>241</v>
      </c>
    </row>
    <row r="28" spans="1:1">
      <c r="A28" t="s">
        <v>242</v>
      </c>
    </row>
    <row r="29" spans="1:1">
      <c r="A29" s="321" t="s">
        <v>243</v>
      </c>
    </row>
    <row r="30" spans="1:1">
      <c r="A30" s="321" t="s">
        <v>244</v>
      </c>
    </row>
    <row r="31" spans="1:1">
      <c r="A31" s="321" t="s">
        <v>245</v>
      </c>
    </row>
    <row r="32" spans="1:1">
      <c r="A32" s="321" t="s">
        <v>246</v>
      </c>
    </row>
    <row r="34" spans="1:1">
      <c r="A34" s="321" t="s">
        <v>247</v>
      </c>
    </row>
  </sheetData>
  <pageMargins left="0.75" right="0.75" top="1" bottom="1" header="0.5" footer="0.5"/>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X605"/>
  <sheetViews>
    <sheetView workbookViewId="0">
      <pane xSplit="2" ySplit="3" topLeftCell="C87" activePane="bottomRight" state="frozen"/>
      <selection pane="topRight" activeCell="C1" sqref="C1"/>
      <selection pane="bottomLeft" activeCell="A4" sqref="A4"/>
      <selection pane="bottomRight" activeCell="I3" sqref="I3"/>
    </sheetView>
  </sheetViews>
  <sheetFormatPr defaultRowHeight="12.75"/>
  <cols>
    <col min="1" max="1" width="15.25" style="345" bestFit="1" customWidth="1"/>
    <col min="2" max="2" width="23.125" style="345" bestFit="1" customWidth="1"/>
    <col min="3" max="3" width="8.25" style="346" bestFit="1" customWidth="1"/>
    <col min="4" max="4" width="43.5" style="346" bestFit="1" customWidth="1"/>
    <col min="5" max="6" width="5.75" style="346" customWidth="1"/>
    <col min="7" max="7" width="9.625" style="346" bestFit="1" customWidth="1"/>
    <col min="8" max="9" width="4.625" style="347" bestFit="1" customWidth="1"/>
    <col min="10" max="10" width="5.375" style="347" bestFit="1" customWidth="1"/>
    <col min="11" max="11" width="4.875" style="347" bestFit="1" customWidth="1"/>
    <col min="12" max="12" width="5" style="347" bestFit="1" customWidth="1"/>
    <col min="13" max="16" width="4.125" style="347" bestFit="1" customWidth="1"/>
    <col min="17" max="17" width="4.375" style="347" bestFit="1" customWidth="1"/>
    <col min="18" max="18" width="4.25" style="348" bestFit="1" customWidth="1"/>
    <col min="19" max="19" width="4.875" style="348" bestFit="1" customWidth="1"/>
    <col min="20" max="20" width="10.125" style="346" bestFit="1" customWidth="1"/>
    <col min="21" max="24" width="6.75" style="349" bestFit="1" customWidth="1"/>
    <col min="25" max="25" width="5.125" style="347" bestFit="1" customWidth="1"/>
    <col min="26" max="26" width="15.875" style="349" hidden="1" customWidth="1"/>
    <col min="27" max="27" width="5.125" style="349" bestFit="1" customWidth="1"/>
    <col min="28" max="30" width="5.875" style="349" bestFit="1" customWidth="1"/>
    <col min="31" max="31" width="6.625" style="349" bestFit="1" customWidth="1"/>
    <col min="32" max="32" width="11.875" style="349" bestFit="1" customWidth="1"/>
    <col min="33" max="33" width="10.625" style="349" bestFit="1" customWidth="1"/>
    <col min="34" max="34" width="5.5" style="349" bestFit="1" customWidth="1"/>
    <col min="35" max="35" width="10.25" style="349" bestFit="1" customWidth="1"/>
    <col min="36" max="36" width="6.375" style="349" bestFit="1" customWidth="1"/>
    <col min="37" max="37" width="1.75" style="349" bestFit="1" customWidth="1"/>
    <col min="38" max="38" width="6.875" style="349" bestFit="1" customWidth="1"/>
    <col min="39" max="39" width="1.75" style="346" bestFit="1" customWidth="1"/>
    <col min="40" max="40" width="7.375" style="346" bestFit="1" customWidth="1"/>
    <col min="41" max="41" width="5.125" style="350" bestFit="1" customWidth="1"/>
    <col min="42" max="42" width="10.125" style="351" bestFit="1" customWidth="1"/>
    <col min="43" max="43" width="21" style="349" bestFit="1" customWidth="1"/>
    <col min="44" max="44" width="12.625" style="349" bestFit="1" customWidth="1"/>
    <col min="45" max="45" width="9" style="352"/>
    <col min="46" max="46" width="9" style="349"/>
    <col min="47" max="47" width="15.875" style="352" bestFit="1" customWidth="1"/>
    <col min="48" max="256" width="9" style="349"/>
    <col min="257" max="257" width="15.25" style="349" bestFit="1" customWidth="1"/>
    <col min="258" max="258" width="23.125" style="349" bestFit="1" customWidth="1"/>
    <col min="259" max="259" width="8.25" style="349" bestFit="1" customWidth="1"/>
    <col min="260" max="260" width="43.5" style="349" bestFit="1" customWidth="1"/>
    <col min="261" max="262" width="5.75" style="349" customWidth="1"/>
    <col min="263" max="263" width="9.625" style="349" bestFit="1" customWidth="1"/>
    <col min="264" max="265" width="4.625" style="349" bestFit="1" customWidth="1"/>
    <col min="266" max="266" width="5.375" style="349" bestFit="1" customWidth="1"/>
    <col min="267" max="267" width="4.875" style="349" bestFit="1" customWidth="1"/>
    <col min="268" max="268" width="5" style="349" bestFit="1" customWidth="1"/>
    <col min="269" max="272" width="4.125" style="349" bestFit="1" customWidth="1"/>
    <col min="273" max="273" width="4.375" style="349" bestFit="1" customWidth="1"/>
    <col min="274" max="274" width="4.25" style="349" bestFit="1" customWidth="1"/>
    <col min="275" max="275" width="4.875" style="349" bestFit="1" customWidth="1"/>
    <col min="276" max="276" width="10.125" style="349" bestFit="1" customWidth="1"/>
    <col min="277" max="280" width="6.75" style="349" bestFit="1" customWidth="1"/>
    <col min="281" max="281" width="5.125" style="349" bestFit="1" customWidth="1"/>
    <col min="282" max="282" width="0" style="349" hidden="1" customWidth="1"/>
    <col min="283" max="283" width="5.125" style="349" bestFit="1" customWidth="1"/>
    <col min="284" max="286" width="5.875" style="349" bestFit="1" customWidth="1"/>
    <col min="287" max="287" width="6.625" style="349" bestFit="1" customWidth="1"/>
    <col min="288" max="288" width="11.875" style="349" bestFit="1" customWidth="1"/>
    <col min="289" max="289" width="10.625" style="349" bestFit="1" customWidth="1"/>
    <col min="290" max="290" width="5.5" style="349" bestFit="1" customWidth="1"/>
    <col min="291" max="291" width="10.25" style="349" bestFit="1" customWidth="1"/>
    <col min="292" max="292" width="6.375" style="349" bestFit="1" customWidth="1"/>
    <col min="293" max="293" width="1.75" style="349" bestFit="1" customWidth="1"/>
    <col min="294" max="294" width="6.875" style="349" bestFit="1" customWidth="1"/>
    <col min="295" max="295" width="1.75" style="349" bestFit="1" customWidth="1"/>
    <col min="296" max="296" width="7.375" style="349" bestFit="1" customWidth="1"/>
    <col min="297" max="297" width="5.125" style="349" bestFit="1" customWidth="1"/>
    <col min="298" max="298" width="10.125" style="349" bestFit="1" customWidth="1"/>
    <col min="299" max="299" width="21" style="349" bestFit="1" customWidth="1"/>
    <col min="300" max="300" width="12.625" style="349" bestFit="1" customWidth="1"/>
    <col min="301" max="302" width="9" style="349"/>
    <col min="303" max="303" width="15.875" style="349" bestFit="1" customWidth="1"/>
    <col min="304" max="512" width="9" style="349"/>
    <col min="513" max="513" width="15.25" style="349" bestFit="1" customWidth="1"/>
    <col min="514" max="514" width="23.125" style="349" bestFit="1" customWidth="1"/>
    <col min="515" max="515" width="8.25" style="349" bestFit="1" customWidth="1"/>
    <col min="516" max="516" width="43.5" style="349" bestFit="1" customWidth="1"/>
    <col min="517" max="518" width="5.75" style="349" customWidth="1"/>
    <col min="519" max="519" width="9.625" style="349" bestFit="1" customWidth="1"/>
    <col min="520" max="521" width="4.625" style="349" bestFit="1" customWidth="1"/>
    <col min="522" max="522" width="5.375" style="349" bestFit="1" customWidth="1"/>
    <col min="523" max="523" width="4.875" style="349" bestFit="1" customWidth="1"/>
    <col min="524" max="524" width="5" style="349" bestFit="1" customWidth="1"/>
    <col min="525" max="528" width="4.125" style="349" bestFit="1" customWidth="1"/>
    <col min="529" max="529" width="4.375" style="349" bestFit="1" customWidth="1"/>
    <col min="530" max="530" width="4.25" style="349" bestFit="1" customWidth="1"/>
    <col min="531" max="531" width="4.875" style="349" bestFit="1" customWidth="1"/>
    <col min="532" max="532" width="10.125" style="349" bestFit="1" customWidth="1"/>
    <col min="533" max="536" width="6.75" style="349" bestFit="1" customWidth="1"/>
    <col min="537" max="537" width="5.125" style="349" bestFit="1" customWidth="1"/>
    <col min="538" max="538" width="0" style="349" hidden="1" customWidth="1"/>
    <col min="539" max="539" width="5.125" style="349" bestFit="1" customWidth="1"/>
    <col min="540" max="542" width="5.875" style="349" bestFit="1" customWidth="1"/>
    <col min="543" max="543" width="6.625" style="349" bestFit="1" customWidth="1"/>
    <col min="544" max="544" width="11.875" style="349" bestFit="1" customWidth="1"/>
    <col min="545" max="545" width="10.625" style="349" bestFit="1" customWidth="1"/>
    <col min="546" max="546" width="5.5" style="349" bestFit="1" customWidth="1"/>
    <col min="547" max="547" width="10.25" style="349" bestFit="1" customWidth="1"/>
    <col min="548" max="548" width="6.375" style="349" bestFit="1" customWidth="1"/>
    <col min="549" max="549" width="1.75" style="349" bestFit="1" customWidth="1"/>
    <col min="550" max="550" width="6.875" style="349" bestFit="1" customWidth="1"/>
    <col min="551" max="551" width="1.75" style="349" bestFit="1" customWidth="1"/>
    <col min="552" max="552" width="7.375" style="349" bestFit="1" customWidth="1"/>
    <col min="553" max="553" width="5.125" style="349" bestFit="1" customWidth="1"/>
    <col min="554" max="554" width="10.125" style="349" bestFit="1" customWidth="1"/>
    <col min="555" max="555" width="21" style="349" bestFit="1" customWidth="1"/>
    <col min="556" max="556" width="12.625" style="349" bestFit="1" customWidth="1"/>
    <col min="557" max="558" width="9" style="349"/>
    <col min="559" max="559" width="15.875" style="349" bestFit="1" customWidth="1"/>
    <col min="560" max="768" width="9" style="349"/>
    <col min="769" max="769" width="15.25" style="349" bestFit="1" customWidth="1"/>
    <col min="770" max="770" width="23.125" style="349" bestFit="1" customWidth="1"/>
    <col min="771" max="771" width="8.25" style="349" bestFit="1" customWidth="1"/>
    <col min="772" max="772" width="43.5" style="349" bestFit="1" customWidth="1"/>
    <col min="773" max="774" width="5.75" style="349" customWidth="1"/>
    <col min="775" max="775" width="9.625" style="349" bestFit="1" customWidth="1"/>
    <col min="776" max="777" width="4.625" style="349" bestFit="1" customWidth="1"/>
    <col min="778" max="778" width="5.375" style="349" bestFit="1" customWidth="1"/>
    <col min="779" max="779" width="4.875" style="349" bestFit="1" customWidth="1"/>
    <col min="780" max="780" width="5" style="349" bestFit="1" customWidth="1"/>
    <col min="781" max="784" width="4.125" style="349" bestFit="1" customWidth="1"/>
    <col min="785" max="785" width="4.375" style="349" bestFit="1" customWidth="1"/>
    <col min="786" max="786" width="4.25" style="349" bestFit="1" customWidth="1"/>
    <col min="787" max="787" width="4.875" style="349" bestFit="1" customWidth="1"/>
    <col min="788" max="788" width="10.125" style="349" bestFit="1" customWidth="1"/>
    <col min="789" max="792" width="6.75" style="349" bestFit="1" customWidth="1"/>
    <col min="793" max="793" width="5.125" style="349" bestFit="1" customWidth="1"/>
    <col min="794" max="794" width="0" style="349" hidden="1" customWidth="1"/>
    <col min="795" max="795" width="5.125" style="349" bestFit="1" customWidth="1"/>
    <col min="796" max="798" width="5.875" style="349" bestFit="1" customWidth="1"/>
    <col min="799" max="799" width="6.625" style="349" bestFit="1" customWidth="1"/>
    <col min="800" max="800" width="11.875" style="349" bestFit="1" customWidth="1"/>
    <col min="801" max="801" width="10.625" style="349" bestFit="1" customWidth="1"/>
    <col min="802" max="802" width="5.5" style="349" bestFit="1" customWidth="1"/>
    <col min="803" max="803" width="10.25" style="349" bestFit="1" customWidth="1"/>
    <col min="804" max="804" width="6.375" style="349" bestFit="1" customWidth="1"/>
    <col min="805" max="805" width="1.75" style="349" bestFit="1" customWidth="1"/>
    <col min="806" max="806" width="6.875" style="349" bestFit="1" customWidth="1"/>
    <col min="807" max="807" width="1.75" style="349" bestFit="1" customWidth="1"/>
    <col min="808" max="808" width="7.375" style="349" bestFit="1" customWidth="1"/>
    <col min="809" max="809" width="5.125" style="349" bestFit="1" customWidth="1"/>
    <col min="810" max="810" width="10.125" style="349" bestFit="1" customWidth="1"/>
    <col min="811" max="811" width="21" style="349" bestFit="1" customWidth="1"/>
    <col min="812" max="812" width="12.625" style="349" bestFit="1" customWidth="1"/>
    <col min="813" max="814" width="9" style="349"/>
    <col min="815" max="815" width="15.875" style="349" bestFit="1" customWidth="1"/>
    <col min="816" max="1024" width="9" style="349"/>
    <col min="1025" max="1025" width="15.25" style="349" bestFit="1" customWidth="1"/>
    <col min="1026" max="1026" width="23.125" style="349" bestFit="1" customWidth="1"/>
    <col min="1027" max="1027" width="8.25" style="349" bestFit="1" customWidth="1"/>
    <col min="1028" max="1028" width="43.5" style="349" bestFit="1" customWidth="1"/>
    <col min="1029" max="1030" width="5.75" style="349" customWidth="1"/>
    <col min="1031" max="1031" width="9.625" style="349" bestFit="1" customWidth="1"/>
    <col min="1032" max="1033" width="4.625" style="349" bestFit="1" customWidth="1"/>
    <col min="1034" max="1034" width="5.375" style="349" bestFit="1" customWidth="1"/>
    <col min="1035" max="1035" width="4.875" style="349" bestFit="1" customWidth="1"/>
    <col min="1036" max="1036" width="5" style="349" bestFit="1" customWidth="1"/>
    <col min="1037" max="1040" width="4.125" style="349" bestFit="1" customWidth="1"/>
    <col min="1041" max="1041" width="4.375" style="349" bestFit="1" customWidth="1"/>
    <col min="1042" max="1042" width="4.25" style="349" bestFit="1" customWidth="1"/>
    <col min="1043" max="1043" width="4.875" style="349" bestFit="1" customWidth="1"/>
    <col min="1044" max="1044" width="10.125" style="349" bestFit="1" customWidth="1"/>
    <col min="1045" max="1048" width="6.75" style="349" bestFit="1" customWidth="1"/>
    <col min="1049" max="1049" width="5.125" style="349" bestFit="1" customWidth="1"/>
    <col min="1050" max="1050" width="0" style="349" hidden="1" customWidth="1"/>
    <col min="1051" max="1051" width="5.125" style="349" bestFit="1" customWidth="1"/>
    <col min="1052" max="1054" width="5.875" style="349" bestFit="1" customWidth="1"/>
    <col min="1055" max="1055" width="6.625" style="349" bestFit="1" customWidth="1"/>
    <col min="1056" max="1056" width="11.875" style="349" bestFit="1" customWidth="1"/>
    <col min="1057" max="1057" width="10.625" style="349" bestFit="1" customWidth="1"/>
    <col min="1058" max="1058" width="5.5" style="349" bestFit="1" customWidth="1"/>
    <col min="1059" max="1059" width="10.25" style="349" bestFit="1" customWidth="1"/>
    <col min="1060" max="1060" width="6.375" style="349" bestFit="1" customWidth="1"/>
    <col min="1061" max="1061" width="1.75" style="349" bestFit="1" customWidth="1"/>
    <col min="1062" max="1062" width="6.875" style="349" bestFit="1" customWidth="1"/>
    <col min="1063" max="1063" width="1.75" style="349" bestFit="1" customWidth="1"/>
    <col min="1064" max="1064" width="7.375" style="349" bestFit="1" customWidth="1"/>
    <col min="1065" max="1065" width="5.125" style="349" bestFit="1" customWidth="1"/>
    <col min="1066" max="1066" width="10.125" style="349" bestFit="1" customWidth="1"/>
    <col min="1067" max="1067" width="21" style="349" bestFit="1" customWidth="1"/>
    <col min="1068" max="1068" width="12.625" style="349" bestFit="1" customWidth="1"/>
    <col min="1069" max="1070" width="9" style="349"/>
    <col min="1071" max="1071" width="15.875" style="349" bestFit="1" customWidth="1"/>
    <col min="1072" max="1280" width="9" style="349"/>
    <col min="1281" max="1281" width="15.25" style="349" bestFit="1" customWidth="1"/>
    <col min="1282" max="1282" width="23.125" style="349" bestFit="1" customWidth="1"/>
    <col min="1283" max="1283" width="8.25" style="349" bestFit="1" customWidth="1"/>
    <col min="1284" max="1284" width="43.5" style="349" bestFit="1" customWidth="1"/>
    <col min="1285" max="1286" width="5.75" style="349" customWidth="1"/>
    <col min="1287" max="1287" width="9.625" style="349" bestFit="1" customWidth="1"/>
    <col min="1288" max="1289" width="4.625" style="349" bestFit="1" customWidth="1"/>
    <col min="1290" max="1290" width="5.375" style="349" bestFit="1" customWidth="1"/>
    <col min="1291" max="1291" width="4.875" style="349" bestFit="1" customWidth="1"/>
    <col min="1292" max="1292" width="5" style="349" bestFit="1" customWidth="1"/>
    <col min="1293" max="1296" width="4.125" style="349" bestFit="1" customWidth="1"/>
    <col min="1297" max="1297" width="4.375" style="349" bestFit="1" customWidth="1"/>
    <col min="1298" max="1298" width="4.25" style="349" bestFit="1" customWidth="1"/>
    <col min="1299" max="1299" width="4.875" style="349" bestFit="1" customWidth="1"/>
    <col min="1300" max="1300" width="10.125" style="349" bestFit="1" customWidth="1"/>
    <col min="1301" max="1304" width="6.75" style="349" bestFit="1" customWidth="1"/>
    <col min="1305" max="1305" width="5.125" style="349" bestFit="1" customWidth="1"/>
    <col min="1306" max="1306" width="0" style="349" hidden="1" customWidth="1"/>
    <col min="1307" max="1307" width="5.125" style="349" bestFit="1" customWidth="1"/>
    <col min="1308" max="1310" width="5.875" style="349" bestFit="1" customWidth="1"/>
    <col min="1311" max="1311" width="6.625" style="349" bestFit="1" customWidth="1"/>
    <col min="1312" max="1312" width="11.875" style="349" bestFit="1" customWidth="1"/>
    <col min="1313" max="1313" width="10.625" style="349" bestFit="1" customWidth="1"/>
    <col min="1314" max="1314" width="5.5" style="349" bestFit="1" customWidth="1"/>
    <col min="1315" max="1315" width="10.25" style="349" bestFit="1" customWidth="1"/>
    <col min="1316" max="1316" width="6.375" style="349" bestFit="1" customWidth="1"/>
    <col min="1317" max="1317" width="1.75" style="349" bestFit="1" customWidth="1"/>
    <col min="1318" max="1318" width="6.875" style="349" bestFit="1" customWidth="1"/>
    <col min="1319" max="1319" width="1.75" style="349" bestFit="1" customWidth="1"/>
    <col min="1320" max="1320" width="7.375" style="349" bestFit="1" customWidth="1"/>
    <col min="1321" max="1321" width="5.125" style="349" bestFit="1" customWidth="1"/>
    <col min="1322" max="1322" width="10.125" style="349" bestFit="1" customWidth="1"/>
    <col min="1323" max="1323" width="21" style="349" bestFit="1" customWidth="1"/>
    <col min="1324" max="1324" width="12.625" style="349" bestFit="1" customWidth="1"/>
    <col min="1325" max="1326" width="9" style="349"/>
    <col min="1327" max="1327" width="15.875" style="349" bestFit="1" customWidth="1"/>
    <col min="1328" max="1536" width="9" style="349"/>
    <col min="1537" max="1537" width="15.25" style="349" bestFit="1" customWidth="1"/>
    <col min="1538" max="1538" width="23.125" style="349" bestFit="1" customWidth="1"/>
    <col min="1539" max="1539" width="8.25" style="349" bestFit="1" customWidth="1"/>
    <col min="1540" max="1540" width="43.5" style="349" bestFit="1" customWidth="1"/>
    <col min="1541" max="1542" width="5.75" style="349" customWidth="1"/>
    <col min="1543" max="1543" width="9.625" style="349" bestFit="1" customWidth="1"/>
    <col min="1544" max="1545" width="4.625" style="349" bestFit="1" customWidth="1"/>
    <col min="1546" max="1546" width="5.375" style="349" bestFit="1" customWidth="1"/>
    <col min="1547" max="1547" width="4.875" style="349" bestFit="1" customWidth="1"/>
    <col min="1548" max="1548" width="5" style="349" bestFit="1" customWidth="1"/>
    <col min="1549" max="1552" width="4.125" style="349" bestFit="1" customWidth="1"/>
    <col min="1553" max="1553" width="4.375" style="349" bestFit="1" customWidth="1"/>
    <col min="1554" max="1554" width="4.25" style="349" bestFit="1" customWidth="1"/>
    <col min="1555" max="1555" width="4.875" style="349" bestFit="1" customWidth="1"/>
    <col min="1556" max="1556" width="10.125" style="349" bestFit="1" customWidth="1"/>
    <col min="1557" max="1560" width="6.75" style="349" bestFit="1" customWidth="1"/>
    <col min="1561" max="1561" width="5.125" style="349" bestFit="1" customWidth="1"/>
    <col min="1562" max="1562" width="0" style="349" hidden="1" customWidth="1"/>
    <col min="1563" max="1563" width="5.125" style="349" bestFit="1" customWidth="1"/>
    <col min="1564" max="1566" width="5.875" style="349" bestFit="1" customWidth="1"/>
    <col min="1567" max="1567" width="6.625" style="349" bestFit="1" customWidth="1"/>
    <col min="1568" max="1568" width="11.875" style="349" bestFit="1" customWidth="1"/>
    <col min="1569" max="1569" width="10.625" style="349" bestFit="1" customWidth="1"/>
    <col min="1570" max="1570" width="5.5" style="349" bestFit="1" customWidth="1"/>
    <col min="1571" max="1571" width="10.25" style="349" bestFit="1" customWidth="1"/>
    <col min="1572" max="1572" width="6.375" style="349" bestFit="1" customWidth="1"/>
    <col min="1573" max="1573" width="1.75" style="349" bestFit="1" customWidth="1"/>
    <col min="1574" max="1574" width="6.875" style="349" bestFit="1" customWidth="1"/>
    <col min="1575" max="1575" width="1.75" style="349" bestFit="1" customWidth="1"/>
    <col min="1576" max="1576" width="7.375" style="349" bestFit="1" customWidth="1"/>
    <col min="1577" max="1577" width="5.125" style="349" bestFit="1" customWidth="1"/>
    <col min="1578" max="1578" width="10.125" style="349" bestFit="1" customWidth="1"/>
    <col min="1579" max="1579" width="21" style="349" bestFit="1" customWidth="1"/>
    <col min="1580" max="1580" width="12.625" style="349" bestFit="1" customWidth="1"/>
    <col min="1581" max="1582" width="9" style="349"/>
    <col min="1583" max="1583" width="15.875" style="349" bestFit="1" customWidth="1"/>
    <col min="1584" max="1792" width="9" style="349"/>
    <col min="1793" max="1793" width="15.25" style="349" bestFit="1" customWidth="1"/>
    <col min="1794" max="1794" width="23.125" style="349" bestFit="1" customWidth="1"/>
    <col min="1795" max="1795" width="8.25" style="349" bestFit="1" customWidth="1"/>
    <col min="1796" max="1796" width="43.5" style="349" bestFit="1" customWidth="1"/>
    <col min="1797" max="1798" width="5.75" style="349" customWidth="1"/>
    <col min="1799" max="1799" width="9.625" style="349" bestFit="1" customWidth="1"/>
    <col min="1800" max="1801" width="4.625" style="349" bestFit="1" customWidth="1"/>
    <col min="1802" max="1802" width="5.375" style="349" bestFit="1" customWidth="1"/>
    <col min="1803" max="1803" width="4.875" style="349" bestFit="1" customWidth="1"/>
    <col min="1804" max="1804" width="5" style="349" bestFit="1" customWidth="1"/>
    <col min="1805" max="1808" width="4.125" style="349" bestFit="1" customWidth="1"/>
    <col min="1809" max="1809" width="4.375" style="349" bestFit="1" customWidth="1"/>
    <col min="1810" max="1810" width="4.25" style="349" bestFit="1" customWidth="1"/>
    <col min="1811" max="1811" width="4.875" style="349" bestFit="1" customWidth="1"/>
    <col min="1812" max="1812" width="10.125" style="349" bestFit="1" customWidth="1"/>
    <col min="1813" max="1816" width="6.75" style="349" bestFit="1" customWidth="1"/>
    <col min="1817" max="1817" width="5.125" style="349" bestFit="1" customWidth="1"/>
    <col min="1818" max="1818" width="0" style="349" hidden="1" customWidth="1"/>
    <col min="1819" max="1819" width="5.125" style="349" bestFit="1" customWidth="1"/>
    <col min="1820" max="1822" width="5.875" style="349" bestFit="1" customWidth="1"/>
    <col min="1823" max="1823" width="6.625" style="349" bestFit="1" customWidth="1"/>
    <col min="1824" max="1824" width="11.875" style="349" bestFit="1" customWidth="1"/>
    <col min="1825" max="1825" width="10.625" style="349" bestFit="1" customWidth="1"/>
    <col min="1826" max="1826" width="5.5" style="349" bestFit="1" customWidth="1"/>
    <col min="1827" max="1827" width="10.25" style="349" bestFit="1" customWidth="1"/>
    <col min="1828" max="1828" width="6.375" style="349" bestFit="1" customWidth="1"/>
    <col min="1829" max="1829" width="1.75" style="349" bestFit="1" customWidth="1"/>
    <col min="1830" max="1830" width="6.875" style="349" bestFit="1" customWidth="1"/>
    <col min="1831" max="1831" width="1.75" style="349" bestFit="1" customWidth="1"/>
    <col min="1832" max="1832" width="7.375" style="349" bestFit="1" customWidth="1"/>
    <col min="1833" max="1833" width="5.125" style="349" bestFit="1" customWidth="1"/>
    <col min="1834" max="1834" width="10.125" style="349" bestFit="1" customWidth="1"/>
    <col min="1835" max="1835" width="21" style="349" bestFit="1" customWidth="1"/>
    <col min="1836" max="1836" width="12.625" style="349" bestFit="1" customWidth="1"/>
    <col min="1837" max="1838" width="9" style="349"/>
    <col min="1839" max="1839" width="15.875" style="349" bestFit="1" customWidth="1"/>
    <col min="1840" max="2048" width="9" style="349"/>
    <col min="2049" max="2049" width="15.25" style="349" bestFit="1" customWidth="1"/>
    <col min="2050" max="2050" width="23.125" style="349" bestFit="1" customWidth="1"/>
    <col min="2051" max="2051" width="8.25" style="349" bestFit="1" customWidth="1"/>
    <col min="2052" max="2052" width="43.5" style="349" bestFit="1" customWidth="1"/>
    <col min="2053" max="2054" width="5.75" style="349" customWidth="1"/>
    <col min="2055" max="2055" width="9.625" style="349" bestFit="1" customWidth="1"/>
    <col min="2056" max="2057" width="4.625" style="349" bestFit="1" customWidth="1"/>
    <col min="2058" max="2058" width="5.375" style="349" bestFit="1" customWidth="1"/>
    <col min="2059" max="2059" width="4.875" style="349" bestFit="1" customWidth="1"/>
    <col min="2060" max="2060" width="5" style="349" bestFit="1" customWidth="1"/>
    <col min="2061" max="2064" width="4.125" style="349" bestFit="1" customWidth="1"/>
    <col min="2065" max="2065" width="4.375" style="349" bestFit="1" customWidth="1"/>
    <col min="2066" max="2066" width="4.25" style="349" bestFit="1" customWidth="1"/>
    <col min="2067" max="2067" width="4.875" style="349" bestFit="1" customWidth="1"/>
    <col min="2068" max="2068" width="10.125" style="349" bestFit="1" customWidth="1"/>
    <col min="2069" max="2072" width="6.75" style="349" bestFit="1" customWidth="1"/>
    <col min="2073" max="2073" width="5.125" style="349" bestFit="1" customWidth="1"/>
    <col min="2074" max="2074" width="0" style="349" hidden="1" customWidth="1"/>
    <col min="2075" max="2075" width="5.125" style="349" bestFit="1" customWidth="1"/>
    <col min="2076" max="2078" width="5.875" style="349" bestFit="1" customWidth="1"/>
    <col min="2079" max="2079" width="6.625" style="349" bestFit="1" customWidth="1"/>
    <col min="2080" max="2080" width="11.875" style="349" bestFit="1" customWidth="1"/>
    <col min="2081" max="2081" width="10.625" style="349" bestFit="1" customWidth="1"/>
    <col min="2082" max="2082" width="5.5" style="349" bestFit="1" customWidth="1"/>
    <col min="2083" max="2083" width="10.25" style="349" bestFit="1" customWidth="1"/>
    <col min="2084" max="2084" width="6.375" style="349" bestFit="1" customWidth="1"/>
    <col min="2085" max="2085" width="1.75" style="349" bestFit="1" customWidth="1"/>
    <col min="2086" max="2086" width="6.875" style="349" bestFit="1" customWidth="1"/>
    <col min="2087" max="2087" width="1.75" style="349" bestFit="1" customWidth="1"/>
    <col min="2088" max="2088" width="7.375" style="349" bestFit="1" customWidth="1"/>
    <col min="2089" max="2089" width="5.125" style="349" bestFit="1" customWidth="1"/>
    <col min="2090" max="2090" width="10.125" style="349" bestFit="1" customWidth="1"/>
    <col min="2091" max="2091" width="21" style="349" bestFit="1" customWidth="1"/>
    <col min="2092" max="2092" width="12.625" style="349" bestFit="1" customWidth="1"/>
    <col min="2093" max="2094" width="9" style="349"/>
    <col min="2095" max="2095" width="15.875" style="349" bestFit="1" customWidth="1"/>
    <col min="2096" max="2304" width="9" style="349"/>
    <col min="2305" max="2305" width="15.25" style="349" bestFit="1" customWidth="1"/>
    <col min="2306" max="2306" width="23.125" style="349" bestFit="1" customWidth="1"/>
    <col min="2307" max="2307" width="8.25" style="349" bestFit="1" customWidth="1"/>
    <col min="2308" max="2308" width="43.5" style="349" bestFit="1" customWidth="1"/>
    <col min="2309" max="2310" width="5.75" style="349" customWidth="1"/>
    <col min="2311" max="2311" width="9.625" style="349" bestFit="1" customWidth="1"/>
    <col min="2312" max="2313" width="4.625" style="349" bestFit="1" customWidth="1"/>
    <col min="2314" max="2314" width="5.375" style="349" bestFit="1" customWidth="1"/>
    <col min="2315" max="2315" width="4.875" style="349" bestFit="1" customWidth="1"/>
    <col min="2316" max="2316" width="5" style="349" bestFit="1" customWidth="1"/>
    <col min="2317" max="2320" width="4.125" style="349" bestFit="1" customWidth="1"/>
    <col min="2321" max="2321" width="4.375" style="349" bestFit="1" customWidth="1"/>
    <col min="2322" max="2322" width="4.25" style="349" bestFit="1" customWidth="1"/>
    <col min="2323" max="2323" width="4.875" style="349" bestFit="1" customWidth="1"/>
    <col min="2324" max="2324" width="10.125" style="349" bestFit="1" customWidth="1"/>
    <col min="2325" max="2328" width="6.75" style="349" bestFit="1" customWidth="1"/>
    <col min="2329" max="2329" width="5.125" style="349" bestFit="1" customWidth="1"/>
    <col min="2330" max="2330" width="0" style="349" hidden="1" customWidth="1"/>
    <col min="2331" max="2331" width="5.125" style="349" bestFit="1" customWidth="1"/>
    <col min="2332" max="2334" width="5.875" style="349" bestFit="1" customWidth="1"/>
    <col min="2335" max="2335" width="6.625" style="349" bestFit="1" customWidth="1"/>
    <col min="2336" max="2336" width="11.875" style="349" bestFit="1" customWidth="1"/>
    <col min="2337" max="2337" width="10.625" style="349" bestFit="1" customWidth="1"/>
    <col min="2338" max="2338" width="5.5" style="349" bestFit="1" customWidth="1"/>
    <col min="2339" max="2339" width="10.25" style="349" bestFit="1" customWidth="1"/>
    <col min="2340" max="2340" width="6.375" style="349" bestFit="1" customWidth="1"/>
    <col min="2341" max="2341" width="1.75" style="349" bestFit="1" customWidth="1"/>
    <col min="2342" max="2342" width="6.875" style="349" bestFit="1" customWidth="1"/>
    <col min="2343" max="2343" width="1.75" style="349" bestFit="1" customWidth="1"/>
    <col min="2344" max="2344" width="7.375" style="349" bestFit="1" customWidth="1"/>
    <col min="2345" max="2345" width="5.125" style="349" bestFit="1" customWidth="1"/>
    <col min="2346" max="2346" width="10.125" style="349" bestFit="1" customWidth="1"/>
    <col min="2347" max="2347" width="21" style="349" bestFit="1" customWidth="1"/>
    <col min="2348" max="2348" width="12.625" style="349" bestFit="1" customWidth="1"/>
    <col min="2349" max="2350" width="9" style="349"/>
    <col min="2351" max="2351" width="15.875" style="349" bestFit="1" customWidth="1"/>
    <col min="2352" max="2560" width="9" style="349"/>
    <col min="2561" max="2561" width="15.25" style="349" bestFit="1" customWidth="1"/>
    <col min="2562" max="2562" width="23.125" style="349" bestFit="1" customWidth="1"/>
    <col min="2563" max="2563" width="8.25" style="349" bestFit="1" customWidth="1"/>
    <col min="2564" max="2564" width="43.5" style="349" bestFit="1" customWidth="1"/>
    <col min="2565" max="2566" width="5.75" style="349" customWidth="1"/>
    <col min="2567" max="2567" width="9.625" style="349" bestFit="1" customWidth="1"/>
    <col min="2568" max="2569" width="4.625" style="349" bestFit="1" customWidth="1"/>
    <col min="2570" max="2570" width="5.375" style="349" bestFit="1" customWidth="1"/>
    <col min="2571" max="2571" width="4.875" style="349" bestFit="1" customWidth="1"/>
    <col min="2572" max="2572" width="5" style="349" bestFit="1" customWidth="1"/>
    <col min="2573" max="2576" width="4.125" style="349" bestFit="1" customWidth="1"/>
    <col min="2577" max="2577" width="4.375" style="349" bestFit="1" customWidth="1"/>
    <col min="2578" max="2578" width="4.25" style="349" bestFit="1" customWidth="1"/>
    <col min="2579" max="2579" width="4.875" style="349" bestFit="1" customWidth="1"/>
    <col min="2580" max="2580" width="10.125" style="349" bestFit="1" customWidth="1"/>
    <col min="2581" max="2584" width="6.75" style="349" bestFit="1" customWidth="1"/>
    <col min="2585" max="2585" width="5.125" style="349" bestFit="1" customWidth="1"/>
    <col min="2586" max="2586" width="0" style="349" hidden="1" customWidth="1"/>
    <col min="2587" max="2587" width="5.125" style="349" bestFit="1" customWidth="1"/>
    <col min="2588" max="2590" width="5.875" style="349" bestFit="1" customWidth="1"/>
    <col min="2591" max="2591" width="6.625" style="349" bestFit="1" customWidth="1"/>
    <col min="2592" max="2592" width="11.875" style="349" bestFit="1" customWidth="1"/>
    <col min="2593" max="2593" width="10.625" style="349" bestFit="1" customWidth="1"/>
    <col min="2594" max="2594" width="5.5" style="349" bestFit="1" customWidth="1"/>
    <col min="2595" max="2595" width="10.25" style="349" bestFit="1" customWidth="1"/>
    <col min="2596" max="2596" width="6.375" style="349" bestFit="1" customWidth="1"/>
    <col min="2597" max="2597" width="1.75" style="349" bestFit="1" customWidth="1"/>
    <col min="2598" max="2598" width="6.875" style="349" bestFit="1" customWidth="1"/>
    <col min="2599" max="2599" width="1.75" style="349" bestFit="1" customWidth="1"/>
    <col min="2600" max="2600" width="7.375" style="349" bestFit="1" customWidth="1"/>
    <col min="2601" max="2601" width="5.125" style="349" bestFit="1" customWidth="1"/>
    <col min="2602" max="2602" width="10.125" style="349" bestFit="1" customWidth="1"/>
    <col min="2603" max="2603" width="21" style="349" bestFit="1" customWidth="1"/>
    <col min="2604" max="2604" width="12.625" style="349" bestFit="1" customWidth="1"/>
    <col min="2605" max="2606" width="9" style="349"/>
    <col min="2607" max="2607" width="15.875" style="349" bestFit="1" customWidth="1"/>
    <col min="2608" max="2816" width="9" style="349"/>
    <col min="2817" max="2817" width="15.25" style="349" bestFit="1" customWidth="1"/>
    <col min="2818" max="2818" width="23.125" style="349" bestFit="1" customWidth="1"/>
    <col min="2819" max="2819" width="8.25" style="349" bestFit="1" customWidth="1"/>
    <col min="2820" max="2820" width="43.5" style="349" bestFit="1" customWidth="1"/>
    <col min="2821" max="2822" width="5.75" style="349" customWidth="1"/>
    <col min="2823" max="2823" width="9.625" style="349" bestFit="1" customWidth="1"/>
    <col min="2824" max="2825" width="4.625" style="349" bestFit="1" customWidth="1"/>
    <col min="2826" max="2826" width="5.375" style="349" bestFit="1" customWidth="1"/>
    <col min="2827" max="2827" width="4.875" style="349" bestFit="1" customWidth="1"/>
    <col min="2828" max="2828" width="5" style="349" bestFit="1" customWidth="1"/>
    <col min="2829" max="2832" width="4.125" style="349" bestFit="1" customWidth="1"/>
    <col min="2833" max="2833" width="4.375" style="349" bestFit="1" customWidth="1"/>
    <col min="2834" max="2834" width="4.25" style="349" bestFit="1" customWidth="1"/>
    <col min="2835" max="2835" width="4.875" style="349" bestFit="1" customWidth="1"/>
    <col min="2836" max="2836" width="10.125" style="349" bestFit="1" customWidth="1"/>
    <col min="2837" max="2840" width="6.75" style="349" bestFit="1" customWidth="1"/>
    <col min="2841" max="2841" width="5.125" style="349" bestFit="1" customWidth="1"/>
    <col min="2842" max="2842" width="0" style="349" hidden="1" customWidth="1"/>
    <col min="2843" max="2843" width="5.125" style="349" bestFit="1" customWidth="1"/>
    <col min="2844" max="2846" width="5.875" style="349" bestFit="1" customWidth="1"/>
    <col min="2847" max="2847" width="6.625" style="349" bestFit="1" customWidth="1"/>
    <col min="2848" max="2848" width="11.875" style="349" bestFit="1" customWidth="1"/>
    <col min="2849" max="2849" width="10.625" style="349" bestFit="1" customWidth="1"/>
    <col min="2850" max="2850" width="5.5" style="349" bestFit="1" customWidth="1"/>
    <col min="2851" max="2851" width="10.25" style="349" bestFit="1" customWidth="1"/>
    <col min="2852" max="2852" width="6.375" style="349" bestFit="1" customWidth="1"/>
    <col min="2853" max="2853" width="1.75" style="349" bestFit="1" customWidth="1"/>
    <col min="2854" max="2854" width="6.875" style="349" bestFit="1" customWidth="1"/>
    <col min="2855" max="2855" width="1.75" style="349" bestFit="1" customWidth="1"/>
    <col min="2856" max="2856" width="7.375" style="349" bestFit="1" customWidth="1"/>
    <col min="2857" max="2857" width="5.125" style="349" bestFit="1" customWidth="1"/>
    <col min="2858" max="2858" width="10.125" style="349" bestFit="1" customWidth="1"/>
    <col min="2859" max="2859" width="21" style="349" bestFit="1" customWidth="1"/>
    <col min="2860" max="2860" width="12.625" style="349" bestFit="1" customWidth="1"/>
    <col min="2861" max="2862" width="9" style="349"/>
    <col min="2863" max="2863" width="15.875" style="349" bestFit="1" customWidth="1"/>
    <col min="2864" max="3072" width="9" style="349"/>
    <col min="3073" max="3073" width="15.25" style="349" bestFit="1" customWidth="1"/>
    <col min="3074" max="3074" width="23.125" style="349" bestFit="1" customWidth="1"/>
    <col min="3075" max="3075" width="8.25" style="349" bestFit="1" customWidth="1"/>
    <col min="3076" max="3076" width="43.5" style="349" bestFit="1" customWidth="1"/>
    <col min="3077" max="3078" width="5.75" style="349" customWidth="1"/>
    <col min="3079" max="3079" width="9.625" style="349" bestFit="1" customWidth="1"/>
    <col min="3080" max="3081" width="4.625" style="349" bestFit="1" customWidth="1"/>
    <col min="3082" max="3082" width="5.375" style="349" bestFit="1" customWidth="1"/>
    <col min="3083" max="3083" width="4.875" style="349" bestFit="1" customWidth="1"/>
    <col min="3084" max="3084" width="5" style="349" bestFit="1" customWidth="1"/>
    <col min="3085" max="3088" width="4.125" style="349" bestFit="1" customWidth="1"/>
    <col min="3089" max="3089" width="4.375" style="349" bestFit="1" customWidth="1"/>
    <col min="3090" max="3090" width="4.25" style="349" bestFit="1" customWidth="1"/>
    <col min="3091" max="3091" width="4.875" style="349" bestFit="1" customWidth="1"/>
    <col min="3092" max="3092" width="10.125" style="349" bestFit="1" customWidth="1"/>
    <col min="3093" max="3096" width="6.75" style="349" bestFit="1" customWidth="1"/>
    <col min="3097" max="3097" width="5.125" style="349" bestFit="1" customWidth="1"/>
    <col min="3098" max="3098" width="0" style="349" hidden="1" customWidth="1"/>
    <col min="3099" max="3099" width="5.125" style="349" bestFit="1" customWidth="1"/>
    <col min="3100" max="3102" width="5.875" style="349" bestFit="1" customWidth="1"/>
    <col min="3103" max="3103" width="6.625" style="349" bestFit="1" customWidth="1"/>
    <col min="3104" max="3104" width="11.875" style="349" bestFit="1" customWidth="1"/>
    <col min="3105" max="3105" width="10.625" style="349" bestFit="1" customWidth="1"/>
    <col min="3106" max="3106" width="5.5" style="349" bestFit="1" customWidth="1"/>
    <col min="3107" max="3107" width="10.25" style="349" bestFit="1" customWidth="1"/>
    <col min="3108" max="3108" width="6.375" style="349" bestFit="1" customWidth="1"/>
    <col min="3109" max="3109" width="1.75" style="349" bestFit="1" customWidth="1"/>
    <col min="3110" max="3110" width="6.875" style="349" bestFit="1" customWidth="1"/>
    <col min="3111" max="3111" width="1.75" style="349" bestFit="1" customWidth="1"/>
    <col min="3112" max="3112" width="7.375" style="349" bestFit="1" customWidth="1"/>
    <col min="3113" max="3113" width="5.125" style="349" bestFit="1" customWidth="1"/>
    <col min="3114" max="3114" width="10.125" style="349" bestFit="1" customWidth="1"/>
    <col min="3115" max="3115" width="21" style="349" bestFit="1" customWidth="1"/>
    <col min="3116" max="3116" width="12.625" style="349" bestFit="1" customWidth="1"/>
    <col min="3117" max="3118" width="9" style="349"/>
    <col min="3119" max="3119" width="15.875" style="349" bestFit="1" customWidth="1"/>
    <col min="3120" max="3328" width="9" style="349"/>
    <col min="3329" max="3329" width="15.25" style="349" bestFit="1" customWidth="1"/>
    <col min="3330" max="3330" width="23.125" style="349" bestFit="1" customWidth="1"/>
    <col min="3331" max="3331" width="8.25" style="349" bestFit="1" customWidth="1"/>
    <col min="3332" max="3332" width="43.5" style="349" bestFit="1" customWidth="1"/>
    <col min="3333" max="3334" width="5.75" style="349" customWidth="1"/>
    <col min="3335" max="3335" width="9.625" style="349" bestFit="1" customWidth="1"/>
    <col min="3336" max="3337" width="4.625" style="349" bestFit="1" customWidth="1"/>
    <col min="3338" max="3338" width="5.375" style="349" bestFit="1" customWidth="1"/>
    <col min="3339" max="3339" width="4.875" style="349" bestFit="1" customWidth="1"/>
    <col min="3340" max="3340" width="5" style="349" bestFit="1" customWidth="1"/>
    <col min="3341" max="3344" width="4.125" style="349" bestFit="1" customWidth="1"/>
    <col min="3345" max="3345" width="4.375" style="349" bestFit="1" customWidth="1"/>
    <col min="3346" max="3346" width="4.25" style="349" bestFit="1" customWidth="1"/>
    <col min="3347" max="3347" width="4.875" style="349" bestFit="1" customWidth="1"/>
    <col min="3348" max="3348" width="10.125" style="349" bestFit="1" customWidth="1"/>
    <col min="3349" max="3352" width="6.75" style="349" bestFit="1" customWidth="1"/>
    <col min="3353" max="3353" width="5.125" style="349" bestFit="1" customWidth="1"/>
    <col min="3354" max="3354" width="0" style="349" hidden="1" customWidth="1"/>
    <col min="3355" max="3355" width="5.125" style="349" bestFit="1" customWidth="1"/>
    <col min="3356" max="3358" width="5.875" style="349" bestFit="1" customWidth="1"/>
    <col min="3359" max="3359" width="6.625" style="349" bestFit="1" customWidth="1"/>
    <col min="3360" max="3360" width="11.875" style="349" bestFit="1" customWidth="1"/>
    <col min="3361" max="3361" width="10.625" style="349" bestFit="1" customWidth="1"/>
    <col min="3362" max="3362" width="5.5" style="349" bestFit="1" customWidth="1"/>
    <col min="3363" max="3363" width="10.25" style="349" bestFit="1" customWidth="1"/>
    <col min="3364" max="3364" width="6.375" style="349" bestFit="1" customWidth="1"/>
    <col min="3365" max="3365" width="1.75" style="349" bestFit="1" customWidth="1"/>
    <col min="3366" max="3366" width="6.875" style="349" bestFit="1" customWidth="1"/>
    <col min="3367" max="3367" width="1.75" style="349" bestFit="1" customWidth="1"/>
    <col min="3368" max="3368" width="7.375" style="349" bestFit="1" customWidth="1"/>
    <col min="3369" max="3369" width="5.125" style="349" bestFit="1" customWidth="1"/>
    <col min="3370" max="3370" width="10.125" style="349" bestFit="1" customWidth="1"/>
    <col min="3371" max="3371" width="21" style="349" bestFit="1" customWidth="1"/>
    <col min="3372" max="3372" width="12.625" style="349" bestFit="1" customWidth="1"/>
    <col min="3373" max="3374" width="9" style="349"/>
    <col min="3375" max="3375" width="15.875" style="349" bestFit="1" customWidth="1"/>
    <col min="3376" max="3584" width="9" style="349"/>
    <col min="3585" max="3585" width="15.25" style="349" bestFit="1" customWidth="1"/>
    <col min="3586" max="3586" width="23.125" style="349" bestFit="1" customWidth="1"/>
    <col min="3587" max="3587" width="8.25" style="349" bestFit="1" customWidth="1"/>
    <col min="3588" max="3588" width="43.5" style="349" bestFit="1" customWidth="1"/>
    <col min="3589" max="3590" width="5.75" style="349" customWidth="1"/>
    <col min="3591" max="3591" width="9.625" style="349" bestFit="1" customWidth="1"/>
    <col min="3592" max="3593" width="4.625" style="349" bestFit="1" customWidth="1"/>
    <col min="3594" max="3594" width="5.375" style="349" bestFit="1" customWidth="1"/>
    <col min="3595" max="3595" width="4.875" style="349" bestFit="1" customWidth="1"/>
    <col min="3596" max="3596" width="5" style="349" bestFit="1" customWidth="1"/>
    <col min="3597" max="3600" width="4.125" style="349" bestFit="1" customWidth="1"/>
    <col min="3601" max="3601" width="4.375" style="349" bestFit="1" customWidth="1"/>
    <col min="3602" max="3602" width="4.25" style="349" bestFit="1" customWidth="1"/>
    <col min="3603" max="3603" width="4.875" style="349" bestFit="1" customWidth="1"/>
    <col min="3604" max="3604" width="10.125" style="349" bestFit="1" customWidth="1"/>
    <col min="3605" max="3608" width="6.75" style="349" bestFit="1" customWidth="1"/>
    <col min="3609" max="3609" width="5.125" style="349" bestFit="1" customWidth="1"/>
    <col min="3610" max="3610" width="0" style="349" hidden="1" customWidth="1"/>
    <col min="3611" max="3611" width="5.125" style="349" bestFit="1" customWidth="1"/>
    <col min="3612" max="3614" width="5.875" style="349" bestFit="1" customWidth="1"/>
    <col min="3615" max="3615" width="6.625" style="349" bestFit="1" customWidth="1"/>
    <col min="3616" max="3616" width="11.875" style="349" bestFit="1" customWidth="1"/>
    <col min="3617" max="3617" width="10.625" style="349" bestFit="1" customWidth="1"/>
    <col min="3618" max="3618" width="5.5" style="349" bestFit="1" customWidth="1"/>
    <col min="3619" max="3619" width="10.25" style="349" bestFit="1" customWidth="1"/>
    <col min="3620" max="3620" width="6.375" style="349" bestFit="1" customWidth="1"/>
    <col min="3621" max="3621" width="1.75" style="349" bestFit="1" customWidth="1"/>
    <col min="3622" max="3622" width="6.875" style="349" bestFit="1" customWidth="1"/>
    <col min="3623" max="3623" width="1.75" style="349" bestFit="1" customWidth="1"/>
    <col min="3624" max="3624" width="7.375" style="349" bestFit="1" customWidth="1"/>
    <col min="3625" max="3625" width="5.125" style="349" bestFit="1" customWidth="1"/>
    <col min="3626" max="3626" width="10.125" style="349" bestFit="1" customWidth="1"/>
    <col min="3627" max="3627" width="21" style="349" bestFit="1" customWidth="1"/>
    <col min="3628" max="3628" width="12.625" style="349" bestFit="1" customWidth="1"/>
    <col min="3629" max="3630" width="9" style="349"/>
    <col min="3631" max="3631" width="15.875" style="349" bestFit="1" customWidth="1"/>
    <col min="3632" max="3840" width="9" style="349"/>
    <col min="3841" max="3841" width="15.25" style="349" bestFit="1" customWidth="1"/>
    <col min="3842" max="3842" width="23.125" style="349" bestFit="1" customWidth="1"/>
    <col min="3843" max="3843" width="8.25" style="349" bestFit="1" customWidth="1"/>
    <col min="3844" max="3844" width="43.5" style="349" bestFit="1" customWidth="1"/>
    <col min="3845" max="3846" width="5.75" style="349" customWidth="1"/>
    <col min="3847" max="3847" width="9.625" style="349" bestFit="1" customWidth="1"/>
    <col min="3848" max="3849" width="4.625" style="349" bestFit="1" customWidth="1"/>
    <col min="3850" max="3850" width="5.375" style="349" bestFit="1" customWidth="1"/>
    <col min="3851" max="3851" width="4.875" style="349" bestFit="1" customWidth="1"/>
    <col min="3852" max="3852" width="5" style="349" bestFit="1" customWidth="1"/>
    <col min="3853" max="3856" width="4.125" style="349" bestFit="1" customWidth="1"/>
    <col min="3857" max="3857" width="4.375" style="349" bestFit="1" customWidth="1"/>
    <col min="3858" max="3858" width="4.25" style="349" bestFit="1" customWidth="1"/>
    <col min="3859" max="3859" width="4.875" style="349" bestFit="1" customWidth="1"/>
    <col min="3860" max="3860" width="10.125" style="349" bestFit="1" customWidth="1"/>
    <col min="3861" max="3864" width="6.75" style="349" bestFit="1" customWidth="1"/>
    <col min="3865" max="3865" width="5.125" style="349" bestFit="1" customWidth="1"/>
    <col min="3866" max="3866" width="0" style="349" hidden="1" customWidth="1"/>
    <col min="3867" max="3867" width="5.125" style="349" bestFit="1" customWidth="1"/>
    <col min="3868" max="3870" width="5.875" style="349" bestFit="1" customWidth="1"/>
    <col min="3871" max="3871" width="6.625" style="349" bestFit="1" customWidth="1"/>
    <col min="3872" max="3872" width="11.875" style="349" bestFit="1" customWidth="1"/>
    <col min="3873" max="3873" width="10.625" style="349" bestFit="1" customWidth="1"/>
    <col min="3874" max="3874" width="5.5" style="349" bestFit="1" customWidth="1"/>
    <col min="3875" max="3875" width="10.25" style="349" bestFit="1" customWidth="1"/>
    <col min="3876" max="3876" width="6.375" style="349" bestFit="1" customWidth="1"/>
    <col min="3877" max="3877" width="1.75" style="349" bestFit="1" customWidth="1"/>
    <col min="3878" max="3878" width="6.875" style="349" bestFit="1" customWidth="1"/>
    <col min="3879" max="3879" width="1.75" style="349" bestFit="1" customWidth="1"/>
    <col min="3880" max="3880" width="7.375" style="349" bestFit="1" customWidth="1"/>
    <col min="3881" max="3881" width="5.125" style="349" bestFit="1" customWidth="1"/>
    <col min="3882" max="3882" width="10.125" style="349" bestFit="1" customWidth="1"/>
    <col min="3883" max="3883" width="21" style="349" bestFit="1" customWidth="1"/>
    <col min="3884" max="3884" width="12.625" style="349" bestFit="1" customWidth="1"/>
    <col min="3885" max="3886" width="9" style="349"/>
    <col min="3887" max="3887" width="15.875" style="349" bestFit="1" customWidth="1"/>
    <col min="3888" max="4096" width="9" style="349"/>
    <col min="4097" max="4097" width="15.25" style="349" bestFit="1" customWidth="1"/>
    <col min="4098" max="4098" width="23.125" style="349" bestFit="1" customWidth="1"/>
    <col min="4099" max="4099" width="8.25" style="349" bestFit="1" customWidth="1"/>
    <col min="4100" max="4100" width="43.5" style="349" bestFit="1" customWidth="1"/>
    <col min="4101" max="4102" width="5.75" style="349" customWidth="1"/>
    <col min="4103" max="4103" width="9.625" style="349" bestFit="1" customWidth="1"/>
    <col min="4104" max="4105" width="4.625" style="349" bestFit="1" customWidth="1"/>
    <col min="4106" max="4106" width="5.375" style="349" bestFit="1" customWidth="1"/>
    <col min="4107" max="4107" width="4.875" style="349" bestFit="1" customWidth="1"/>
    <col min="4108" max="4108" width="5" style="349" bestFit="1" customWidth="1"/>
    <col min="4109" max="4112" width="4.125" style="349" bestFit="1" customWidth="1"/>
    <col min="4113" max="4113" width="4.375" style="349" bestFit="1" customWidth="1"/>
    <col min="4114" max="4114" width="4.25" style="349" bestFit="1" customWidth="1"/>
    <col min="4115" max="4115" width="4.875" style="349" bestFit="1" customWidth="1"/>
    <col min="4116" max="4116" width="10.125" style="349" bestFit="1" customWidth="1"/>
    <col min="4117" max="4120" width="6.75" style="349" bestFit="1" customWidth="1"/>
    <col min="4121" max="4121" width="5.125" style="349" bestFit="1" customWidth="1"/>
    <col min="4122" max="4122" width="0" style="349" hidden="1" customWidth="1"/>
    <col min="4123" max="4123" width="5.125" style="349" bestFit="1" customWidth="1"/>
    <col min="4124" max="4126" width="5.875" style="349" bestFit="1" customWidth="1"/>
    <col min="4127" max="4127" width="6.625" style="349" bestFit="1" customWidth="1"/>
    <col min="4128" max="4128" width="11.875" style="349" bestFit="1" customWidth="1"/>
    <col min="4129" max="4129" width="10.625" style="349" bestFit="1" customWidth="1"/>
    <col min="4130" max="4130" width="5.5" style="349" bestFit="1" customWidth="1"/>
    <col min="4131" max="4131" width="10.25" style="349" bestFit="1" customWidth="1"/>
    <col min="4132" max="4132" width="6.375" style="349" bestFit="1" customWidth="1"/>
    <col min="4133" max="4133" width="1.75" style="349" bestFit="1" customWidth="1"/>
    <col min="4134" max="4134" width="6.875" style="349" bestFit="1" customWidth="1"/>
    <col min="4135" max="4135" width="1.75" style="349" bestFit="1" customWidth="1"/>
    <col min="4136" max="4136" width="7.375" style="349" bestFit="1" customWidth="1"/>
    <col min="4137" max="4137" width="5.125" style="349" bestFit="1" customWidth="1"/>
    <col min="4138" max="4138" width="10.125" style="349" bestFit="1" customWidth="1"/>
    <col min="4139" max="4139" width="21" style="349" bestFit="1" customWidth="1"/>
    <col min="4140" max="4140" width="12.625" style="349" bestFit="1" customWidth="1"/>
    <col min="4141" max="4142" width="9" style="349"/>
    <col min="4143" max="4143" width="15.875" style="349" bestFit="1" customWidth="1"/>
    <col min="4144" max="4352" width="9" style="349"/>
    <col min="4353" max="4353" width="15.25" style="349" bestFit="1" customWidth="1"/>
    <col min="4354" max="4354" width="23.125" style="349" bestFit="1" customWidth="1"/>
    <col min="4355" max="4355" width="8.25" style="349" bestFit="1" customWidth="1"/>
    <col min="4356" max="4356" width="43.5" style="349" bestFit="1" customWidth="1"/>
    <col min="4357" max="4358" width="5.75" style="349" customWidth="1"/>
    <col min="4359" max="4359" width="9.625" style="349" bestFit="1" customWidth="1"/>
    <col min="4360" max="4361" width="4.625" style="349" bestFit="1" customWidth="1"/>
    <col min="4362" max="4362" width="5.375" style="349" bestFit="1" customWidth="1"/>
    <col min="4363" max="4363" width="4.875" style="349" bestFit="1" customWidth="1"/>
    <col min="4364" max="4364" width="5" style="349" bestFit="1" customWidth="1"/>
    <col min="4365" max="4368" width="4.125" style="349" bestFit="1" customWidth="1"/>
    <col min="4369" max="4369" width="4.375" style="349" bestFit="1" customWidth="1"/>
    <col min="4370" max="4370" width="4.25" style="349" bestFit="1" customWidth="1"/>
    <col min="4371" max="4371" width="4.875" style="349" bestFit="1" customWidth="1"/>
    <col min="4372" max="4372" width="10.125" style="349" bestFit="1" customWidth="1"/>
    <col min="4373" max="4376" width="6.75" style="349" bestFit="1" customWidth="1"/>
    <col min="4377" max="4377" width="5.125" style="349" bestFit="1" customWidth="1"/>
    <col min="4378" max="4378" width="0" style="349" hidden="1" customWidth="1"/>
    <col min="4379" max="4379" width="5.125" style="349" bestFit="1" customWidth="1"/>
    <col min="4380" max="4382" width="5.875" style="349" bestFit="1" customWidth="1"/>
    <col min="4383" max="4383" width="6.625" style="349" bestFit="1" customWidth="1"/>
    <col min="4384" max="4384" width="11.875" style="349" bestFit="1" customWidth="1"/>
    <col min="4385" max="4385" width="10.625" style="349" bestFit="1" customWidth="1"/>
    <col min="4386" max="4386" width="5.5" style="349" bestFit="1" customWidth="1"/>
    <col min="4387" max="4387" width="10.25" style="349" bestFit="1" customWidth="1"/>
    <col min="4388" max="4388" width="6.375" style="349" bestFit="1" customWidth="1"/>
    <col min="4389" max="4389" width="1.75" style="349" bestFit="1" customWidth="1"/>
    <col min="4390" max="4390" width="6.875" style="349" bestFit="1" customWidth="1"/>
    <col min="4391" max="4391" width="1.75" style="349" bestFit="1" customWidth="1"/>
    <col min="4392" max="4392" width="7.375" style="349" bestFit="1" customWidth="1"/>
    <col min="4393" max="4393" width="5.125" style="349" bestFit="1" customWidth="1"/>
    <col min="4394" max="4394" width="10.125" style="349" bestFit="1" customWidth="1"/>
    <col min="4395" max="4395" width="21" style="349" bestFit="1" customWidth="1"/>
    <col min="4396" max="4396" width="12.625" style="349" bestFit="1" customWidth="1"/>
    <col min="4397" max="4398" width="9" style="349"/>
    <col min="4399" max="4399" width="15.875" style="349" bestFit="1" customWidth="1"/>
    <col min="4400" max="4608" width="9" style="349"/>
    <col min="4609" max="4609" width="15.25" style="349" bestFit="1" customWidth="1"/>
    <col min="4610" max="4610" width="23.125" style="349" bestFit="1" customWidth="1"/>
    <col min="4611" max="4611" width="8.25" style="349" bestFit="1" customWidth="1"/>
    <col min="4612" max="4612" width="43.5" style="349" bestFit="1" customWidth="1"/>
    <col min="4613" max="4614" width="5.75" style="349" customWidth="1"/>
    <col min="4615" max="4615" width="9.625" style="349" bestFit="1" customWidth="1"/>
    <col min="4616" max="4617" width="4.625" style="349" bestFit="1" customWidth="1"/>
    <col min="4618" max="4618" width="5.375" style="349" bestFit="1" customWidth="1"/>
    <col min="4619" max="4619" width="4.875" style="349" bestFit="1" customWidth="1"/>
    <col min="4620" max="4620" width="5" style="349" bestFit="1" customWidth="1"/>
    <col min="4621" max="4624" width="4.125" style="349" bestFit="1" customWidth="1"/>
    <col min="4625" max="4625" width="4.375" style="349" bestFit="1" customWidth="1"/>
    <col min="4626" max="4626" width="4.25" style="349" bestFit="1" customWidth="1"/>
    <col min="4627" max="4627" width="4.875" style="349" bestFit="1" customWidth="1"/>
    <col min="4628" max="4628" width="10.125" style="349" bestFit="1" customWidth="1"/>
    <col min="4629" max="4632" width="6.75" style="349" bestFit="1" customWidth="1"/>
    <col min="4633" max="4633" width="5.125" style="349" bestFit="1" customWidth="1"/>
    <col min="4634" max="4634" width="0" style="349" hidden="1" customWidth="1"/>
    <col min="4635" max="4635" width="5.125" style="349" bestFit="1" customWidth="1"/>
    <col min="4636" max="4638" width="5.875" style="349" bestFit="1" customWidth="1"/>
    <col min="4639" max="4639" width="6.625" style="349" bestFit="1" customWidth="1"/>
    <col min="4640" max="4640" width="11.875" style="349" bestFit="1" customWidth="1"/>
    <col min="4641" max="4641" width="10.625" style="349" bestFit="1" customWidth="1"/>
    <col min="4642" max="4642" width="5.5" style="349" bestFit="1" customWidth="1"/>
    <col min="4643" max="4643" width="10.25" style="349" bestFit="1" customWidth="1"/>
    <col min="4644" max="4644" width="6.375" style="349" bestFit="1" customWidth="1"/>
    <col min="4645" max="4645" width="1.75" style="349" bestFit="1" customWidth="1"/>
    <col min="4646" max="4646" width="6.875" style="349" bestFit="1" customWidth="1"/>
    <col min="4647" max="4647" width="1.75" style="349" bestFit="1" customWidth="1"/>
    <col min="4648" max="4648" width="7.375" style="349" bestFit="1" customWidth="1"/>
    <col min="4649" max="4649" width="5.125" style="349" bestFit="1" customWidth="1"/>
    <col min="4650" max="4650" width="10.125" style="349" bestFit="1" customWidth="1"/>
    <col min="4651" max="4651" width="21" style="349" bestFit="1" customWidth="1"/>
    <col min="4652" max="4652" width="12.625" style="349" bestFit="1" customWidth="1"/>
    <col min="4653" max="4654" width="9" style="349"/>
    <col min="4655" max="4655" width="15.875" style="349" bestFit="1" customWidth="1"/>
    <col min="4656" max="4864" width="9" style="349"/>
    <col min="4865" max="4865" width="15.25" style="349" bestFit="1" customWidth="1"/>
    <col min="4866" max="4866" width="23.125" style="349" bestFit="1" customWidth="1"/>
    <col min="4867" max="4867" width="8.25" style="349" bestFit="1" customWidth="1"/>
    <col min="4868" max="4868" width="43.5" style="349" bestFit="1" customWidth="1"/>
    <col min="4869" max="4870" width="5.75" style="349" customWidth="1"/>
    <col min="4871" max="4871" width="9.625" style="349" bestFit="1" customWidth="1"/>
    <col min="4872" max="4873" width="4.625" style="349" bestFit="1" customWidth="1"/>
    <col min="4874" max="4874" width="5.375" style="349" bestFit="1" customWidth="1"/>
    <col min="4875" max="4875" width="4.875" style="349" bestFit="1" customWidth="1"/>
    <col min="4876" max="4876" width="5" style="349" bestFit="1" customWidth="1"/>
    <col min="4877" max="4880" width="4.125" style="349" bestFit="1" customWidth="1"/>
    <col min="4881" max="4881" width="4.375" style="349" bestFit="1" customWidth="1"/>
    <col min="4882" max="4882" width="4.25" style="349" bestFit="1" customWidth="1"/>
    <col min="4883" max="4883" width="4.875" style="349" bestFit="1" customWidth="1"/>
    <col min="4884" max="4884" width="10.125" style="349" bestFit="1" customWidth="1"/>
    <col min="4885" max="4888" width="6.75" style="349" bestFit="1" customWidth="1"/>
    <col min="4889" max="4889" width="5.125" style="349" bestFit="1" customWidth="1"/>
    <col min="4890" max="4890" width="0" style="349" hidden="1" customWidth="1"/>
    <col min="4891" max="4891" width="5.125" style="349" bestFit="1" customWidth="1"/>
    <col min="4892" max="4894" width="5.875" style="349" bestFit="1" customWidth="1"/>
    <col min="4895" max="4895" width="6.625" style="349" bestFit="1" customWidth="1"/>
    <col min="4896" max="4896" width="11.875" style="349" bestFit="1" customWidth="1"/>
    <col min="4897" max="4897" width="10.625" style="349" bestFit="1" customWidth="1"/>
    <col min="4898" max="4898" width="5.5" style="349" bestFit="1" customWidth="1"/>
    <col min="4899" max="4899" width="10.25" style="349" bestFit="1" customWidth="1"/>
    <col min="4900" max="4900" width="6.375" style="349" bestFit="1" customWidth="1"/>
    <col min="4901" max="4901" width="1.75" style="349" bestFit="1" customWidth="1"/>
    <col min="4902" max="4902" width="6.875" style="349" bestFit="1" customWidth="1"/>
    <col min="4903" max="4903" width="1.75" style="349" bestFit="1" customWidth="1"/>
    <col min="4904" max="4904" width="7.375" style="349" bestFit="1" customWidth="1"/>
    <col min="4905" max="4905" width="5.125" style="349" bestFit="1" customWidth="1"/>
    <col min="4906" max="4906" width="10.125" style="349" bestFit="1" customWidth="1"/>
    <col min="4907" max="4907" width="21" style="349" bestFit="1" customWidth="1"/>
    <col min="4908" max="4908" width="12.625" style="349" bestFit="1" customWidth="1"/>
    <col min="4909" max="4910" width="9" style="349"/>
    <col min="4911" max="4911" width="15.875" style="349" bestFit="1" customWidth="1"/>
    <col min="4912" max="5120" width="9" style="349"/>
    <col min="5121" max="5121" width="15.25" style="349" bestFit="1" customWidth="1"/>
    <col min="5122" max="5122" width="23.125" style="349" bestFit="1" customWidth="1"/>
    <col min="5123" max="5123" width="8.25" style="349" bestFit="1" customWidth="1"/>
    <col min="5124" max="5124" width="43.5" style="349" bestFit="1" customWidth="1"/>
    <col min="5125" max="5126" width="5.75" style="349" customWidth="1"/>
    <col min="5127" max="5127" width="9.625" style="349" bestFit="1" customWidth="1"/>
    <col min="5128" max="5129" width="4.625" style="349" bestFit="1" customWidth="1"/>
    <col min="5130" max="5130" width="5.375" style="349" bestFit="1" customWidth="1"/>
    <col min="5131" max="5131" width="4.875" style="349" bestFit="1" customWidth="1"/>
    <col min="5132" max="5132" width="5" style="349" bestFit="1" customWidth="1"/>
    <col min="5133" max="5136" width="4.125" style="349" bestFit="1" customWidth="1"/>
    <col min="5137" max="5137" width="4.375" style="349" bestFit="1" customWidth="1"/>
    <col min="5138" max="5138" width="4.25" style="349" bestFit="1" customWidth="1"/>
    <col min="5139" max="5139" width="4.875" style="349" bestFit="1" customWidth="1"/>
    <col min="5140" max="5140" width="10.125" style="349" bestFit="1" customWidth="1"/>
    <col min="5141" max="5144" width="6.75" style="349" bestFit="1" customWidth="1"/>
    <col min="5145" max="5145" width="5.125" style="349" bestFit="1" customWidth="1"/>
    <col min="5146" max="5146" width="0" style="349" hidden="1" customWidth="1"/>
    <col min="5147" max="5147" width="5.125" style="349" bestFit="1" customWidth="1"/>
    <col min="5148" max="5150" width="5.875" style="349" bestFit="1" customWidth="1"/>
    <col min="5151" max="5151" width="6.625" style="349" bestFit="1" customWidth="1"/>
    <col min="5152" max="5152" width="11.875" style="349" bestFit="1" customWidth="1"/>
    <col min="5153" max="5153" width="10.625" style="349" bestFit="1" customWidth="1"/>
    <col min="5154" max="5154" width="5.5" style="349" bestFit="1" customWidth="1"/>
    <col min="5155" max="5155" width="10.25" style="349" bestFit="1" customWidth="1"/>
    <col min="5156" max="5156" width="6.375" style="349" bestFit="1" customWidth="1"/>
    <col min="5157" max="5157" width="1.75" style="349" bestFit="1" customWidth="1"/>
    <col min="5158" max="5158" width="6.875" style="349" bestFit="1" customWidth="1"/>
    <col min="5159" max="5159" width="1.75" style="349" bestFit="1" customWidth="1"/>
    <col min="5160" max="5160" width="7.375" style="349" bestFit="1" customWidth="1"/>
    <col min="5161" max="5161" width="5.125" style="349" bestFit="1" customWidth="1"/>
    <col min="5162" max="5162" width="10.125" style="349" bestFit="1" customWidth="1"/>
    <col min="5163" max="5163" width="21" style="349" bestFit="1" customWidth="1"/>
    <col min="5164" max="5164" width="12.625" style="349" bestFit="1" customWidth="1"/>
    <col min="5165" max="5166" width="9" style="349"/>
    <col min="5167" max="5167" width="15.875" style="349" bestFit="1" customWidth="1"/>
    <col min="5168" max="5376" width="9" style="349"/>
    <col min="5377" max="5377" width="15.25" style="349" bestFit="1" customWidth="1"/>
    <col min="5378" max="5378" width="23.125" style="349" bestFit="1" customWidth="1"/>
    <col min="5379" max="5379" width="8.25" style="349" bestFit="1" customWidth="1"/>
    <col min="5380" max="5380" width="43.5" style="349" bestFit="1" customWidth="1"/>
    <col min="5381" max="5382" width="5.75" style="349" customWidth="1"/>
    <col min="5383" max="5383" width="9.625" style="349" bestFit="1" customWidth="1"/>
    <col min="5384" max="5385" width="4.625" style="349" bestFit="1" customWidth="1"/>
    <col min="5386" max="5386" width="5.375" style="349" bestFit="1" customWidth="1"/>
    <col min="5387" max="5387" width="4.875" style="349" bestFit="1" customWidth="1"/>
    <col min="5388" max="5388" width="5" style="349" bestFit="1" customWidth="1"/>
    <col min="5389" max="5392" width="4.125" style="349" bestFit="1" customWidth="1"/>
    <col min="5393" max="5393" width="4.375" style="349" bestFit="1" customWidth="1"/>
    <col min="5394" max="5394" width="4.25" style="349" bestFit="1" customWidth="1"/>
    <col min="5395" max="5395" width="4.875" style="349" bestFit="1" customWidth="1"/>
    <col min="5396" max="5396" width="10.125" style="349" bestFit="1" customWidth="1"/>
    <col min="5397" max="5400" width="6.75" style="349" bestFit="1" customWidth="1"/>
    <col min="5401" max="5401" width="5.125" style="349" bestFit="1" customWidth="1"/>
    <col min="5402" max="5402" width="0" style="349" hidden="1" customWidth="1"/>
    <col min="5403" max="5403" width="5.125" style="349" bestFit="1" customWidth="1"/>
    <col min="5404" max="5406" width="5.875" style="349" bestFit="1" customWidth="1"/>
    <col min="5407" max="5407" width="6.625" style="349" bestFit="1" customWidth="1"/>
    <col min="5408" max="5408" width="11.875" style="349" bestFit="1" customWidth="1"/>
    <col min="5409" max="5409" width="10.625" style="349" bestFit="1" customWidth="1"/>
    <col min="5410" max="5410" width="5.5" style="349" bestFit="1" customWidth="1"/>
    <col min="5411" max="5411" width="10.25" style="349" bestFit="1" customWidth="1"/>
    <col min="5412" max="5412" width="6.375" style="349" bestFit="1" customWidth="1"/>
    <col min="5413" max="5413" width="1.75" style="349" bestFit="1" customWidth="1"/>
    <col min="5414" max="5414" width="6.875" style="349" bestFit="1" customWidth="1"/>
    <col min="5415" max="5415" width="1.75" style="349" bestFit="1" customWidth="1"/>
    <col min="5416" max="5416" width="7.375" style="349" bestFit="1" customWidth="1"/>
    <col min="5417" max="5417" width="5.125" style="349" bestFit="1" customWidth="1"/>
    <col min="5418" max="5418" width="10.125" style="349" bestFit="1" customWidth="1"/>
    <col min="5419" max="5419" width="21" style="349" bestFit="1" customWidth="1"/>
    <col min="5420" max="5420" width="12.625" style="349" bestFit="1" customWidth="1"/>
    <col min="5421" max="5422" width="9" style="349"/>
    <col min="5423" max="5423" width="15.875" style="349" bestFit="1" customWidth="1"/>
    <col min="5424" max="5632" width="9" style="349"/>
    <col min="5633" max="5633" width="15.25" style="349" bestFit="1" customWidth="1"/>
    <col min="5634" max="5634" width="23.125" style="349" bestFit="1" customWidth="1"/>
    <col min="5635" max="5635" width="8.25" style="349" bestFit="1" customWidth="1"/>
    <col min="5636" max="5636" width="43.5" style="349" bestFit="1" customWidth="1"/>
    <col min="5637" max="5638" width="5.75" style="349" customWidth="1"/>
    <col min="5639" max="5639" width="9.625" style="349" bestFit="1" customWidth="1"/>
    <col min="5640" max="5641" width="4.625" style="349" bestFit="1" customWidth="1"/>
    <col min="5642" max="5642" width="5.375" style="349" bestFit="1" customWidth="1"/>
    <col min="5643" max="5643" width="4.875" style="349" bestFit="1" customWidth="1"/>
    <col min="5644" max="5644" width="5" style="349" bestFit="1" customWidth="1"/>
    <col min="5645" max="5648" width="4.125" style="349" bestFit="1" customWidth="1"/>
    <col min="5649" max="5649" width="4.375" style="349" bestFit="1" customWidth="1"/>
    <col min="5650" max="5650" width="4.25" style="349" bestFit="1" customWidth="1"/>
    <col min="5651" max="5651" width="4.875" style="349" bestFit="1" customWidth="1"/>
    <col min="5652" max="5652" width="10.125" style="349" bestFit="1" customWidth="1"/>
    <col min="5653" max="5656" width="6.75" style="349" bestFit="1" customWidth="1"/>
    <col min="5657" max="5657" width="5.125" style="349" bestFit="1" customWidth="1"/>
    <col min="5658" max="5658" width="0" style="349" hidden="1" customWidth="1"/>
    <col min="5659" max="5659" width="5.125" style="349" bestFit="1" customWidth="1"/>
    <col min="5660" max="5662" width="5.875" style="349" bestFit="1" customWidth="1"/>
    <col min="5663" max="5663" width="6.625" style="349" bestFit="1" customWidth="1"/>
    <col min="5664" max="5664" width="11.875" style="349" bestFit="1" customWidth="1"/>
    <col min="5665" max="5665" width="10.625" style="349" bestFit="1" customWidth="1"/>
    <col min="5666" max="5666" width="5.5" style="349" bestFit="1" customWidth="1"/>
    <col min="5667" max="5667" width="10.25" style="349" bestFit="1" customWidth="1"/>
    <col min="5668" max="5668" width="6.375" style="349" bestFit="1" customWidth="1"/>
    <col min="5669" max="5669" width="1.75" style="349" bestFit="1" customWidth="1"/>
    <col min="5670" max="5670" width="6.875" style="349" bestFit="1" customWidth="1"/>
    <col min="5671" max="5671" width="1.75" style="349" bestFit="1" customWidth="1"/>
    <col min="5672" max="5672" width="7.375" style="349" bestFit="1" customWidth="1"/>
    <col min="5673" max="5673" width="5.125" style="349" bestFit="1" customWidth="1"/>
    <col min="5674" max="5674" width="10.125" style="349" bestFit="1" customWidth="1"/>
    <col min="5675" max="5675" width="21" style="349" bestFit="1" customWidth="1"/>
    <col min="5676" max="5676" width="12.625" style="349" bestFit="1" customWidth="1"/>
    <col min="5677" max="5678" width="9" style="349"/>
    <col min="5679" max="5679" width="15.875" style="349" bestFit="1" customWidth="1"/>
    <col min="5680" max="5888" width="9" style="349"/>
    <col min="5889" max="5889" width="15.25" style="349" bestFit="1" customWidth="1"/>
    <col min="5890" max="5890" width="23.125" style="349" bestFit="1" customWidth="1"/>
    <col min="5891" max="5891" width="8.25" style="349" bestFit="1" customWidth="1"/>
    <col min="5892" max="5892" width="43.5" style="349" bestFit="1" customWidth="1"/>
    <col min="5893" max="5894" width="5.75" style="349" customWidth="1"/>
    <col min="5895" max="5895" width="9.625" style="349" bestFit="1" customWidth="1"/>
    <col min="5896" max="5897" width="4.625" style="349" bestFit="1" customWidth="1"/>
    <col min="5898" max="5898" width="5.375" style="349" bestFit="1" customWidth="1"/>
    <col min="5899" max="5899" width="4.875" style="349" bestFit="1" customWidth="1"/>
    <col min="5900" max="5900" width="5" style="349" bestFit="1" customWidth="1"/>
    <col min="5901" max="5904" width="4.125" style="349" bestFit="1" customWidth="1"/>
    <col min="5905" max="5905" width="4.375" style="349" bestFit="1" customWidth="1"/>
    <col min="5906" max="5906" width="4.25" style="349" bestFit="1" customWidth="1"/>
    <col min="5907" max="5907" width="4.875" style="349" bestFit="1" customWidth="1"/>
    <col min="5908" max="5908" width="10.125" style="349" bestFit="1" customWidth="1"/>
    <col min="5909" max="5912" width="6.75" style="349" bestFit="1" customWidth="1"/>
    <col min="5913" max="5913" width="5.125" style="349" bestFit="1" customWidth="1"/>
    <col min="5914" max="5914" width="0" style="349" hidden="1" customWidth="1"/>
    <col min="5915" max="5915" width="5.125" style="349" bestFit="1" customWidth="1"/>
    <col min="5916" max="5918" width="5.875" style="349" bestFit="1" customWidth="1"/>
    <col min="5919" max="5919" width="6.625" style="349" bestFit="1" customWidth="1"/>
    <col min="5920" max="5920" width="11.875" style="349" bestFit="1" customWidth="1"/>
    <col min="5921" max="5921" width="10.625" style="349" bestFit="1" customWidth="1"/>
    <col min="5922" max="5922" width="5.5" style="349" bestFit="1" customWidth="1"/>
    <col min="5923" max="5923" width="10.25" style="349" bestFit="1" customWidth="1"/>
    <col min="5924" max="5924" width="6.375" style="349" bestFit="1" customWidth="1"/>
    <col min="5925" max="5925" width="1.75" style="349" bestFit="1" customWidth="1"/>
    <col min="5926" max="5926" width="6.875" style="349" bestFit="1" customWidth="1"/>
    <col min="5927" max="5927" width="1.75" style="349" bestFit="1" customWidth="1"/>
    <col min="5928" max="5928" width="7.375" style="349" bestFit="1" customWidth="1"/>
    <col min="5929" max="5929" width="5.125" style="349" bestFit="1" customWidth="1"/>
    <col min="5930" max="5930" width="10.125" style="349" bestFit="1" customWidth="1"/>
    <col min="5931" max="5931" width="21" style="349" bestFit="1" customWidth="1"/>
    <col min="5932" max="5932" width="12.625" style="349" bestFit="1" customWidth="1"/>
    <col min="5933" max="5934" width="9" style="349"/>
    <col min="5935" max="5935" width="15.875" style="349" bestFit="1" customWidth="1"/>
    <col min="5936" max="6144" width="9" style="349"/>
    <col min="6145" max="6145" width="15.25" style="349" bestFit="1" customWidth="1"/>
    <col min="6146" max="6146" width="23.125" style="349" bestFit="1" customWidth="1"/>
    <col min="6147" max="6147" width="8.25" style="349" bestFit="1" customWidth="1"/>
    <col min="6148" max="6148" width="43.5" style="349" bestFit="1" customWidth="1"/>
    <col min="6149" max="6150" width="5.75" style="349" customWidth="1"/>
    <col min="6151" max="6151" width="9.625" style="349" bestFit="1" customWidth="1"/>
    <col min="6152" max="6153" width="4.625" style="349" bestFit="1" customWidth="1"/>
    <col min="6154" max="6154" width="5.375" style="349" bestFit="1" customWidth="1"/>
    <col min="6155" max="6155" width="4.875" style="349" bestFit="1" customWidth="1"/>
    <col min="6156" max="6156" width="5" style="349" bestFit="1" customWidth="1"/>
    <col min="6157" max="6160" width="4.125" style="349" bestFit="1" customWidth="1"/>
    <col min="6161" max="6161" width="4.375" style="349" bestFit="1" customWidth="1"/>
    <col min="6162" max="6162" width="4.25" style="349" bestFit="1" customWidth="1"/>
    <col min="6163" max="6163" width="4.875" style="349" bestFit="1" customWidth="1"/>
    <col min="6164" max="6164" width="10.125" style="349" bestFit="1" customWidth="1"/>
    <col min="6165" max="6168" width="6.75" style="349" bestFit="1" customWidth="1"/>
    <col min="6169" max="6169" width="5.125" style="349" bestFit="1" customWidth="1"/>
    <col min="6170" max="6170" width="0" style="349" hidden="1" customWidth="1"/>
    <col min="6171" max="6171" width="5.125" style="349" bestFit="1" customWidth="1"/>
    <col min="6172" max="6174" width="5.875" style="349" bestFit="1" customWidth="1"/>
    <col min="6175" max="6175" width="6.625" style="349" bestFit="1" customWidth="1"/>
    <col min="6176" max="6176" width="11.875" style="349" bestFit="1" customWidth="1"/>
    <col min="6177" max="6177" width="10.625" style="349" bestFit="1" customWidth="1"/>
    <col min="6178" max="6178" width="5.5" style="349" bestFit="1" customWidth="1"/>
    <col min="6179" max="6179" width="10.25" style="349" bestFit="1" customWidth="1"/>
    <col min="6180" max="6180" width="6.375" style="349" bestFit="1" customWidth="1"/>
    <col min="6181" max="6181" width="1.75" style="349" bestFit="1" customWidth="1"/>
    <col min="6182" max="6182" width="6.875" style="349" bestFit="1" customWidth="1"/>
    <col min="6183" max="6183" width="1.75" style="349" bestFit="1" customWidth="1"/>
    <col min="6184" max="6184" width="7.375" style="349" bestFit="1" customWidth="1"/>
    <col min="6185" max="6185" width="5.125" style="349" bestFit="1" customWidth="1"/>
    <col min="6186" max="6186" width="10.125" style="349" bestFit="1" customWidth="1"/>
    <col min="6187" max="6187" width="21" style="349" bestFit="1" customWidth="1"/>
    <col min="6188" max="6188" width="12.625" style="349" bestFit="1" customWidth="1"/>
    <col min="6189" max="6190" width="9" style="349"/>
    <col min="6191" max="6191" width="15.875" style="349" bestFit="1" customWidth="1"/>
    <col min="6192" max="6400" width="9" style="349"/>
    <col min="6401" max="6401" width="15.25" style="349" bestFit="1" customWidth="1"/>
    <col min="6402" max="6402" width="23.125" style="349" bestFit="1" customWidth="1"/>
    <col min="6403" max="6403" width="8.25" style="349" bestFit="1" customWidth="1"/>
    <col min="6404" max="6404" width="43.5" style="349" bestFit="1" customWidth="1"/>
    <col min="6405" max="6406" width="5.75" style="349" customWidth="1"/>
    <col min="6407" max="6407" width="9.625" style="349" bestFit="1" customWidth="1"/>
    <col min="6408" max="6409" width="4.625" style="349" bestFit="1" customWidth="1"/>
    <col min="6410" max="6410" width="5.375" style="349" bestFit="1" customWidth="1"/>
    <col min="6411" max="6411" width="4.875" style="349" bestFit="1" customWidth="1"/>
    <col min="6412" max="6412" width="5" style="349" bestFit="1" customWidth="1"/>
    <col min="6413" max="6416" width="4.125" style="349" bestFit="1" customWidth="1"/>
    <col min="6417" max="6417" width="4.375" style="349" bestFit="1" customWidth="1"/>
    <col min="6418" max="6418" width="4.25" style="349" bestFit="1" customWidth="1"/>
    <col min="6419" max="6419" width="4.875" style="349" bestFit="1" customWidth="1"/>
    <col min="6420" max="6420" width="10.125" style="349" bestFit="1" customWidth="1"/>
    <col min="6421" max="6424" width="6.75" style="349" bestFit="1" customWidth="1"/>
    <col min="6425" max="6425" width="5.125" style="349" bestFit="1" customWidth="1"/>
    <col min="6426" max="6426" width="0" style="349" hidden="1" customWidth="1"/>
    <col min="6427" max="6427" width="5.125" style="349" bestFit="1" customWidth="1"/>
    <col min="6428" max="6430" width="5.875" style="349" bestFit="1" customWidth="1"/>
    <col min="6431" max="6431" width="6.625" style="349" bestFit="1" customWidth="1"/>
    <col min="6432" max="6432" width="11.875" style="349" bestFit="1" customWidth="1"/>
    <col min="6433" max="6433" width="10.625" style="349" bestFit="1" customWidth="1"/>
    <col min="6434" max="6434" width="5.5" style="349" bestFit="1" customWidth="1"/>
    <col min="6435" max="6435" width="10.25" style="349" bestFit="1" customWidth="1"/>
    <col min="6436" max="6436" width="6.375" style="349" bestFit="1" customWidth="1"/>
    <col min="6437" max="6437" width="1.75" style="349" bestFit="1" customWidth="1"/>
    <col min="6438" max="6438" width="6.875" style="349" bestFit="1" customWidth="1"/>
    <col min="6439" max="6439" width="1.75" style="349" bestFit="1" customWidth="1"/>
    <col min="6440" max="6440" width="7.375" style="349" bestFit="1" customWidth="1"/>
    <col min="6441" max="6441" width="5.125" style="349" bestFit="1" customWidth="1"/>
    <col min="6442" max="6442" width="10.125" style="349" bestFit="1" customWidth="1"/>
    <col min="6443" max="6443" width="21" style="349" bestFit="1" customWidth="1"/>
    <col min="6444" max="6444" width="12.625" style="349" bestFit="1" customWidth="1"/>
    <col min="6445" max="6446" width="9" style="349"/>
    <col min="6447" max="6447" width="15.875" style="349" bestFit="1" customWidth="1"/>
    <col min="6448" max="6656" width="9" style="349"/>
    <col min="6657" max="6657" width="15.25" style="349" bestFit="1" customWidth="1"/>
    <col min="6658" max="6658" width="23.125" style="349" bestFit="1" customWidth="1"/>
    <col min="6659" max="6659" width="8.25" style="349" bestFit="1" customWidth="1"/>
    <col min="6660" max="6660" width="43.5" style="349" bestFit="1" customWidth="1"/>
    <col min="6661" max="6662" width="5.75" style="349" customWidth="1"/>
    <col min="6663" max="6663" width="9.625" style="349" bestFit="1" customWidth="1"/>
    <col min="6664" max="6665" width="4.625" style="349" bestFit="1" customWidth="1"/>
    <col min="6666" max="6666" width="5.375" style="349" bestFit="1" customWidth="1"/>
    <col min="6667" max="6667" width="4.875" style="349" bestFit="1" customWidth="1"/>
    <col min="6668" max="6668" width="5" style="349" bestFit="1" customWidth="1"/>
    <col min="6669" max="6672" width="4.125" style="349" bestFit="1" customWidth="1"/>
    <col min="6673" max="6673" width="4.375" style="349" bestFit="1" customWidth="1"/>
    <col min="6674" max="6674" width="4.25" style="349" bestFit="1" customWidth="1"/>
    <col min="6675" max="6675" width="4.875" style="349" bestFit="1" customWidth="1"/>
    <col min="6676" max="6676" width="10.125" style="349" bestFit="1" customWidth="1"/>
    <col min="6677" max="6680" width="6.75" style="349" bestFit="1" customWidth="1"/>
    <col min="6681" max="6681" width="5.125" style="349" bestFit="1" customWidth="1"/>
    <col min="6682" max="6682" width="0" style="349" hidden="1" customWidth="1"/>
    <col min="6683" max="6683" width="5.125" style="349" bestFit="1" customWidth="1"/>
    <col min="6684" max="6686" width="5.875" style="349" bestFit="1" customWidth="1"/>
    <col min="6687" max="6687" width="6.625" style="349" bestFit="1" customWidth="1"/>
    <col min="6688" max="6688" width="11.875" style="349" bestFit="1" customWidth="1"/>
    <col min="6689" max="6689" width="10.625" style="349" bestFit="1" customWidth="1"/>
    <col min="6690" max="6690" width="5.5" style="349" bestFit="1" customWidth="1"/>
    <col min="6691" max="6691" width="10.25" style="349" bestFit="1" customWidth="1"/>
    <col min="6692" max="6692" width="6.375" style="349" bestFit="1" customWidth="1"/>
    <col min="6693" max="6693" width="1.75" style="349" bestFit="1" customWidth="1"/>
    <col min="6694" max="6694" width="6.875" style="349" bestFit="1" customWidth="1"/>
    <col min="6695" max="6695" width="1.75" style="349" bestFit="1" customWidth="1"/>
    <col min="6696" max="6696" width="7.375" style="349" bestFit="1" customWidth="1"/>
    <col min="6697" max="6697" width="5.125" style="349" bestFit="1" customWidth="1"/>
    <col min="6698" max="6698" width="10.125" style="349" bestFit="1" customWidth="1"/>
    <col min="6699" max="6699" width="21" style="349" bestFit="1" customWidth="1"/>
    <col min="6700" max="6700" width="12.625" style="349" bestFit="1" customWidth="1"/>
    <col min="6701" max="6702" width="9" style="349"/>
    <col min="6703" max="6703" width="15.875" style="349" bestFit="1" customWidth="1"/>
    <col min="6704" max="6912" width="9" style="349"/>
    <col min="6913" max="6913" width="15.25" style="349" bestFit="1" customWidth="1"/>
    <col min="6914" max="6914" width="23.125" style="349" bestFit="1" customWidth="1"/>
    <col min="6915" max="6915" width="8.25" style="349" bestFit="1" customWidth="1"/>
    <col min="6916" max="6916" width="43.5" style="349" bestFit="1" customWidth="1"/>
    <col min="6917" max="6918" width="5.75" style="349" customWidth="1"/>
    <col min="6919" max="6919" width="9.625" style="349" bestFit="1" customWidth="1"/>
    <col min="6920" max="6921" width="4.625" style="349" bestFit="1" customWidth="1"/>
    <col min="6922" max="6922" width="5.375" style="349" bestFit="1" customWidth="1"/>
    <col min="6923" max="6923" width="4.875" style="349" bestFit="1" customWidth="1"/>
    <col min="6924" max="6924" width="5" style="349" bestFit="1" customWidth="1"/>
    <col min="6925" max="6928" width="4.125" style="349" bestFit="1" customWidth="1"/>
    <col min="6929" max="6929" width="4.375" style="349" bestFit="1" customWidth="1"/>
    <col min="6930" max="6930" width="4.25" style="349" bestFit="1" customWidth="1"/>
    <col min="6931" max="6931" width="4.875" style="349" bestFit="1" customWidth="1"/>
    <col min="6932" max="6932" width="10.125" style="349" bestFit="1" customWidth="1"/>
    <col min="6933" max="6936" width="6.75" style="349" bestFit="1" customWidth="1"/>
    <col min="6937" max="6937" width="5.125" style="349" bestFit="1" customWidth="1"/>
    <col min="6938" max="6938" width="0" style="349" hidden="1" customWidth="1"/>
    <col min="6939" max="6939" width="5.125" style="349" bestFit="1" customWidth="1"/>
    <col min="6940" max="6942" width="5.875" style="349" bestFit="1" customWidth="1"/>
    <col min="6943" max="6943" width="6.625" style="349" bestFit="1" customWidth="1"/>
    <col min="6944" max="6944" width="11.875" style="349" bestFit="1" customWidth="1"/>
    <col min="6945" max="6945" width="10.625" style="349" bestFit="1" customWidth="1"/>
    <col min="6946" max="6946" width="5.5" style="349" bestFit="1" customWidth="1"/>
    <col min="6947" max="6947" width="10.25" style="349" bestFit="1" customWidth="1"/>
    <col min="6948" max="6948" width="6.375" style="349" bestFit="1" customWidth="1"/>
    <col min="6949" max="6949" width="1.75" style="349" bestFit="1" customWidth="1"/>
    <col min="6950" max="6950" width="6.875" style="349" bestFit="1" customWidth="1"/>
    <col min="6951" max="6951" width="1.75" style="349" bestFit="1" customWidth="1"/>
    <col min="6952" max="6952" width="7.375" style="349" bestFit="1" customWidth="1"/>
    <col min="6953" max="6953" width="5.125" style="349" bestFit="1" customWidth="1"/>
    <col min="6954" max="6954" width="10.125" style="349" bestFit="1" customWidth="1"/>
    <col min="6955" max="6955" width="21" style="349" bestFit="1" customWidth="1"/>
    <col min="6956" max="6956" width="12.625" style="349" bestFit="1" customWidth="1"/>
    <col min="6957" max="6958" width="9" style="349"/>
    <col min="6959" max="6959" width="15.875" style="349" bestFit="1" customWidth="1"/>
    <col min="6960" max="7168" width="9" style="349"/>
    <col min="7169" max="7169" width="15.25" style="349" bestFit="1" customWidth="1"/>
    <col min="7170" max="7170" width="23.125" style="349" bestFit="1" customWidth="1"/>
    <col min="7171" max="7171" width="8.25" style="349" bestFit="1" customWidth="1"/>
    <col min="7172" max="7172" width="43.5" style="349" bestFit="1" customWidth="1"/>
    <col min="7173" max="7174" width="5.75" style="349" customWidth="1"/>
    <col min="7175" max="7175" width="9.625" style="349" bestFit="1" customWidth="1"/>
    <col min="7176" max="7177" width="4.625" style="349" bestFit="1" customWidth="1"/>
    <col min="7178" max="7178" width="5.375" style="349" bestFit="1" customWidth="1"/>
    <col min="7179" max="7179" width="4.875" style="349" bestFit="1" customWidth="1"/>
    <col min="7180" max="7180" width="5" style="349" bestFit="1" customWidth="1"/>
    <col min="7181" max="7184" width="4.125" style="349" bestFit="1" customWidth="1"/>
    <col min="7185" max="7185" width="4.375" style="349" bestFit="1" customWidth="1"/>
    <col min="7186" max="7186" width="4.25" style="349" bestFit="1" customWidth="1"/>
    <col min="7187" max="7187" width="4.875" style="349" bestFit="1" customWidth="1"/>
    <col min="7188" max="7188" width="10.125" style="349" bestFit="1" customWidth="1"/>
    <col min="7189" max="7192" width="6.75" style="349" bestFit="1" customWidth="1"/>
    <col min="7193" max="7193" width="5.125" style="349" bestFit="1" customWidth="1"/>
    <col min="7194" max="7194" width="0" style="349" hidden="1" customWidth="1"/>
    <col min="7195" max="7195" width="5.125" style="349" bestFit="1" customWidth="1"/>
    <col min="7196" max="7198" width="5.875" style="349" bestFit="1" customWidth="1"/>
    <col min="7199" max="7199" width="6.625" style="349" bestFit="1" customWidth="1"/>
    <col min="7200" max="7200" width="11.875" style="349" bestFit="1" customWidth="1"/>
    <col min="7201" max="7201" width="10.625" style="349" bestFit="1" customWidth="1"/>
    <col min="7202" max="7202" width="5.5" style="349" bestFit="1" customWidth="1"/>
    <col min="7203" max="7203" width="10.25" style="349" bestFit="1" customWidth="1"/>
    <col min="7204" max="7204" width="6.375" style="349" bestFit="1" customWidth="1"/>
    <col min="7205" max="7205" width="1.75" style="349" bestFit="1" customWidth="1"/>
    <col min="7206" max="7206" width="6.875" style="349" bestFit="1" customWidth="1"/>
    <col min="7207" max="7207" width="1.75" style="349" bestFit="1" customWidth="1"/>
    <col min="7208" max="7208" width="7.375" style="349" bestFit="1" customWidth="1"/>
    <col min="7209" max="7209" width="5.125" style="349" bestFit="1" customWidth="1"/>
    <col min="7210" max="7210" width="10.125" style="349" bestFit="1" customWidth="1"/>
    <col min="7211" max="7211" width="21" style="349" bestFit="1" customWidth="1"/>
    <col min="7212" max="7212" width="12.625" style="349" bestFit="1" customWidth="1"/>
    <col min="7213" max="7214" width="9" style="349"/>
    <col min="7215" max="7215" width="15.875" style="349" bestFit="1" customWidth="1"/>
    <col min="7216" max="7424" width="9" style="349"/>
    <col min="7425" max="7425" width="15.25" style="349" bestFit="1" customWidth="1"/>
    <col min="7426" max="7426" width="23.125" style="349" bestFit="1" customWidth="1"/>
    <col min="7427" max="7427" width="8.25" style="349" bestFit="1" customWidth="1"/>
    <col min="7428" max="7428" width="43.5" style="349" bestFit="1" customWidth="1"/>
    <col min="7429" max="7430" width="5.75" style="349" customWidth="1"/>
    <col min="7431" max="7431" width="9.625" style="349" bestFit="1" customWidth="1"/>
    <col min="7432" max="7433" width="4.625" style="349" bestFit="1" customWidth="1"/>
    <col min="7434" max="7434" width="5.375" style="349" bestFit="1" customWidth="1"/>
    <col min="7435" max="7435" width="4.875" style="349" bestFit="1" customWidth="1"/>
    <col min="7436" max="7436" width="5" style="349" bestFit="1" customWidth="1"/>
    <col min="7437" max="7440" width="4.125" style="349" bestFit="1" customWidth="1"/>
    <col min="7441" max="7441" width="4.375" style="349" bestFit="1" customWidth="1"/>
    <col min="7442" max="7442" width="4.25" style="349" bestFit="1" customWidth="1"/>
    <col min="7443" max="7443" width="4.875" style="349" bestFit="1" customWidth="1"/>
    <col min="7444" max="7444" width="10.125" style="349" bestFit="1" customWidth="1"/>
    <col min="7445" max="7448" width="6.75" style="349" bestFit="1" customWidth="1"/>
    <col min="7449" max="7449" width="5.125" style="349" bestFit="1" customWidth="1"/>
    <col min="7450" max="7450" width="0" style="349" hidden="1" customWidth="1"/>
    <col min="7451" max="7451" width="5.125" style="349" bestFit="1" customWidth="1"/>
    <col min="7452" max="7454" width="5.875" style="349" bestFit="1" customWidth="1"/>
    <col min="7455" max="7455" width="6.625" style="349" bestFit="1" customWidth="1"/>
    <col min="7456" max="7456" width="11.875" style="349" bestFit="1" customWidth="1"/>
    <col min="7457" max="7457" width="10.625" style="349" bestFit="1" customWidth="1"/>
    <col min="7458" max="7458" width="5.5" style="349" bestFit="1" customWidth="1"/>
    <col min="7459" max="7459" width="10.25" style="349" bestFit="1" customWidth="1"/>
    <col min="7460" max="7460" width="6.375" style="349" bestFit="1" customWidth="1"/>
    <col min="7461" max="7461" width="1.75" style="349" bestFit="1" customWidth="1"/>
    <col min="7462" max="7462" width="6.875" style="349" bestFit="1" customWidth="1"/>
    <col min="7463" max="7463" width="1.75" style="349" bestFit="1" customWidth="1"/>
    <col min="7464" max="7464" width="7.375" style="349" bestFit="1" customWidth="1"/>
    <col min="7465" max="7465" width="5.125" style="349" bestFit="1" customWidth="1"/>
    <col min="7466" max="7466" width="10.125" style="349" bestFit="1" customWidth="1"/>
    <col min="7467" max="7467" width="21" style="349" bestFit="1" customWidth="1"/>
    <col min="7468" max="7468" width="12.625" style="349" bestFit="1" customWidth="1"/>
    <col min="7469" max="7470" width="9" style="349"/>
    <col min="7471" max="7471" width="15.875" style="349" bestFit="1" customWidth="1"/>
    <col min="7472" max="7680" width="9" style="349"/>
    <col min="7681" max="7681" width="15.25" style="349" bestFit="1" customWidth="1"/>
    <col min="7682" max="7682" width="23.125" style="349" bestFit="1" customWidth="1"/>
    <col min="7683" max="7683" width="8.25" style="349" bestFit="1" customWidth="1"/>
    <col min="7684" max="7684" width="43.5" style="349" bestFit="1" customWidth="1"/>
    <col min="7685" max="7686" width="5.75" style="349" customWidth="1"/>
    <col min="7687" max="7687" width="9.625" style="349" bestFit="1" customWidth="1"/>
    <col min="7688" max="7689" width="4.625" style="349" bestFit="1" customWidth="1"/>
    <col min="7690" max="7690" width="5.375" style="349" bestFit="1" customWidth="1"/>
    <col min="7691" max="7691" width="4.875" style="349" bestFit="1" customWidth="1"/>
    <col min="7692" max="7692" width="5" style="349" bestFit="1" customWidth="1"/>
    <col min="7693" max="7696" width="4.125" style="349" bestFit="1" customWidth="1"/>
    <col min="7697" max="7697" width="4.375" style="349" bestFit="1" customWidth="1"/>
    <col min="7698" max="7698" width="4.25" style="349" bestFit="1" customWidth="1"/>
    <col min="7699" max="7699" width="4.875" style="349" bestFit="1" customWidth="1"/>
    <col min="7700" max="7700" width="10.125" style="349" bestFit="1" customWidth="1"/>
    <col min="7701" max="7704" width="6.75" style="349" bestFit="1" customWidth="1"/>
    <col min="7705" max="7705" width="5.125" style="349" bestFit="1" customWidth="1"/>
    <col min="7706" max="7706" width="0" style="349" hidden="1" customWidth="1"/>
    <col min="7707" max="7707" width="5.125" style="349" bestFit="1" customWidth="1"/>
    <col min="7708" max="7710" width="5.875" style="349" bestFit="1" customWidth="1"/>
    <col min="7711" max="7711" width="6.625" style="349" bestFit="1" customWidth="1"/>
    <col min="7712" max="7712" width="11.875" style="349" bestFit="1" customWidth="1"/>
    <col min="7713" max="7713" width="10.625" style="349" bestFit="1" customWidth="1"/>
    <col min="7714" max="7714" width="5.5" style="349" bestFit="1" customWidth="1"/>
    <col min="7715" max="7715" width="10.25" style="349" bestFit="1" customWidth="1"/>
    <col min="7716" max="7716" width="6.375" style="349" bestFit="1" customWidth="1"/>
    <col min="7717" max="7717" width="1.75" style="349" bestFit="1" customWidth="1"/>
    <col min="7718" max="7718" width="6.875" style="349" bestFit="1" customWidth="1"/>
    <col min="7719" max="7719" width="1.75" style="349" bestFit="1" customWidth="1"/>
    <col min="7720" max="7720" width="7.375" style="349" bestFit="1" customWidth="1"/>
    <col min="7721" max="7721" width="5.125" style="349" bestFit="1" customWidth="1"/>
    <col min="7722" max="7722" width="10.125" style="349" bestFit="1" customWidth="1"/>
    <col min="7723" max="7723" width="21" style="349" bestFit="1" customWidth="1"/>
    <col min="7724" max="7724" width="12.625" style="349" bestFit="1" customWidth="1"/>
    <col min="7725" max="7726" width="9" style="349"/>
    <col min="7727" max="7727" width="15.875" style="349" bestFit="1" customWidth="1"/>
    <col min="7728" max="7936" width="9" style="349"/>
    <col min="7937" max="7937" width="15.25" style="349" bestFit="1" customWidth="1"/>
    <col min="7938" max="7938" width="23.125" style="349" bestFit="1" customWidth="1"/>
    <col min="7939" max="7939" width="8.25" style="349" bestFit="1" customWidth="1"/>
    <col min="7940" max="7940" width="43.5" style="349" bestFit="1" customWidth="1"/>
    <col min="7941" max="7942" width="5.75" style="349" customWidth="1"/>
    <col min="7943" max="7943" width="9.625" style="349" bestFit="1" customWidth="1"/>
    <col min="7944" max="7945" width="4.625" style="349" bestFit="1" customWidth="1"/>
    <col min="7946" max="7946" width="5.375" style="349" bestFit="1" customWidth="1"/>
    <col min="7947" max="7947" width="4.875" style="349" bestFit="1" customWidth="1"/>
    <col min="7948" max="7948" width="5" style="349" bestFit="1" customWidth="1"/>
    <col min="7949" max="7952" width="4.125" style="349" bestFit="1" customWidth="1"/>
    <col min="7953" max="7953" width="4.375" style="349" bestFit="1" customWidth="1"/>
    <col min="7954" max="7954" width="4.25" style="349" bestFit="1" customWidth="1"/>
    <col min="7955" max="7955" width="4.875" style="349" bestFit="1" customWidth="1"/>
    <col min="7956" max="7956" width="10.125" style="349" bestFit="1" customWidth="1"/>
    <col min="7957" max="7960" width="6.75" style="349" bestFit="1" customWidth="1"/>
    <col min="7961" max="7961" width="5.125" style="349" bestFit="1" customWidth="1"/>
    <col min="7962" max="7962" width="0" style="349" hidden="1" customWidth="1"/>
    <col min="7963" max="7963" width="5.125" style="349" bestFit="1" customWidth="1"/>
    <col min="7964" max="7966" width="5.875" style="349" bestFit="1" customWidth="1"/>
    <col min="7967" max="7967" width="6.625" style="349" bestFit="1" customWidth="1"/>
    <col min="7968" max="7968" width="11.875" style="349" bestFit="1" customWidth="1"/>
    <col min="7969" max="7969" width="10.625" style="349" bestFit="1" customWidth="1"/>
    <col min="7970" max="7970" width="5.5" style="349" bestFit="1" customWidth="1"/>
    <col min="7971" max="7971" width="10.25" style="349" bestFit="1" customWidth="1"/>
    <col min="7972" max="7972" width="6.375" style="349" bestFit="1" customWidth="1"/>
    <col min="7973" max="7973" width="1.75" style="349" bestFit="1" customWidth="1"/>
    <col min="7974" max="7974" width="6.875" style="349" bestFit="1" customWidth="1"/>
    <col min="7975" max="7975" width="1.75" style="349" bestFit="1" customWidth="1"/>
    <col min="7976" max="7976" width="7.375" style="349" bestFit="1" customWidth="1"/>
    <col min="7977" max="7977" width="5.125" style="349" bestFit="1" customWidth="1"/>
    <col min="7978" max="7978" width="10.125" style="349" bestFit="1" customWidth="1"/>
    <col min="7979" max="7979" width="21" style="349" bestFit="1" customWidth="1"/>
    <col min="7980" max="7980" width="12.625" style="349" bestFit="1" customWidth="1"/>
    <col min="7981" max="7982" width="9" style="349"/>
    <col min="7983" max="7983" width="15.875" style="349" bestFit="1" customWidth="1"/>
    <col min="7984" max="8192" width="9" style="349"/>
    <col min="8193" max="8193" width="15.25" style="349" bestFit="1" customWidth="1"/>
    <col min="8194" max="8194" width="23.125" style="349" bestFit="1" customWidth="1"/>
    <col min="8195" max="8195" width="8.25" style="349" bestFit="1" customWidth="1"/>
    <col min="8196" max="8196" width="43.5" style="349" bestFit="1" customWidth="1"/>
    <col min="8197" max="8198" width="5.75" style="349" customWidth="1"/>
    <col min="8199" max="8199" width="9.625" style="349" bestFit="1" customWidth="1"/>
    <col min="8200" max="8201" width="4.625" style="349" bestFit="1" customWidth="1"/>
    <col min="8202" max="8202" width="5.375" style="349" bestFit="1" customWidth="1"/>
    <col min="8203" max="8203" width="4.875" style="349" bestFit="1" customWidth="1"/>
    <col min="8204" max="8204" width="5" style="349" bestFit="1" customWidth="1"/>
    <col min="8205" max="8208" width="4.125" style="349" bestFit="1" customWidth="1"/>
    <col min="8209" max="8209" width="4.375" style="349" bestFit="1" customWidth="1"/>
    <col min="8210" max="8210" width="4.25" style="349" bestFit="1" customWidth="1"/>
    <col min="8211" max="8211" width="4.875" style="349" bestFit="1" customWidth="1"/>
    <col min="8212" max="8212" width="10.125" style="349" bestFit="1" customWidth="1"/>
    <col min="8213" max="8216" width="6.75" style="349" bestFit="1" customWidth="1"/>
    <col min="8217" max="8217" width="5.125" style="349" bestFit="1" customWidth="1"/>
    <col min="8218" max="8218" width="0" style="349" hidden="1" customWidth="1"/>
    <col min="8219" max="8219" width="5.125" style="349" bestFit="1" customWidth="1"/>
    <col min="8220" max="8222" width="5.875" style="349" bestFit="1" customWidth="1"/>
    <col min="8223" max="8223" width="6.625" style="349" bestFit="1" customWidth="1"/>
    <col min="8224" max="8224" width="11.875" style="349" bestFit="1" customWidth="1"/>
    <col min="8225" max="8225" width="10.625" style="349" bestFit="1" customWidth="1"/>
    <col min="8226" max="8226" width="5.5" style="349" bestFit="1" customWidth="1"/>
    <col min="8227" max="8227" width="10.25" style="349" bestFit="1" customWidth="1"/>
    <col min="8228" max="8228" width="6.375" style="349" bestFit="1" customWidth="1"/>
    <col min="8229" max="8229" width="1.75" style="349" bestFit="1" customWidth="1"/>
    <col min="8230" max="8230" width="6.875" style="349" bestFit="1" customWidth="1"/>
    <col min="8231" max="8231" width="1.75" style="349" bestFit="1" customWidth="1"/>
    <col min="8232" max="8232" width="7.375" style="349" bestFit="1" customWidth="1"/>
    <col min="8233" max="8233" width="5.125" style="349" bestFit="1" customWidth="1"/>
    <col min="8234" max="8234" width="10.125" style="349" bestFit="1" customWidth="1"/>
    <col min="8235" max="8235" width="21" style="349" bestFit="1" customWidth="1"/>
    <col min="8236" max="8236" width="12.625" style="349" bestFit="1" customWidth="1"/>
    <col min="8237" max="8238" width="9" style="349"/>
    <col min="8239" max="8239" width="15.875" style="349" bestFit="1" customWidth="1"/>
    <col min="8240" max="8448" width="9" style="349"/>
    <col min="8449" max="8449" width="15.25" style="349" bestFit="1" customWidth="1"/>
    <col min="8450" max="8450" width="23.125" style="349" bestFit="1" customWidth="1"/>
    <col min="8451" max="8451" width="8.25" style="349" bestFit="1" customWidth="1"/>
    <col min="8452" max="8452" width="43.5" style="349" bestFit="1" customWidth="1"/>
    <col min="8453" max="8454" width="5.75" style="349" customWidth="1"/>
    <col min="8455" max="8455" width="9.625" style="349" bestFit="1" customWidth="1"/>
    <col min="8456" max="8457" width="4.625" style="349" bestFit="1" customWidth="1"/>
    <col min="8458" max="8458" width="5.375" style="349" bestFit="1" customWidth="1"/>
    <col min="8459" max="8459" width="4.875" style="349" bestFit="1" customWidth="1"/>
    <col min="8460" max="8460" width="5" style="349" bestFit="1" customWidth="1"/>
    <col min="8461" max="8464" width="4.125" style="349" bestFit="1" customWidth="1"/>
    <col min="8465" max="8465" width="4.375" style="349" bestFit="1" customWidth="1"/>
    <col min="8466" max="8466" width="4.25" style="349" bestFit="1" customWidth="1"/>
    <col min="8467" max="8467" width="4.875" style="349" bestFit="1" customWidth="1"/>
    <col min="8468" max="8468" width="10.125" style="349" bestFit="1" customWidth="1"/>
    <col min="8469" max="8472" width="6.75" style="349" bestFit="1" customWidth="1"/>
    <col min="8473" max="8473" width="5.125" style="349" bestFit="1" customWidth="1"/>
    <col min="8474" max="8474" width="0" style="349" hidden="1" customWidth="1"/>
    <col min="8475" max="8475" width="5.125" style="349" bestFit="1" customWidth="1"/>
    <col min="8476" max="8478" width="5.875" style="349" bestFit="1" customWidth="1"/>
    <col min="8479" max="8479" width="6.625" style="349" bestFit="1" customWidth="1"/>
    <col min="8480" max="8480" width="11.875" style="349" bestFit="1" customWidth="1"/>
    <col min="8481" max="8481" width="10.625" style="349" bestFit="1" customWidth="1"/>
    <col min="8482" max="8482" width="5.5" style="349" bestFit="1" customWidth="1"/>
    <col min="8483" max="8483" width="10.25" style="349" bestFit="1" customWidth="1"/>
    <col min="8484" max="8484" width="6.375" style="349" bestFit="1" customWidth="1"/>
    <col min="8485" max="8485" width="1.75" style="349" bestFit="1" customWidth="1"/>
    <col min="8486" max="8486" width="6.875" style="349" bestFit="1" customWidth="1"/>
    <col min="8487" max="8487" width="1.75" style="349" bestFit="1" customWidth="1"/>
    <col min="8488" max="8488" width="7.375" style="349" bestFit="1" customWidth="1"/>
    <col min="8489" max="8489" width="5.125" style="349" bestFit="1" customWidth="1"/>
    <col min="8490" max="8490" width="10.125" style="349" bestFit="1" customWidth="1"/>
    <col min="8491" max="8491" width="21" style="349" bestFit="1" customWidth="1"/>
    <col min="8492" max="8492" width="12.625" style="349" bestFit="1" customWidth="1"/>
    <col min="8493" max="8494" width="9" style="349"/>
    <col min="8495" max="8495" width="15.875" style="349" bestFit="1" customWidth="1"/>
    <col min="8496" max="8704" width="9" style="349"/>
    <col min="8705" max="8705" width="15.25" style="349" bestFit="1" customWidth="1"/>
    <col min="8706" max="8706" width="23.125" style="349" bestFit="1" customWidth="1"/>
    <col min="8707" max="8707" width="8.25" style="349" bestFit="1" customWidth="1"/>
    <col min="8708" max="8708" width="43.5" style="349" bestFit="1" customWidth="1"/>
    <col min="8709" max="8710" width="5.75" style="349" customWidth="1"/>
    <col min="8711" max="8711" width="9.625" style="349" bestFit="1" customWidth="1"/>
    <col min="8712" max="8713" width="4.625" style="349" bestFit="1" customWidth="1"/>
    <col min="8714" max="8714" width="5.375" style="349" bestFit="1" customWidth="1"/>
    <col min="8715" max="8715" width="4.875" style="349" bestFit="1" customWidth="1"/>
    <col min="8716" max="8716" width="5" style="349" bestFit="1" customWidth="1"/>
    <col min="8717" max="8720" width="4.125" style="349" bestFit="1" customWidth="1"/>
    <col min="8721" max="8721" width="4.375" style="349" bestFit="1" customWidth="1"/>
    <col min="8722" max="8722" width="4.25" style="349" bestFit="1" customWidth="1"/>
    <col min="8723" max="8723" width="4.875" style="349" bestFit="1" customWidth="1"/>
    <col min="8724" max="8724" width="10.125" style="349" bestFit="1" customWidth="1"/>
    <col min="8725" max="8728" width="6.75" style="349" bestFit="1" customWidth="1"/>
    <col min="8729" max="8729" width="5.125" style="349" bestFit="1" customWidth="1"/>
    <col min="8730" max="8730" width="0" style="349" hidden="1" customWidth="1"/>
    <col min="8731" max="8731" width="5.125" style="349" bestFit="1" customWidth="1"/>
    <col min="8732" max="8734" width="5.875" style="349" bestFit="1" customWidth="1"/>
    <col min="8735" max="8735" width="6.625" style="349" bestFit="1" customWidth="1"/>
    <col min="8736" max="8736" width="11.875" style="349" bestFit="1" customWidth="1"/>
    <col min="8737" max="8737" width="10.625" style="349" bestFit="1" customWidth="1"/>
    <col min="8738" max="8738" width="5.5" style="349" bestFit="1" customWidth="1"/>
    <col min="8739" max="8739" width="10.25" style="349" bestFit="1" customWidth="1"/>
    <col min="8740" max="8740" width="6.375" style="349" bestFit="1" customWidth="1"/>
    <col min="8741" max="8741" width="1.75" style="349" bestFit="1" customWidth="1"/>
    <col min="8742" max="8742" width="6.875" style="349" bestFit="1" customWidth="1"/>
    <col min="8743" max="8743" width="1.75" style="349" bestFit="1" customWidth="1"/>
    <col min="8744" max="8744" width="7.375" style="349" bestFit="1" customWidth="1"/>
    <col min="8745" max="8745" width="5.125" style="349" bestFit="1" customWidth="1"/>
    <col min="8746" max="8746" width="10.125" style="349" bestFit="1" customWidth="1"/>
    <col min="8747" max="8747" width="21" style="349" bestFit="1" customWidth="1"/>
    <col min="8748" max="8748" width="12.625" style="349" bestFit="1" customWidth="1"/>
    <col min="8749" max="8750" width="9" style="349"/>
    <col min="8751" max="8751" width="15.875" style="349" bestFit="1" customWidth="1"/>
    <col min="8752" max="8960" width="9" style="349"/>
    <col min="8961" max="8961" width="15.25" style="349" bestFit="1" customWidth="1"/>
    <col min="8962" max="8962" width="23.125" style="349" bestFit="1" customWidth="1"/>
    <col min="8963" max="8963" width="8.25" style="349" bestFit="1" customWidth="1"/>
    <col min="8964" max="8964" width="43.5" style="349" bestFit="1" customWidth="1"/>
    <col min="8965" max="8966" width="5.75" style="349" customWidth="1"/>
    <col min="8967" max="8967" width="9.625" style="349" bestFit="1" customWidth="1"/>
    <col min="8968" max="8969" width="4.625" style="349" bestFit="1" customWidth="1"/>
    <col min="8970" max="8970" width="5.375" style="349" bestFit="1" customWidth="1"/>
    <col min="8971" max="8971" width="4.875" style="349" bestFit="1" customWidth="1"/>
    <col min="8972" max="8972" width="5" style="349" bestFit="1" customWidth="1"/>
    <col min="8973" max="8976" width="4.125" style="349" bestFit="1" customWidth="1"/>
    <col min="8977" max="8977" width="4.375" style="349" bestFit="1" customWidth="1"/>
    <col min="8978" max="8978" width="4.25" style="349" bestFit="1" customWidth="1"/>
    <col min="8979" max="8979" width="4.875" style="349" bestFit="1" customWidth="1"/>
    <col min="8980" max="8980" width="10.125" style="349" bestFit="1" customWidth="1"/>
    <col min="8981" max="8984" width="6.75" style="349" bestFit="1" customWidth="1"/>
    <col min="8985" max="8985" width="5.125" style="349" bestFit="1" customWidth="1"/>
    <col min="8986" max="8986" width="0" style="349" hidden="1" customWidth="1"/>
    <col min="8987" max="8987" width="5.125" style="349" bestFit="1" customWidth="1"/>
    <col min="8988" max="8990" width="5.875" style="349" bestFit="1" customWidth="1"/>
    <col min="8991" max="8991" width="6.625" style="349" bestFit="1" customWidth="1"/>
    <col min="8992" max="8992" width="11.875" style="349" bestFit="1" customWidth="1"/>
    <col min="8993" max="8993" width="10.625" style="349" bestFit="1" customWidth="1"/>
    <col min="8994" max="8994" width="5.5" style="349" bestFit="1" customWidth="1"/>
    <col min="8995" max="8995" width="10.25" style="349" bestFit="1" customWidth="1"/>
    <col min="8996" max="8996" width="6.375" style="349" bestFit="1" customWidth="1"/>
    <col min="8997" max="8997" width="1.75" style="349" bestFit="1" customWidth="1"/>
    <col min="8998" max="8998" width="6.875" style="349" bestFit="1" customWidth="1"/>
    <col min="8999" max="8999" width="1.75" style="349" bestFit="1" customWidth="1"/>
    <col min="9000" max="9000" width="7.375" style="349" bestFit="1" customWidth="1"/>
    <col min="9001" max="9001" width="5.125" style="349" bestFit="1" customWidth="1"/>
    <col min="9002" max="9002" width="10.125" style="349" bestFit="1" customWidth="1"/>
    <col min="9003" max="9003" width="21" style="349" bestFit="1" customWidth="1"/>
    <col min="9004" max="9004" width="12.625" style="349" bestFit="1" customWidth="1"/>
    <col min="9005" max="9006" width="9" style="349"/>
    <col min="9007" max="9007" width="15.875" style="349" bestFit="1" customWidth="1"/>
    <col min="9008" max="9216" width="9" style="349"/>
    <col min="9217" max="9217" width="15.25" style="349" bestFit="1" customWidth="1"/>
    <col min="9218" max="9218" width="23.125" style="349" bestFit="1" customWidth="1"/>
    <col min="9219" max="9219" width="8.25" style="349" bestFit="1" customWidth="1"/>
    <col min="9220" max="9220" width="43.5" style="349" bestFit="1" customWidth="1"/>
    <col min="9221" max="9222" width="5.75" style="349" customWidth="1"/>
    <col min="9223" max="9223" width="9.625" style="349" bestFit="1" customWidth="1"/>
    <col min="9224" max="9225" width="4.625" style="349" bestFit="1" customWidth="1"/>
    <col min="9226" max="9226" width="5.375" style="349" bestFit="1" customWidth="1"/>
    <col min="9227" max="9227" width="4.875" style="349" bestFit="1" customWidth="1"/>
    <col min="9228" max="9228" width="5" style="349" bestFit="1" customWidth="1"/>
    <col min="9229" max="9232" width="4.125" style="349" bestFit="1" customWidth="1"/>
    <col min="9233" max="9233" width="4.375" style="349" bestFit="1" customWidth="1"/>
    <col min="9234" max="9234" width="4.25" style="349" bestFit="1" customWidth="1"/>
    <col min="9235" max="9235" width="4.875" style="349" bestFit="1" customWidth="1"/>
    <col min="9236" max="9236" width="10.125" style="349" bestFit="1" customWidth="1"/>
    <col min="9237" max="9240" width="6.75" style="349" bestFit="1" customWidth="1"/>
    <col min="9241" max="9241" width="5.125" style="349" bestFit="1" customWidth="1"/>
    <col min="9242" max="9242" width="0" style="349" hidden="1" customWidth="1"/>
    <col min="9243" max="9243" width="5.125" style="349" bestFit="1" customWidth="1"/>
    <col min="9244" max="9246" width="5.875" style="349" bestFit="1" customWidth="1"/>
    <col min="9247" max="9247" width="6.625" style="349" bestFit="1" customWidth="1"/>
    <col min="9248" max="9248" width="11.875" style="349" bestFit="1" customWidth="1"/>
    <col min="9249" max="9249" width="10.625" style="349" bestFit="1" customWidth="1"/>
    <col min="9250" max="9250" width="5.5" style="349" bestFit="1" customWidth="1"/>
    <col min="9251" max="9251" width="10.25" style="349" bestFit="1" customWidth="1"/>
    <col min="9252" max="9252" width="6.375" style="349" bestFit="1" customWidth="1"/>
    <col min="9253" max="9253" width="1.75" style="349" bestFit="1" customWidth="1"/>
    <col min="9254" max="9254" width="6.875" style="349" bestFit="1" customWidth="1"/>
    <col min="9255" max="9255" width="1.75" style="349" bestFit="1" customWidth="1"/>
    <col min="9256" max="9256" width="7.375" style="349" bestFit="1" customWidth="1"/>
    <col min="9257" max="9257" width="5.125" style="349" bestFit="1" customWidth="1"/>
    <col min="9258" max="9258" width="10.125" style="349" bestFit="1" customWidth="1"/>
    <col min="9259" max="9259" width="21" style="349" bestFit="1" customWidth="1"/>
    <col min="9260" max="9260" width="12.625" style="349" bestFit="1" customWidth="1"/>
    <col min="9261" max="9262" width="9" style="349"/>
    <col min="9263" max="9263" width="15.875" style="349" bestFit="1" customWidth="1"/>
    <col min="9264" max="9472" width="9" style="349"/>
    <col min="9473" max="9473" width="15.25" style="349" bestFit="1" customWidth="1"/>
    <col min="9474" max="9474" width="23.125" style="349" bestFit="1" customWidth="1"/>
    <col min="9475" max="9475" width="8.25" style="349" bestFit="1" customWidth="1"/>
    <col min="9476" max="9476" width="43.5" style="349" bestFit="1" customWidth="1"/>
    <col min="9477" max="9478" width="5.75" style="349" customWidth="1"/>
    <col min="9479" max="9479" width="9.625" style="349" bestFit="1" customWidth="1"/>
    <col min="9480" max="9481" width="4.625" style="349" bestFit="1" customWidth="1"/>
    <col min="9482" max="9482" width="5.375" style="349" bestFit="1" customWidth="1"/>
    <col min="9483" max="9483" width="4.875" style="349" bestFit="1" customWidth="1"/>
    <col min="9484" max="9484" width="5" style="349" bestFit="1" customWidth="1"/>
    <col min="9485" max="9488" width="4.125" style="349" bestFit="1" customWidth="1"/>
    <col min="9489" max="9489" width="4.375" style="349" bestFit="1" customWidth="1"/>
    <col min="9490" max="9490" width="4.25" style="349" bestFit="1" customWidth="1"/>
    <col min="9491" max="9491" width="4.875" style="349" bestFit="1" customWidth="1"/>
    <col min="9492" max="9492" width="10.125" style="349" bestFit="1" customWidth="1"/>
    <col min="9493" max="9496" width="6.75" style="349" bestFit="1" customWidth="1"/>
    <col min="9497" max="9497" width="5.125" style="349" bestFit="1" customWidth="1"/>
    <col min="9498" max="9498" width="0" style="349" hidden="1" customWidth="1"/>
    <col min="9499" max="9499" width="5.125" style="349" bestFit="1" customWidth="1"/>
    <col min="9500" max="9502" width="5.875" style="349" bestFit="1" customWidth="1"/>
    <col min="9503" max="9503" width="6.625" style="349" bestFit="1" customWidth="1"/>
    <col min="9504" max="9504" width="11.875" style="349" bestFit="1" customWidth="1"/>
    <col min="9505" max="9505" width="10.625" style="349" bestFit="1" customWidth="1"/>
    <col min="9506" max="9506" width="5.5" style="349" bestFit="1" customWidth="1"/>
    <col min="9507" max="9507" width="10.25" style="349" bestFit="1" customWidth="1"/>
    <col min="9508" max="9508" width="6.375" style="349" bestFit="1" customWidth="1"/>
    <col min="9509" max="9509" width="1.75" style="349" bestFit="1" customWidth="1"/>
    <col min="9510" max="9510" width="6.875" style="349" bestFit="1" customWidth="1"/>
    <col min="9511" max="9511" width="1.75" style="349" bestFit="1" customWidth="1"/>
    <col min="9512" max="9512" width="7.375" style="349" bestFit="1" customWidth="1"/>
    <col min="9513" max="9513" width="5.125" style="349" bestFit="1" customWidth="1"/>
    <col min="9514" max="9514" width="10.125" style="349" bestFit="1" customWidth="1"/>
    <col min="9515" max="9515" width="21" style="349" bestFit="1" customWidth="1"/>
    <col min="9516" max="9516" width="12.625" style="349" bestFit="1" customWidth="1"/>
    <col min="9517" max="9518" width="9" style="349"/>
    <col min="9519" max="9519" width="15.875" style="349" bestFit="1" customWidth="1"/>
    <col min="9520" max="9728" width="9" style="349"/>
    <col min="9729" max="9729" width="15.25" style="349" bestFit="1" customWidth="1"/>
    <col min="9730" max="9730" width="23.125" style="349" bestFit="1" customWidth="1"/>
    <col min="9731" max="9731" width="8.25" style="349" bestFit="1" customWidth="1"/>
    <col min="9732" max="9732" width="43.5" style="349" bestFit="1" customWidth="1"/>
    <col min="9733" max="9734" width="5.75" style="349" customWidth="1"/>
    <col min="9735" max="9735" width="9.625" style="349" bestFit="1" customWidth="1"/>
    <col min="9736" max="9737" width="4.625" style="349" bestFit="1" customWidth="1"/>
    <col min="9738" max="9738" width="5.375" style="349" bestFit="1" customWidth="1"/>
    <col min="9739" max="9739" width="4.875" style="349" bestFit="1" customWidth="1"/>
    <col min="9740" max="9740" width="5" style="349" bestFit="1" customWidth="1"/>
    <col min="9741" max="9744" width="4.125" style="349" bestFit="1" customWidth="1"/>
    <col min="9745" max="9745" width="4.375" style="349" bestFit="1" customWidth="1"/>
    <col min="9746" max="9746" width="4.25" style="349" bestFit="1" customWidth="1"/>
    <col min="9747" max="9747" width="4.875" style="349" bestFit="1" customWidth="1"/>
    <col min="9748" max="9748" width="10.125" style="349" bestFit="1" customWidth="1"/>
    <col min="9749" max="9752" width="6.75" style="349" bestFit="1" customWidth="1"/>
    <col min="9753" max="9753" width="5.125" style="349" bestFit="1" customWidth="1"/>
    <col min="9754" max="9754" width="0" style="349" hidden="1" customWidth="1"/>
    <col min="9755" max="9755" width="5.125" style="349" bestFit="1" customWidth="1"/>
    <col min="9756" max="9758" width="5.875" style="349" bestFit="1" customWidth="1"/>
    <col min="9759" max="9759" width="6.625" style="349" bestFit="1" customWidth="1"/>
    <col min="9760" max="9760" width="11.875" style="349" bestFit="1" customWidth="1"/>
    <col min="9761" max="9761" width="10.625" style="349" bestFit="1" customWidth="1"/>
    <col min="9762" max="9762" width="5.5" style="349" bestFit="1" customWidth="1"/>
    <col min="9763" max="9763" width="10.25" style="349" bestFit="1" customWidth="1"/>
    <col min="9764" max="9764" width="6.375" style="349" bestFit="1" customWidth="1"/>
    <col min="9765" max="9765" width="1.75" style="349" bestFit="1" customWidth="1"/>
    <col min="9766" max="9766" width="6.875" style="349" bestFit="1" customWidth="1"/>
    <col min="9767" max="9767" width="1.75" style="349" bestFit="1" customWidth="1"/>
    <col min="9768" max="9768" width="7.375" style="349" bestFit="1" customWidth="1"/>
    <col min="9769" max="9769" width="5.125" style="349" bestFit="1" customWidth="1"/>
    <col min="9770" max="9770" width="10.125" style="349" bestFit="1" customWidth="1"/>
    <col min="9771" max="9771" width="21" style="349" bestFit="1" customWidth="1"/>
    <col min="9772" max="9772" width="12.625" style="349" bestFit="1" customWidth="1"/>
    <col min="9773" max="9774" width="9" style="349"/>
    <col min="9775" max="9775" width="15.875" style="349" bestFit="1" customWidth="1"/>
    <col min="9776" max="9984" width="9" style="349"/>
    <col min="9985" max="9985" width="15.25" style="349" bestFit="1" customWidth="1"/>
    <col min="9986" max="9986" width="23.125" style="349" bestFit="1" customWidth="1"/>
    <col min="9987" max="9987" width="8.25" style="349" bestFit="1" customWidth="1"/>
    <col min="9988" max="9988" width="43.5" style="349" bestFit="1" customWidth="1"/>
    <col min="9989" max="9990" width="5.75" style="349" customWidth="1"/>
    <col min="9991" max="9991" width="9.625" style="349" bestFit="1" customWidth="1"/>
    <col min="9992" max="9993" width="4.625" style="349" bestFit="1" customWidth="1"/>
    <col min="9994" max="9994" width="5.375" style="349" bestFit="1" customWidth="1"/>
    <col min="9995" max="9995" width="4.875" style="349" bestFit="1" customWidth="1"/>
    <col min="9996" max="9996" width="5" style="349" bestFit="1" customWidth="1"/>
    <col min="9997" max="10000" width="4.125" style="349" bestFit="1" customWidth="1"/>
    <col min="10001" max="10001" width="4.375" style="349" bestFit="1" customWidth="1"/>
    <col min="10002" max="10002" width="4.25" style="349" bestFit="1" customWidth="1"/>
    <col min="10003" max="10003" width="4.875" style="349" bestFit="1" customWidth="1"/>
    <col min="10004" max="10004" width="10.125" style="349" bestFit="1" customWidth="1"/>
    <col min="10005" max="10008" width="6.75" style="349" bestFit="1" customWidth="1"/>
    <col min="10009" max="10009" width="5.125" style="349" bestFit="1" customWidth="1"/>
    <col min="10010" max="10010" width="0" style="349" hidden="1" customWidth="1"/>
    <col min="10011" max="10011" width="5.125" style="349" bestFit="1" customWidth="1"/>
    <col min="10012" max="10014" width="5.875" style="349" bestFit="1" customWidth="1"/>
    <col min="10015" max="10015" width="6.625" style="349" bestFit="1" customWidth="1"/>
    <col min="10016" max="10016" width="11.875" style="349" bestFit="1" customWidth="1"/>
    <col min="10017" max="10017" width="10.625" style="349" bestFit="1" customWidth="1"/>
    <col min="10018" max="10018" width="5.5" style="349" bestFit="1" customWidth="1"/>
    <col min="10019" max="10019" width="10.25" style="349" bestFit="1" customWidth="1"/>
    <col min="10020" max="10020" width="6.375" style="349" bestFit="1" customWidth="1"/>
    <col min="10021" max="10021" width="1.75" style="349" bestFit="1" customWidth="1"/>
    <col min="10022" max="10022" width="6.875" style="349" bestFit="1" customWidth="1"/>
    <col min="10023" max="10023" width="1.75" style="349" bestFit="1" customWidth="1"/>
    <col min="10024" max="10024" width="7.375" style="349" bestFit="1" customWidth="1"/>
    <col min="10025" max="10025" width="5.125" style="349" bestFit="1" customWidth="1"/>
    <col min="10026" max="10026" width="10.125" style="349" bestFit="1" customWidth="1"/>
    <col min="10027" max="10027" width="21" style="349" bestFit="1" customWidth="1"/>
    <col min="10028" max="10028" width="12.625" style="349" bestFit="1" customWidth="1"/>
    <col min="10029" max="10030" width="9" style="349"/>
    <col min="10031" max="10031" width="15.875" style="349" bestFit="1" customWidth="1"/>
    <col min="10032" max="10240" width="9" style="349"/>
    <col min="10241" max="10241" width="15.25" style="349" bestFit="1" customWidth="1"/>
    <col min="10242" max="10242" width="23.125" style="349" bestFit="1" customWidth="1"/>
    <col min="10243" max="10243" width="8.25" style="349" bestFit="1" customWidth="1"/>
    <col min="10244" max="10244" width="43.5" style="349" bestFit="1" customWidth="1"/>
    <col min="10245" max="10246" width="5.75" style="349" customWidth="1"/>
    <col min="10247" max="10247" width="9.625" style="349" bestFit="1" customWidth="1"/>
    <col min="10248" max="10249" width="4.625" style="349" bestFit="1" customWidth="1"/>
    <col min="10250" max="10250" width="5.375" style="349" bestFit="1" customWidth="1"/>
    <col min="10251" max="10251" width="4.875" style="349" bestFit="1" customWidth="1"/>
    <col min="10252" max="10252" width="5" style="349" bestFit="1" customWidth="1"/>
    <col min="10253" max="10256" width="4.125" style="349" bestFit="1" customWidth="1"/>
    <col min="10257" max="10257" width="4.375" style="349" bestFit="1" customWidth="1"/>
    <col min="10258" max="10258" width="4.25" style="349" bestFit="1" customWidth="1"/>
    <col min="10259" max="10259" width="4.875" style="349" bestFit="1" customWidth="1"/>
    <col min="10260" max="10260" width="10.125" style="349" bestFit="1" customWidth="1"/>
    <col min="10261" max="10264" width="6.75" style="349" bestFit="1" customWidth="1"/>
    <col min="10265" max="10265" width="5.125" style="349" bestFit="1" customWidth="1"/>
    <col min="10266" max="10266" width="0" style="349" hidden="1" customWidth="1"/>
    <col min="10267" max="10267" width="5.125" style="349" bestFit="1" customWidth="1"/>
    <col min="10268" max="10270" width="5.875" style="349" bestFit="1" customWidth="1"/>
    <col min="10271" max="10271" width="6.625" style="349" bestFit="1" customWidth="1"/>
    <col min="10272" max="10272" width="11.875" style="349" bestFit="1" customWidth="1"/>
    <col min="10273" max="10273" width="10.625" style="349" bestFit="1" customWidth="1"/>
    <col min="10274" max="10274" width="5.5" style="349" bestFit="1" customWidth="1"/>
    <col min="10275" max="10275" width="10.25" style="349" bestFit="1" customWidth="1"/>
    <col min="10276" max="10276" width="6.375" style="349" bestFit="1" customWidth="1"/>
    <col min="10277" max="10277" width="1.75" style="349" bestFit="1" customWidth="1"/>
    <col min="10278" max="10278" width="6.875" style="349" bestFit="1" customWidth="1"/>
    <col min="10279" max="10279" width="1.75" style="349" bestFit="1" customWidth="1"/>
    <col min="10280" max="10280" width="7.375" style="349" bestFit="1" customWidth="1"/>
    <col min="10281" max="10281" width="5.125" style="349" bestFit="1" customWidth="1"/>
    <col min="10282" max="10282" width="10.125" style="349" bestFit="1" customWidth="1"/>
    <col min="10283" max="10283" width="21" style="349" bestFit="1" customWidth="1"/>
    <col min="10284" max="10284" width="12.625" style="349" bestFit="1" customWidth="1"/>
    <col min="10285" max="10286" width="9" style="349"/>
    <col min="10287" max="10287" width="15.875" style="349" bestFit="1" customWidth="1"/>
    <col min="10288" max="10496" width="9" style="349"/>
    <col min="10497" max="10497" width="15.25" style="349" bestFit="1" customWidth="1"/>
    <col min="10498" max="10498" width="23.125" style="349" bestFit="1" customWidth="1"/>
    <col min="10499" max="10499" width="8.25" style="349" bestFit="1" customWidth="1"/>
    <col min="10500" max="10500" width="43.5" style="349" bestFit="1" customWidth="1"/>
    <col min="10501" max="10502" width="5.75" style="349" customWidth="1"/>
    <col min="10503" max="10503" width="9.625" style="349" bestFit="1" customWidth="1"/>
    <col min="10504" max="10505" width="4.625" style="349" bestFit="1" customWidth="1"/>
    <col min="10506" max="10506" width="5.375" style="349" bestFit="1" customWidth="1"/>
    <col min="10507" max="10507" width="4.875" style="349" bestFit="1" customWidth="1"/>
    <col min="10508" max="10508" width="5" style="349" bestFit="1" customWidth="1"/>
    <col min="10509" max="10512" width="4.125" style="349" bestFit="1" customWidth="1"/>
    <col min="10513" max="10513" width="4.375" style="349" bestFit="1" customWidth="1"/>
    <col min="10514" max="10514" width="4.25" style="349" bestFit="1" customWidth="1"/>
    <col min="10515" max="10515" width="4.875" style="349" bestFit="1" customWidth="1"/>
    <col min="10516" max="10516" width="10.125" style="349" bestFit="1" customWidth="1"/>
    <col min="10517" max="10520" width="6.75" style="349" bestFit="1" customWidth="1"/>
    <col min="10521" max="10521" width="5.125" style="349" bestFit="1" customWidth="1"/>
    <col min="10522" max="10522" width="0" style="349" hidden="1" customWidth="1"/>
    <col min="10523" max="10523" width="5.125" style="349" bestFit="1" customWidth="1"/>
    <col min="10524" max="10526" width="5.875" style="349" bestFit="1" customWidth="1"/>
    <col min="10527" max="10527" width="6.625" style="349" bestFit="1" customWidth="1"/>
    <col min="10528" max="10528" width="11.875" style="349" bestFit="1" customWidth="1"/>
    <col min="10529" max="10529" width="10.625" style="349" bestFit="1" customWidth="1"/>
    <col min="10530" max="10530" width="5.5" style="349" bestFit="1" customWidth="1"/>
    <col min="10531" max="10531" width="10.25" style="349" bestFit="1" customWidth="1"/>
    <col min="10532" max="10532" width="6.375" style="349" bestFit="1" customWidth="1"/>
    <col min="10533" max="10533" width="1.75" style="349" bestFit="1" customWidth="1"/>
    <col min="10534" max="10534" width="6.875" style="349" bestFit="1" customWidth="1"/>
    <col min="10535" max="10535" width="1.75" style="349" bestFit="1" customWidth="1"/>
    <col min="10536" max="10536" width="7.375" style="349" bestFit="1" customWidth="1"/>
    <col min="10537" max="10537" width="5.125" style="349" bestFit="1" customWidth="1"/>
    <col min="10538" max="10538" width="10.125" style="349" bestFit="1" customWidth="1"/>
    <col min="10539" max="10539" width="21" style="349" bestFit="1" customWidth="1"/>
    <col min="10540" max="10540" width="12.625" style="349" bestFit="1" customWidth="1"/>
    <col min="10541" max="10542" width="9" style="349"/>
    <col min="10543" max="10543" width="15.875" style="349" bestFit="1" customWidth="1"/>
    <col min="10544" max="10752" width="9" style="349"/>
    <col min="10753" max="10753" width="15.25" style="349" bestFit="1" customWidth="1"/>
    <col min="10754" max="10754" width="23.125" style="349" bestFit="1" customWidth="1"/>
    <col min="10755" max="10755" width="8.25" style="349" bestFit="1" customWidth="1"/>
    <col min="10756" max="10756" width="43.5" style="349" bestFit="1" customWidth="1"/>
    <col min="10757" max="10758" width="5.75" style="349" customWidth="1"/>
    <col min="10759" max="10759" width="9.625" style="349" bestFit="1" customWidth="1"/>
    <col min="10760" max="10761" width="4.625" style="349" bestFit="1" customWidth="1"/>
    <col min="10762" max="10762" width="5.375" style="349" bestFit="1" customWidth="1"/>
    <col min="10763" max="10763" width="4.875" style="349" bestFit="1" customWidth="1"/>
    <col min="10764" max="10764" width="5" style="349" bestFit="1" customWidth="1"/>
    <col min="10765" max="10768" width="4.125" style="349" bestFit="1" customWidth="1"/>
    <col min="10769" max="10769" width="4.375" style="349" bestFit="1" customWidth="1"/>
    <col min="10770" max="10770" width="4.25" style="349" bestFit="1" customWidth="1"/>
    <col min="10771" max="10771" width="4.875" style="349" bestFit="1" customWidth="1"/>
    <col min="10772" max="10772" width="10.125" style="349" bestFit="1" customWidth="1"/>
    <col min="10773" max="10776" width="6.75" style="349" bestFit="1" customWidth="1"/>
    <col min="10777" max="10777" width="5.125" style="349" bestFit="1" customWidth="1"/>
    <col min="10778" max="10778" width="0" style="349" hidden="1" customWidth="1"/>
    <col min="10779" max="10779" width="5.125" style="349" bestFit="1" customWidth="1"/>
    <col min="10780" max="10782" width="5.875" style="349" bestFit="1" customWidth="1"/>
    <col min="10783" max="10783" width="6.625" style="349" bestFit="1" customWidth="1"/>
    <col min="10784" max="10784" width="11.875" style="349" bestFit="1" customWidth="1"/>
    <col min="10785" max="10785" width="10.625" style="349" bestFit="1" customWidth="1"/>
    <col min="10786" max="10786" width="5.5" style="349" bestFit="1" customWidth="1"/>
    <col min="10787" max="10787" width="10.25" style="349" bestFit="1" customWidth="1"/>
    <col min="10788" max="10788" width="6.375" style="349" bestFit="1" customWidth="1"/>
    <col min="10789" max="10789" width="1.75" style="349" bestFit="1" customWidth="1"/>
    <col min="10790" max="10790" width="6.875" style="349" bestFit="1" customWidth="1"/>
    <col min="10791" max="10791" width="1.75" style="349" bestFit="1" customWidth="1"/>
    <col min="10792" max="10792" width="7.375" style="349" bestFit="1" customWidth="1"/>
    <col min="10793" max="10793" width="5.125" style="349" bestFit="1" customWidth="1"/>
    <col min="10794" max="10794" width="10.125" style="349" bestFit="1" customWidth="1"/>
    <col min="10795" max="10795" width="21" style="349" bestFit="1" customWidth="1"/>
    <col min="10796" max="10796" width="12.625" style="349" bestFit="1" customWidth="1"/>
    <col min="10797" max="10798" width="9" style="349"/>
    <col min="10799" max="10799" width="15.875" style="349" bestFit="1" customWidth="1"/>
    <col min="10800" max="11008" width="9" style="349"/>
    <col min="11009" max="11009" width="15.25" style="349" bestFit="1" customWidth="1"/>
    <col min="11010" max="11010" width="23.125" style="349" bestFit="1" customWidth="1"/>
    <col min="11011" max="11011" width="8.25" style="349" bestFit="1" customWidth="1"/>
    <col min="11012" max="11012" width="43.5" style="349" bestFit="1" customWidth="1"/>
    <col min="11013" max="11014" width="5.75" style="349" customWidth="1"/>
    <col min="11015" max="11015" width="9.625" style="349" bestFit="1" customWidth="1"/>
    <col min="11016" max="11017" width="4.625" style="349" bestFit="1" customWidth="1"/>
    <col min="11018" max="11018" width="5.375" style="349" bestFit="1" customWidth="1"/>
    <col min="11019" max="11019" width="4.875" style="349" bestFit="1" customWidth="1"/>
    <col min="11020" max="11020" width="5" style="349" bestFit="1" customWidth="1"/>
    <col min="11021" max="11024" width="4.125" style="349" bestFit="1" customWidth="1"/>
    <col min="11025" max="11025" width="4.375" style="349" bestFit="1" customWidth="1"/>
    <col min="11026" max="11026" width="4.25" style="349" bestFit="1" customWidth="1"/>
    <col min="11027" max="11027" width="4.875" style="349" bestFit="1" customWidth="1"/>
    <col min="11028" max="11028" width="10.125" style="349" bestFit="1" customWidth="1"/>
    <col min="11029" max="11032" width="6.75" style="349" bestFit="1" customWidth="1"/>
    <col min="11033" max="11033" width="5.125" style="349" bestFit="1" customWidth="1"/>
    <col min="11034" max="11034" width="0" style="349" hidden="1" customWidth="1"/>
    <col min="11035" max="11035" width="5.125" style="349" bestFit="1" customWidth="1"/>
    <col min="11036" max="11038" width="5.875" style="349" bestFit="1" customWidth="1"/>
    <col min="11039" max="11039" width="6.625" style="349" bestFit="1" customWidth="1"/>
    <col min="11040" max="11040" width="11.875" style="349" bestFit="1" customWidth="1"/>
    <col min="11041" max="11041" width="10.625" style="349" bestFit="1" customWidth="1"/>
    <col min="11042" max="11042" width="5.5" style="349" bestFit="1" customWidth="1"/>
    <col min="11043" max="11043" width="10.25" style="349" bestFit="1" customWidth="1"/>
    <col min="11044" max="11044" width="6.375" style="349" bestFit="1" customWidth="1"/>
    <col min="11045" max="11045" width="1.75" style="349" bestFit="1" customWidth="1"/>
    <col min="11046" max="11046" width="6.875" style="349" bestFit="1" customWidth="1"/>
    <col min="11047" max="11047" width="1.75" style="349" bestFit="1" customWidth="1"/>
    <col min="11048" max="11048" width="7.375" style="349" bestFit="1" customWidth="1"/>
    <col min="11049" max="11049" width="5.125" style="349" bestFit="1" customWidth="1"/>
    <col min="11050" max="11050" width="10.125" style="349" bestFit="1" customWidth="1"/>
    <col min="11051" max="11051" width="21" style="349" bestFit="1" customWidth="1"/>
    <col min="11052" max="11052" width="12.625" style="349" bestFit="1" customWidth="1"/>
    <col min="11053" max="11054" width="9" style="349"/>
    <col min="11055" max="11055" width="15.875" style="349" bestFit="1" customWidth="1"/>
    <col min="11056" max="11264" width="9" style="349"/>
    <col min="11265" max="11265" width="15.25" style="349" bestFit="1" customWidth="1"/>
    <col min="11266" max="11266" width="23.125" style="349" bestFit="1" customWidth="1"/>
    <col min="11267" max="11267" width="8.25" style="349" bestFit="1" customWidth="1"/>
    <col min="11268" max="11268" width="43.5" style="349" bestFit="1" customWidth="1"/>
    <col min="11269" max="11270" width="5.75" style="349" customWidth="1"/>
    <col min="11271" max="11271" width="9.625" style="349" bestFit="1" customWidth="1"/>
    <col min="11272" max="11273" width="4.625" style="349" bestFit="1" customWidth="1"/>
    <col min="11274" max="11274" width="5.375" style="349" bestFit="1" customWidth="1"/>
    <col min="11275" max="11275" width="4.875" style="349" bestFit="1" customWidth="1"/>
    <col min="11276" max="11276" width="5" style="349" bestFit="1" customWidth="1"/>
    <col min="11277" max="11280" width="4.125" style="349" bestFit="1" customWidth="1"/>
    <col min="11281" max="11281" width="4.375" style="349" bestFit="1" customWidth="1"/>
    <col min="11282" max="11282" width="4.25" style="349" bestFit="1" customWidth="1"/>
    <col min="11283" max="11283" width="4.875" style="349" bestFit="1" customWidth="1"/>
    <col min="11284" max="11284" width="10.125" style="349" bestFit="1" customWidth="1"/>
    <col min="11285" max="11288" width="6.75" style="349" bestFit="1" customWidth="1"/>
    <col min="11289" max="11289" width="5.125" style="349" bestFit="1" customWidth="1"/>
    <col min="11290" max="11290" width="0" style="349" hidden="1" customWidth="1"/>
    <col min="11291" max="11291" width="5.125" style="349" bestFit="1" customWidth="1"/>
    <col min="11292" max="11294" width="5.875" style="349" bestFit="1" customWidth="1"/>
    <col min="11295" max="11295" width="6.625" style="349" bestFit="1" customWidth="1"/>
    <col min="11296" max="11296" width="11.875" style="349" bestFit="1" customWidth="1"/>
    <col min="11297" max="11297" width="10.625" style="349" bestFit="1" customWidth="1"/>
    <col min="11298" max="11298" width="5.5" style="349" bestFit="1" customWidth="1"/>
    <col min="11299" max="11299" width="10.25" style="349" bestFit="1" customWidth="1"/>
    <col min="11300" max="11300" width="6.375" style="349" bestFit="1" customWidth="1"/>
    <col min="11301" max="11301" width="1.75" style="349" bestFit="1" customWidth="1"/>
    <col min="11302" max="11302" width="6.875" style="349" bestFit="1" customWidth="1"/>
    <col min="11303" max="11303" width="1.75" style="349" bestFit="1" customWidth="1"/>
    <col min="11304" max="11304" width="7.375" style="349" bestFit="1" customWidth="1"/>
    <col min="11305" max="11305" width="5.125" style="349" bestFit="1" customWidth="1"/>
    <col min="11306" max="11306" width="10.125" style="349" bestFit="1" customWidth="1"/>
    <col min="11307" max="11307" width="21" style="349" bestFit="1" customWidth="1"/>
    <col min="11308" max="11308" width="12.625" style="349" bestFit="1" customWidth="1"/>
    <col min="11309" max="11310" width="9" style="349"/>
    <col min="11311" max="11311" width="15.875" style="349" bestFit="1" customWidth="1"/>
    <col min="11312" max="11520" width="9" style="349"/>
    <col min="11521" max="11521" width="15.25" style="349" bestFit="1" customWidth="1"/>
    <col min="11522" max="11522" width="23.125" style="349" bestFit="1" customWidth="1"/>
    <col min="11523" max="11523" width="8.25" style="349" bestFit="1" customWidth="1"/>
    <col min="11524" max="11524" width="43.5" style="349" bestFit="1" customWidth="1"/>
    <col min="11525" max="11526" width="5.75" style="349" customWidth="1"/>
    <col min="11527" max="11527" width="9.625" style="349" bestFit="1" customWidth="1"/>
    <col min="11528" max="11529" width="4.625" style="349" bestFit="1" customWidth="1"/>
    <col min="11530" max="11530" width="5.375" style="349" bestFit="1" customWidth="1"/>
    <col min="11531" max="11531" width="4.875" style="349" bestFit="1" customWidth="1"/>
    <col min="11532" max="11532" width="5" style="349" bestFit="1" customWidth="1"/>
    <col min="11533" max="11536" width="4.125" style="349" bestFit="1" customWidth="1"/>
    <col min="11537" max="11537" width="4.375" style="349" bestFit="1" customWidth="1"/>
    <col min="11538" max="11538" width="4.25" style="349" bestFit="1" customWidth="1"/>
    <col min="11539" max="11539" width="4.875" style="349" bestFit="1" customWidth="1"/>
    <col min="11540" max="11540" width="10.125" style="349" bestFit="1" customWidth="1"/>
    <col min="11541" max="11544" width="6.75" style="349" bestFit="1" customWidth="1"/>
    <col min="11545" max="11545" width="5.125" style="349" bestFit="1" customWidth="1"/>
    <col min="11546" max="11546" width="0" style="349" hidden="1" customWidth="1"/>
    <col min="11547" max="11547" width="5.125" style="349" bestFit="1" customWidth="1"/>
    <col min="11548" max="11550" width="5.875" style="349" bestFit="1" customWidth="1"/>
    <col min="11551" max="11551" width="6.625" style="349" bestFit="1" customWidth="1"/>
    <col min="11552" max="11552" width="11.875" style="349" bestFit="1" customWidth="1"/>
    <col min="11553" max="11553" width="10.625" style="349" bestFit="1" customWidth="1"/>
    <col min="11554" max="11554" width="5.5" style="349" bestFit="1" customWidth="1"/>
    <col min="11555" max="11555" width="10.25" style="349" bestFit="1" customWidth="1"/>
    <col min="11556" max="11556" width="6.375" style="349" bestFit="1" customWidth="1"/>
    <col min="11557" max="11557" width="1.75" style="349" bestFit="1" customWidth="1"/>
    <col min="11558" max="11558" width="6.875" style="349" bestFit="1" customWidth="1"/>
    <col min="11559" max="11559" width="1.75" style="349" bestFit="1" customWidth="1"/>
    <col min="11560" max="11560" width="7.375" style="349" bestFit="1" customWidth="1"/>
    <col min="11561" max="11561" width="5.125" style="349" bestFit="1" customWidth="1"/>
    <col min="11562" max="11562" width="10.125" style="349" bestFit="1" customWidth="1"/>
    <col min="11563" max="11563" width="21" style="349" bestFit="1" customWidth="1"/>
    <col min="11564" max="11564" width="12.625" style="349" bestFit="1" customWidth="1"/>
    <col min="11565" max="11566" width="9" style="349"/>
    <col min="11567" max="11567" width="15.875" style="349" bestFit="1" customWidth="1"/>
    <col min="11568" max="11776" width="9" style="349"/>
    <col min="11777" max="11777" width="15.25" style="349" bestFit="1" customWidth="1"/>
    <col min="11778" max="11778" width="23.125" style="349" bestFit="1" customWidth="1"/>
    <col min="11779" max="11779" width="8.25" style="349" bestFit="1" customWidth="1"/>
    <col min="11780" max="11780" width="43.5" style="349" bestFit="1" customWidth="1"/>
    <col min="11781" max="11782" width="5.75" style="349" customWidth="1"/>
    <col min="11783" max="11783" width="9.625" style="349" bestFit="1" customWidth="1"/>
    <col min="11784" max="11785" width="4.625" style="349" bestFit="1" customWidth="1"/>
    <col min="11786" max="11786" width="5.375" style="349" bestFit="1" customWidth="1"/>
    <col min="11787" max="11787" width="4.875" style="349" bestFit="1" customWidth="1"/>
    <col min="11788" max="11788" width="5" style="349" bestFit="1" customWidth="1"/>
    <col min="11789" max="11792" width="4.125" style="349" bestFit="1" customWidth="1"/>
    <col min="11793" max="11793" width="4.375" style="349" bestFit="1" customWidth="1"/>
    <col min="11794" max="11794" width="4.25" style="349" bestFit="1" customWidth="1"/>
    <col min="11795" max="11795" width="4.875" style="349" bestFit="1" customWidth="1"/>
    <col min="11796" max="11796" width="10.125" style="349" bestFit="1" customWidth="1"/>
    <col min="11797" max="11800" width="6.75" style="349" bestFit="1" customWidth="1"/>
    <col min="11801" max="11801" width="5.125" style="349" bestFit="1" customWidth="1"/>
    <col min="11802" max="11802" width="0" style="349" hidden="1" customWidth="1"/>
    <col min="11803" max="11803" width="5.125" style="349" bestFit="1" customWidth="1"/>
    <col min="11804" max="11806" width="5.875" style="349" bestFit="1" customWidth="1"/>
    <col min="11807" max="11807" width="6.625" style="349" bestFit="1" customWidth="1"/>
    <col min="11808" max="11808" width="11.875" style="349" bestFit="1" customWidth="1"/>
    <col min="11809" max="11809" width="10.625" style="349" bestFit="1" customWidth="1"/>
    <col min="11810" max="11810" width="5.5" style="349" bestFit="1" customWidth="1"/>
    <col min="11811" max="11811" width="10.25" style="349" bestFit="1" customWidth="1"/>
    <col min="11812" max="11812" width="6.375" style="349" bestFit="1" customWidth="1"/>
    <col min="11813" max="11813" width="1.75" style="349" bestFit="1" customWidth="1"/>
    <col min="11814" max="11814" width="6.875" style="349" bestFit="1" customWidth="1"/>
    <col min="11815" max="11815" width="1.75" style="349" bestFit="1" customWidth="1"/>
    <col min="11816" max="11816" width="7.375" style="349" bestFit="1" customWidth="1"/>
    <col min="11817" max="11817" width="5.125" style="349" bestFit="1" customWidth="1"/>
    <col min="11818" max="11818" width="10.125" style="349" bestFit="1" customWidth="1"/>
    <col min="11819" max="11819" width="21" style="349" bestFit="1" customWidth="1"/>
    <col min="11820" max="11820" width="12.625" style="349" bestFit="1" customWidth="1"/>
    <col min="11821" max="11822" width="9" style="349"/>
    <col min="11823" max="11823" width="15.875" style="349" bestFit="1" customWidth="1"/>
    <col min="11824" max="12032" width="9" style="349"/>
    <col min="12033" max="12033" width="15.25" style="349" bestFit="1" customWidth="1"/>
    <col min="12034" max="12034" width="23.125" style="349" bestFit="1" customWidth="1"/>
    <col min="12035" max="12035" width="8.25" style="349" bestFit="1" customWidth="1"/>
    <col min="12036" max="12036" width="43.5" style="349" bestFit="1" customWidth="1"/>
    <col min="12037" max="12038" width="5.75" style="349" customWidth="1"/>
    <col min="12039" max="12039" width="9.625" style="349" bestFit="1" customWidth="1"/>
    <col min="12040" max="12041" width="4.625" style="349" bestFit="1" customWidth="1"/>
    <col min="12042" max="12042" width="5.375" style="349" bestFit="1" customWidth="1"/>
    <col min="12043" max="12043" width="4.875" style="349" bestFit="1" customWidth="1"/>
    <col min="12044" max="12044" width="5" style="349" bestFit="1" customWidth="1"/>
    <col min="12045" max="12048" width="4.125" style="349" bestFit="1" customWidth="1"/>
    <col min="12049" max="12049" width="4.375" style="349" bestFit="1" customWidth="1"/>
    <col min="12050" max="12050" width="4.25" style="349" bestFit="1" customWidth="1"/>
    <col min="12051" max="12051" width="4.875" style="349" bestFit="1" customWidth="1"/>
    <col min="12052" max="12052" width="10.125" style="349" bestFit="1" customWidth="1"/>
    <col min="12053" max="12056" width="6.75" style="349" bestFit="1" customWidth="1"/>
    <col min="12057" max="12057" width="5.125" style="349" bestFit="1" customWidth="1"/>
    <col min="12058" max="12058" width="0" style="349" hidden="1" customWidth="1"/>
    <col min="12059" max="12059" width="5.125" style="349" bestFit="1" customWidth="1"/>
    <col min="12060" max="12062" width="5.875" style="349" bestFit="1" customWidth="1"/>
    <col min="12063" max="12063" width="6.625" style="349" bestFit="1" customWidth="1"/>
    <col min="12064" max="12064" width="11.875" style="349" bestFit="1" customWidth="1"/>
    <col min="12065" max="12065" width="10.625" style="349" bestFit="1" customWidth="1"/>
    <col min="12066" max="12066" width="5.5" style="349" bestFit="1" customWidth="1"/>
    <col min="12067" max="12067" width="10.25" style="349" bestFit="1" customWidth="1"/>
    <col min="12068" max="12068" width="6.375" style="349" bestFit="1" customWidth="1"/>
    <col min="12069" max="12069" width="1.75" style="349" bestFit="1" customWidth="1"/>
    <col min="12070" max="12070" width="6.875" style="349" bestFit="1" customWidth="1"/>
    <col min="12071" max="12071" width="1.75" style="349" bestFit="1" customWidth="1"/>
    <col min="12072" max="12072" width="7.375" style="349" bestFit="1" customWidth="1"/>
    <col min="12073" max="12073" width="5.125" style="349" bestFit="1" customWidth="1"/>
    <col min="12074" max="12074" width="10.125" style="349" bestFit="1" customWidth="1"/>
    <col min="12075" max="12075" width="21" style="349" bestFit="1" customWidth="1"/>
    <col min="12076" max="12076" width="12.625" style="349" bestFit="1" customWidth="1"/>
    <col min="12077" max="12078" width="9" style="349"/>
    <col min="12079" max="12079" width="15.875" style="349" bestFit="1" customWidth="1"/>
    <col min="12080" max="12288" width="9" style="349"/>
    <col min="12289" max="12289" width="15.25" style="349" bestFit="1" customWidth="1"/>
    <col min="12290" max="12290" width="23.125" style="349" bestFit="1" customWidth="1"/>
    <col min="12291" max="12291" width="8.25" style="349" bestFit="1" customWidth="1"/>
    <col min="12292" max="12292" width="43.5" style="349" bestFit="1" customWidth="1"/>
    <col min="12293" max="12294" width="5.75" style="349" customWidth="1"/>
    <col min="12295" max="12295" width="9.625" style="349" bestFit="1" customWidth="1"/>
    <col min="12296" max="12297" width="4.625" style="349" bestFit="1" customWidth="1"/>
    <col min="12298" max="12298" width="5.375" style="349" bestFit="1" customWidth="1"/>
    <col min="12299" max="12299" width="4.875" style="349" bestFit="1" customWidth="1"/>
    <col min="12300" max="12300" width="5" style="349" bestFit="1" customWidth="1"/>
    <col min="12301" max="12304" width="4.125" style="349" bestFit="1" customWidth="1"/>
    <col min="12305" max="12305" width="4.375" style="349" bestFit="1" customWidth="1"/>
    <col min="12306" max="12306" width="4.25" style="349" bestFit="1" customWidth="1"/>
    <col min="12307" max="12307" width="4.875" style="349" bestFit="1" customWidth="1"/>
    <col min="12308" max="12308" width="10.125" style="349" bestFit="1" customWidth="1"/>
    <col min="12309" max="12312" width="6.75" style="349" bestFit="1" customWidth="1"/>
    <col min="12313" max="12313" width="5.125" style="349" bestFit="1" customWidth="1"/>
    <col min="12314" max="12314" width="0" style="349" hidden="1" customWidth="1"/>
    <col min="12315" max="12315" width="5.125" style="349" bestFit="1" customWidth="1"/>
    <col min="12316" max="12318" width="5.875" style="349" bestFit="1" customWidth="1"/>
    <col min="12319" max="12319" width="6.625" style="349" bestFit="1" customWidth="1"/>
    <col min="12320" max="12320" width="11.875" style="349" bestFit="1" customWidth="1"/>
    <col min="12321" max="12321" width="10.625" style="349" bestFit="1" customWidth="1"/>
    <col min="12322" max="12322" width="5.5" style="349" bestFit="1" customWidth="1"/>
    <col min="12323" max="12323" width="10.25" style="349" bestFit="1" customWidth="1"/>
    <col min="12324" max="12324" width="6.375" style="349" bestFit="1" customWidth="1"/>
    <col min="12325" max="12325" width="1.75" style="349" bestFit="1" customWidth="1"/>
    <col min="12326" max="12326" width="6.875" style="349" bestFit="1" customWidth="1"/>
    <col min="12327" max="12327" width="1.75" style="349" bestFit="1" customWidth="1"/>
    <col min="12328" max="12328" width="7.375" style="349" bestFit="1" customWidth="1"/>
    <col min="12329" max="12329" width="5.125" style="349" bestFit="1" customWidth="1"/>
    <col min="12330" max="12330" width="10.125" style="349" bestFit="1" customWidth="1"/>
    <col min="12331" max="12331" width="21" style="349" bestFit="1" customWidth="1"/>
    <col min="12332" max="12332" width="12.625" style="349" bestFit="1" customWidth="1"/>
    <col min="12333" max="12334" width="9" style="349"/>
    <col min="12335" max="12335" width="15.875" style="349" bestFit="1" customWidth="1"/>
    <col min="12336" max="12544" width="9" style="349"/>
    <col min="12545" max="12545" width="15.25" style="349" bestFit="1" customWidth="1"/>
    <col min="12546" max="12546" width="23.125" style="349" bestFit="1" customWidth="1"/>
    <col min="12547" max="12547" width="8.25" style="349" bestFit="1" customWidth="1"/>
    <col min="12548" max="12548" width="43.5" style="349" bestFit="1" customWidth="1"/>
    <col min="12549" max="12550" width="5.75" style="349" customWidth="1"/>
    <col min="12551" max="12551" width="9.625" style="349" bestFit="1" customWidth="1"/>
    <col min="12552" max="12553" width="4.625" style="349" bestFit="1" customWidth="1"/>
    <col min="12554" max="12554" width="5.375" style="349" bestFit="1" customWidth="1"/>
    <col min="12555" max="12555" width="4.875" style="349" bestFit="1" customWidth="1"/>
    <col min="12556" max="12556" width="5" style="349" bestFit="1" customWidth="1"/>
    <col min="12557" max="12560" width="4.125" style="349" bestFit="1" customWidth="1"/>
    <col min="12561" max="12561" width="4.375" style="349" bestFit="1" customWidth="1"/>
    <col min="12562" max="12562" width="4.25" style="349" bestFit="1" customWidth="1"/>
    <col min="12563" max="12563" width="4.875" style="349" bestFit="1" customWidth="1"/>
    <col min="12564" max="12564" width="10.125" style="349" bestFit="1" customWidth="1"/>
    <col min="12565" max="12568" width="6.75" style="349" bestFit="1" customWidth="1"/>
    <col min="12569" max="12569" width="5.125" style="349" bestFit="1" customWidth="1"/>
    <col min="12570" max="12570" width="0" style="349" hidden="1" customWidth="1"/>
    <col min="12571" max="12571" width="5.125" style="349" bestFit="1" customWidth="1"/>
    <col min="12572" max="12574" width="5.875" style="349" bestFit="1" customWidth="1"/>
    <col min="12575" max="12575" width="6.625" style="349" bestFit="1" customWidth="1"/>
    <col min="12576" max="12576" width="11.875" style="349" bestFit="1" customWidth="1"/>
    <col min="12577" max="12577" width="10.625" style="349" bestFit="1" customWidth="1"/>
    <col min="12578" max="12578" width="5.5" style="349" bestFit="1" customWidth="1"/>
    <col min="12579" max="12579" width="10.25" style="349" bestFit="1" customWidth="1"/>
    <col min="12580" max="12580" width="6.375" style="349" bestFit="1" customWidth="1"/>
    <col min="12581" max="12581" width="1.75" style="349" bestFit="1" customWidth="1"/>
    <col min="12582" max="12582" width="6.875" style="349" bestFit="1" customWidth="1"/>
    <col min="12583" max="12583" width="1.75" style="349" bestFit="1" customWidth="1"/>
    <col min="12584" max="12584" width="7.375" style="349" bestFit="1" customWidth="1"/>
    <col min="12585" max="12585" width="5.125" style="349" bestFit="1" customWidth="1"/>
    <col min="12586" max="12586" width="10.125" style="349" bestFit="1" customWidth="1"/>
    <col min="12587" max="12587" width="21" style="349" bestFit="1" customWidth="1"/>
    <col min="12588" max="12588" width="12.625" style="349" bestFit="1" customWidth="1"/>
    <col min="12589" max="12590" width="9" style="349"/>
    <col min="12591" max="12591" width="15.875" style="349" bestFit="1" customWidth="1"/>
    <col min="12592" max="12800" width="9" style="349"/>
    <col min="12801" max="12801" width="15.25" style="349" bestFit="1" customWidth="1"/>
    <col min="12802" max="12802" width="23.125" style="349" bestFit="1" customWidth="1"/>
    <col min="12803" max="12803" width="8.25" style="349" bestFit="1" customWidth="1"/>
    <col min="12804" max="12804" width="43.5" style="349" bestFit="1" customWidth="1"/>
    <col min="12805" max="12806" width="5.75" style="349" customWidth="1"/>
    <col min="12807" max="12807" width="9.625" style="349" bestFit="1" customWidth="1"/>
    <col min="12808" max="12809" width="4.625" style="349" bestFit="1" customWidth="1"/>
    <col min="12810" max="12810" width="5.375" style="349" bestFit="1" customWidth="1"/>
    <col min="12811" max="12811" width="4.875" style="349" bestFit="1" customWidth="1"/>
    <col min="12812" max="12812" width="5" style="349" bestFit="1" customWidth="1"/>
    <col min="12813" max="12816" width="4.125" style="349" bestFit="1" customWidth="1"/>
    <col min="12817" max="12817" width="4.375" style="349" bestFit="1" customWidth="1"/>
    <col min="12818" max="12818" width="4.25" style="349" bestFit="1" customWidth="1"/>
    <col min="12819" max="12819" width="4.875" style="349" bestFit="1" customWidth="1"/>
    <col min="12820" max="12820" width="10.125" style="349" bestFit="1" customWidth="1"/>
    <col min="12821" max="12824" width="6.75" style="349" bestFit="1" customWidth="1"/>
    <col min="12825" max="12825" width="5.125" style="349" bestFit="1" customWidth="1"/>
    <col min="12826" max="12826" width="0" style="349" hidden="1" customWidth="1"/>
    <col min="12827" max="12827" width="5.125" style="349" bestFit="1" customWidth="1"/>
    <col min="12828" max="12830" width="5.875" style="349" bestFit="1" customWidth="1"/>
    <col min="12831" max="12831" width="6.625" style="349" bestFit="1" customWidth="1"/>
    <col min="12832" max="12832" width="11.875" style="349" bestFit="1" customWidth="1"/>
    <col min="12833" max="12833" width="10.625" style="349" bestFit="1" customWidth="1"/>
    <col min="12834" max="12834" width="5.5" style="349" bestFit="1" customWidth="1"/>
    <col min="12835" max="12835" width="10.25" style="349" bestFit="1" customWidth="1"/>
    <col min="12836" max="12836" width="6.375" style="349" bestFit="1" customWidth="1"/>
    <col min="12837" max="12837" width="1.75" style="349" bestFit="1" customWidth="1"/>
    <col min="12838" max="12838" width="6.875" style="349" bestFit="1" customWidth="1"/>
    <col min="12839" max="12839" width="1.75" style="349" bestFit="1" customWidth="1"/>
    <col min="12840" max="12840" width="7.375" style="349" bestFit="1" customWidth="1"/>
    <col min="12841" max="12841" width="5.125" style="349" bestFit="1" customWidth="1"/>
    <col min="12842" max="12842" width="10.125" style="349" bestFit="1" customWidth="1"/>
    <col min="12843" max="12843" width="21" style="349" bestFit="1" customWidth="1"/>
    <col min="12844" max="12844" width="12.625" style="349" bestFit="1" customWidth="1"/>
    <col min="12845" max="12846" width="9" style="349"/>
    <col min="12847" max="12847" width="15.875" style="349" bestFit="1" customWidth="1"/>
    <col min="12848" max="13056" width="9" style="349"/>
    <col min="13057" max="13057" width="15.25" style="349" bestFit="1" customWidth="1"/>
    <col min="13058" max="13058" width="23.125" style="349" bestFit="1" customWidth="1"/>
    <col min="13059" max="13059" width="8.25" style="349" bestFit="1" customWidth="1"/>
    <col min="13060" max="13060" width="43.5" style="349" bestFit="1" customWidth="1"/>
    <col min="13061" max="13062" width="5.75" style="349" customWidth="1"/>
    <col min="13063" max="13063" width="9.625" style="349" bestFit="1" customWidth="1"/>
    <col min="13064" max="13065" width="4.625" style="349" bestFit="1" customWidth="1"/>
    <col min="13066" max="13066" width="5.375" style="349" bestFit="1" customWidth="1"/>
    <col min="13067" max="13067" width="4.875" style="349" bestFit="1" customWidth="1"/>
    <col min="13068" max="13068" width="5" style="349" bestFit="1" customWidth="1"/>
    <col min="13069" max="13072" width="4.125" style="349" bestFit="1" customWidth="1"/>
    <col min="13073" max="13073" width="4.375" style="349" bestFit="1" customWidth="1"/>
    <col min="13074" max="13074" width="4.25" style="349" bestFit="1" customWidth="1"/>
    <col min="13075" max="13075" width="4.875" style="349" bestFit="1" customWidth="1"/>
    <col min="13076" max="13076" width="10.125" style="349" bestFit="1" customWidth="1"/>
    <col min="13077" max="13080" width="6.75" style="349" bestFit="1" customWidth="1"/>
    <col min="13081" max="13081" width="5.125" style="349" bestFit="1" customWidth="1"/>
    <col min="13082" max="13082" width="0" style="349" hidden="1" customWidth="1"/>
    <col min="13083" max="13083" width="5.125" style="349" bestFit="1" customWidth="1"/>
    <col min="13084" max="13086" width="5.875" style="349" bestFit="1" customWidth="1"/>
    <col min="13087" max="13087" width="6.625" style="349" bestFit="1" customWidth="1"/>
    <col min="13088" max="13088" width="11.875" style="349" bestFit="1" customWidth="1"/>
    <col min="13089" max="13089" width="10.625" style="349" bestFit="1" customWidth="1"/>
    <col min="13090" max="13090" width="5.5" style="349" bestFit="1" customWidth="1"/>
    <col min="13091" max="13091" width="10.25" style="349" bestFit="1" customWidth="1"/>
    <col min="13092" max="13092" width="6.375" style="349" bestFit="1" customWidth="1"/>
    <col min="13093" max="13093" width="1.75" style="349" bestFit="1" customWidth="1"/>
    <col min="13094" max="13094" width="6.875" style="349" bestFit="1" customWidth="1"/>
    <col min="13095" max="13095" width="1.75" style="349" bestFit="1" customWidth="1"/>
    <col min="13096" max="13096" width="7.375" style="349" bestFit="1" customWidth="1"/>
    <col min="13097" max="13097" width="5.125" style="349" bestFit="1" customWidth="1"/>
    <col min="13098" max="13098" width="10.125" style="349" bestFit="1" customWidth="1"/>
    <col min="13099" max="13099" width="21" style="349" bestFit="1" customWidth="1"/>
    <col min="13100" max="13100" width="12.625" style="349" bestFit="1" customWidth="1"/>
    <col min="13101" max="13102" width="9" style="349"/>
    <col min="13103" max="13103" width="15.875" style="349" bestFit="1" customWidth="1"/>
    <col min="13104" max="13312" width="9" style="349"/>
    <col min="13313" max="13313" width="15.25" style="349" bestFit="1" customWidth="1"/>
    <col min="13314" max="13314" width="23.125" style="349" bestFit="1" customWidth="1"/>
    <col min="13315" max="13315" width="8.25" style="349" bestFit="1" customWidth="1"/>
    <col min="13316" max="13316" width="43.5" style="349" bestFit="1" customWidth="1"/>
    <col min="13317" max="13318" width="5.75" style="349" customWidth="1"/>
    <col min="13319" max="13319" width="9.625" style="349" bestFit="1" customWidth="1"/>
    <col min="13320" max="13321" width="4.625" style="349" bestFit="1" customWidth="1"/>
    <col min="13322" max="13322" width="5.375" style="349" bestFit="1" customWidth="1"/>
    <col min="13323" max="13323" width="4.875" style="349" bestFit="1" customWidth="1"/>
    <col min="13324" max="13324" width="5" style="349" bestFit="1" customWidth="1"/>
    <col min="13325" max="13328" width="4.125" style="349" bestFit="1" customWidth="1"/>
    <col min="13329" max="13329" width="4.375" style="349" bestFit="1" customWidth="1"/>
    <col min="13330" max="13330" width="4.25" style="349" bestFit="1" customWidth="1"/>
    <col min="13331" max="13331" width="4.875" style="349" bestFit="1" customWidth="1"/>
    <col min="13332" max="13332" width="10.125" style="349" bestFit="1" customWidth="1"/>
    <col min="13333" max="13336" width="6.75" style="349" bestFit="1" customWidth="1"/>
    <col min="13337" max="13337" width="5.125" style="349" bestFit="1" customWidth="1"/>
    <col min="13338" max="13338" width="0" style="349" hidden="1" customWidth="1"/>
    <col min="13339" max="13339" width="5.125" style="349" bestFit="1" customWidth="1"/>
    <col min="13340" max="13342" width="5.875" style="349" bestFit="1" customWidth="1"/>
    <col min="13343" max="13343" width="6.625" style="349" bestFit="1" customWidth="1"/>
    <col min="13344" max="13344" width="11.875" style="349" bestFit="1" customWidth="1"/>
    <col min="13345" max="13345" width="10.625" style="349" bestFit="1" customWidth="1"/>
    <col min="13346" max="13346" width="5.5" style="349" bestFit="1" customWidth="1"/>
    <col min="13347" max="13347" width="10.25" style="349" bestFit="1" customWidth="1"/>
    <col min="13348" max="13348" width="6.375" style="349" bestFit="1" customWidth="1"/>
    <col min="13349" max="13349" width="1.75" style="349" bestFit="1" customWidth="1"/>
    <col min="13350" max="13350" width="6.875" style="349" bestFit="1" customWidth="1"/>
    <col min="13351" max="13351" width="1.75" style="349" bestFit="1" customWidth="1"/>
    <col min="13352" max="13352" width="7.375" style="349" bestFit="1" customWidth="1"/>
    <col min="13353" max="13353" width="5.125" style="349" bestFit="1" customWidth="1"/>
    <col min="13354" max="13354" width="10.125" style="349" bestFit="1" customWidth="1"/>
    <col min="13355" max="13355" width="21" style="349" bestFit="1" customWidth="1"/>
    <col min="13356" max="13356" width="12.625" style="349" bestFit="1" customWidth="1"/>
    <col min="13357" max="13358" width="9" style="349"/>
    <col min="13359" max="13359" width="15.875" style="349" bestFit="1" customWidth="1"/>
    <col min="13360" max="13568" width="9" style="349"/>
    <col min="13569" max="13569" width="15.25" style="349" bestFit="1" customWidth="1"/>
    <col min="13570" max="13570" width="23.125" style="349" bestFit="1" customWidth="1"/>
    <col min="13571" max="13571" width="8.25" style="349" bestFit="1" customWidth="1"/>
    <col min="13572" max="13572" width="43.5" style="349" bestFit="1" customWidth="1"/>
    <col min="13573" max="13574" width="5.75" style="349" customWidth="1"/>
    <col min="13575" max="13575" width="9.625" style="349" bestFit="1" customWidth="1"/>
    <col min="13576" max="13577" width="4.625" style="349" bestFit="1" customWidth="1"/>
    <col min="13578" max="13578" width="5.375" style="349" bestFit="1" customWidth="1"/>
    <col min="13579" max="13579" width="4.875" style="349" bestFit="1" customWidth="1"/>
    <col min="13580" max="13580" width="5" style="349" bestFit="1" customWidth="1"/>
    <col min="13581" max="13584" width="4.125" style="349" bestFit="1" customWidth="1"/>
    <col min="13585" max="13585" width="4.375" style="349" bestFit="1" customWidth="1"/>
    <col min="13586" max="13586" width="4.25" style="349" bestFit="1" customWidth="1"/>
    <col min="13587" max="13587" width="4.875" style="349" bestFit="1" customWidth="1"/>
    <col min="13588" max="13588" width="10.125" style="349" bestFit="1" customWidth="1"/>
    <col min="13589" max="13592" width="6.75" style="349" bestFit="1" customWidth="1"/>
    <col min="13593" max="13593" width="5.125" style="349" bestFit="1" customWidth="1"/>
    <col min="13594" max="13594" width="0" style="349" hidden="1" customWidth="1"/>
    <col min="13595" max="13595" width="5.125" style="349" bestFit="1" customWidth="1"/>
    <col min="13596" max="13598" width="5.875" style="349" bestFit="1" customWidth="1"/>
    <col min="13599" max="13599" width="6.625" style="349" bestFit="1" customWidth="1"/>
    <col min="13600" max="13600" width="11.875" style="349" bestFit="1" customWidth="1"/>
    <col min="13601" max="13601" width="10.625" style="349" bestFit="1" customWidth="1"/>
    <col min="13602" max="13602" width="5.5" style="349" bestFit="1" customWidth="1"/>
    <col min="13603" max="13603" width="10.25" style="349" bestFit="1" customWidth="1"/>
    <col min="13604" max="13604" width="6.375" style="349" bestFit="1" customWidth="1"/>
    <col min="13605" max="13605" width="1.75" style="349" bestFit="1" customWidth="1"/>
    <col min="13606" max="13606" width="6.875" style="349" bestFit="1" customWidth="1"/>
    <col min="13607" max="13607" width="1.75" style="349" bestFit="1" customWidth="1"/>
    <col min="13608" max="13608" width="7.375" style="349" bestFit="1" customWidth="1"/>
    <col min="13609" max="13609" width="5.125" style="349" bestFit="1" customWidth="1"/>
    <col min="13610" max="13610" width="10.125" style="349" bestFit="1" customWidth="1"/>
    <col min="13611" max="13611" width="21" style="349" bestFit="1" customWidth="1"/>
    <col min="13612" max="13612" width="12.625" style="349" bestFit="1" customWidth="1"/>
    <col min="13613" max="13614" width="9" style="349"/>
    <col min="13615" max="13615" width="15.875" style="349" bestFit="1" customWidth="1"/>
    <col min="13616" max="13824" width="9" style="349"/>
    <col min="13825" max="13825" width="15.25" style="349" bestFit="1" customWidth="1"/>
    <col min="13826" max="13826" width="23.125" style="349" bestFit="1" customWidth="1"/>
    <col min="13827" max="13827" width="8.25" style="349" bestFit="1" customWidth="1"/>
    <col min="13828" max="13828" width="43.5" style="349" bestFit="1" customWidth="1"/>
    <col min="13829" max="13830" width="5.75" style="349" customWidth="1"/>
    <col min="13831" max="13831" width="9.625" style="349" bestFit="1" customWidth="1"/>
    <col min="13832" max="13833" width="4.625" style="349" bestFit="1" customWidth="1"/>
    <col min="13834" max="13834" width="5.375" style="349" bestFit="1" customWidth="1"/>
    <col min="13835" max="13835" width="4.875" style="349" bestFit="1" customWidth="1"/>
    <col min="13836" max="13836" width="5" style="349" bestFit="1" customWidth="1"/>
    <col min="13837" max="13840" width="4.125" style="349" bestFit="1" customWidth="1"/>
    <col min="13841" max="13841" width="4.375" style="349" bestFit="1" customWidth="1"/>
    <col min="13842" max="13842" width="4.25" style="349" bestFit="1" customWidth="1"/>
    <col min="13843" max="13843" width="4.875" style="349" bestFit="1" customWidth="1"/>
    <col min="13844" max="13844" width="10.125" style="349" bestFit="1" customWidth="1"/>
    <col min="13845" max="13848" width="6.75" style="349" bestFit="1" customWidth="1"/>
    <col min="13849" max="13849" width="5.125" style="349" bestFit="1" customWidth="1"/>
    <col min="13850" max="13850" width="0" style="349" hidden="1" customWidth="1"/>
    <col min="13851" max="13851" width="5.125" style="349" bestFit="1" customWidth="1"/>
    <col min="13852" max="13854" width="5.875" style="349" bestFit="1" customWidth="1"/>
    <col min="13855" max="13855" width="6.625" style="349" bestFit="1" customWidth="1"/>
    <col min="13856" max="13856" width="11.875" style="349" bestFit="1" customWidth="1"/>
    <col min="13857" max="13857" width="10.625" style="349" bestFit="1" customWidth="1"/>
    <col min="13858" max="13858" width="5.5" style="349" bestFit="1" customWidth="1"/>
    <col min="13859" max="13859" width="10.25" style="349" bestFit="1" customWidth="1"/>
    <col min="13860" max="13860" width="6.375" style="349" bestFit="1" customWidth="1"/>
    <col min="13861" max="13861" width="1.75" style="349" bestFit="1" customWidth="1"/>
    <col min="13862" max="13862" width="6.875" style="349" bestFit="1" customWidth="1"/>
    <col min="13863" max="13863" width="1.75" style="349" bestFit="1" customWidth="1"/>
    <col min="13864" max="13864" width="7.375" style="349" bestFit="1" customWidth="1"/>
    <col min="13865" max="13865" width="5.125" style="349" bestFit="1" customWidth="1"/>
    <col min="13866" max="13866" width="10.125" style="349" bestFit="1" customWidth="1"/>
    <col min="13867" max="13867" width="21" style="349" bestFit="1" customWidth="1"/>
    <col min="13868" max="13868" width="12.625" style="349" bestFit="1" customWidth="1"/>
    <col min="13869" max="13870" width="9" style="349"/>
    <col min="13871" max="13871" width="15.875" style="349" bestFit="1" customWidth="1"/>
    <col min="13872" max="14080" width="9" style="349"/>
    <col min="14081" max="14081" width="15.25" style="349" bestFit="1" customWidth="1"/>
    <col min="14082" max="14082" width="23.125" style="349" bestFit="1" customWidth="1"/>
    <col min="14083" max="14083" width="8.25" style="349" bestFit="1" customWidth="1"/>
    <col min="14084" max="14084" width="43.5" style="349" bestFit="1" customWidth="1"/>
    <col min="14085" max="14086" width="5.75" style="349" customWidth="1"/>
    <col min="14087" max="14087" width="9.625" style="349" bestFit="1" customWidth="1"/>
    <col min="14088" max="14089" width="4.625" style="349" bestFit="1" customWidth="1"/>
    <col min="14090" max="14090" width="5.375" style="349" bestFit="1" customWidth="1"/>
    <col min="14091" max="14091" width="4.875" style="349" bestFit="1" customWidth="1"/>
    <col min="14092" max="14092" width="5" style="349" bestFit="1" customWidth="1"/>
    <col min="14093" max="14096" width="4.125" style="349" bestFit="1" customWidth="1"/>
    <col min="14097" max="14097" width="4.375" style="349" bestFit="1" customWidth="1"/>
    <col min="14098" max="14098" width="4.25" style="349" bestFit="1" customWidth="1"/>
    <col min="14099" max="14099" width="4.875" style="349" bestFit="1" customWidth="1"/>
    <col min="14100" max="14100" width="10.125" style="349" bestFit="1" customWidth="1"/>
    <col min="14101" max="14104" width="6.75" style="349" bestFit="1" customWidth="1"/>
    <col min="14105" max="14105" width="5.125" style="349" bestFit="1" customWidth="1"/>
    <col min="14106" max="14106" width="0" style="349" hidden="1" customWidth="1"/>
    <col min="14107" max="14107" width="5.125" style="349" bestFit="1" customWidth="1"/>
    <col min="14108" max="14110" width="5.875" style="349" bestFit="1" customWidth="1"/>
    <col min="14111" max="14111" width="6.625" style="349" bestFit="1" customWidth="1"/>
    <col min="14112" max="14112" width="11.875" style="349" bestFit="1" customWidth="1"/>
    <col min="14113" max="14113" width="10.625" style="349" bestFit="1" customWidth="1"/>
    <col min="14114" max="14114" width="5.5" style="349" bestFit="1" customWidth="1"/>
    <col min="14115" max="14115" width="10.25" style="349" bestFit="1" customWidth="1"/>
    <col min="14116" max="14116" width="6.375" style="349" bestFit="1" customWidth="1"/>
    <col min="14117" max="14117" width="1.75" style="349" bestFit="1" customWidth="1"/>
    <col min="14118" max="14118" width="6.875" style="349" bestFit="1" customWidth="1"/>
    <col min="14119" max="14119" width="1.75" style="349" bestFit="1" customWidth="1"/>
    <col min="14120" max="14120" width="7.375" style="349" bestFit="1" customWidth="1"/>
    <col min="14121" max="14121" width="5.125" style="349" bestFit="1" customWidth="1"/>
    <col min="14122" max="14122" width="10.125" style="349" bestFit="1" customWidth="1"/>
    <col min="14123" max="14123" width="21" style="349" bestFit="1" customWidth="1"/>
    <col min="14124" max="14124" width="12.625" style="349" bestFit="1" customWidth="1"/>
    <col min="14125" max="14126" width="9" style="349"/>
    <col min="14127" max="14127" width="15.875" style="349" bestFit="1" customWidth="1"/>
    <col min="14128" max="14336" width="9" style="349"/>
    <col min="14337" max="14337" width="15.25" style="349" bestFit="1" customWidth="1"/>
    <col min="14338" max="14338" width="23.125" style="349" bestFit="1" customWidth="1"/>
    <col min="14339" max="14339" width="8.25" style="349" bestFit="1" customWidth="1"/>
    <col min="14340" max="14340" width="43.5" style="349" bestFit="1" customWidth="1"/>
    <col min="14341" max="14342" width="5.75" style="349" customWidth="1"/>
    <col min="14343" max="14343" width="9.625" style="349" bestFit="1" customWidth="1"/>
    <col min="14344" max="14345" width="4.625" style="349" bestFit="1" customWidth="1"/>
    <col min="14346" max="14346" width="5.375" style="349" bestFit="1" customWidth="1"/>
    <col min="14347" max="14347" width="4.875" style="349" bestFit="1" customWidth="1"/>
    <col min="14348" max="14348" width="5" style="349" bestFit="1" customWidth="1"/>
    <col min="14349" max="14352" width="4.125" style="349" bestFit="1" customWidth="1"/>
    <col min="14353" max="14353" width="4.375" style="349" bestFit="1" customWidth="1"/>
    <col min="14354" max="14354" width="4.25" style="349" bestFit="1" customWidth="1"/>
    <col min="14355" max="14355" width="4.875" style="349" bestFit="1" customWidth="1"/>
    <col min="14356" max="14356" width="10.125" style="349" bestFit="1" customWidth="1"/>
    <col min="14357" max="14360" width="6.75" style="349" bestFit="1" customWidth="1"/>
    <col min="14361" max="14361" width="5.125" style="349" bestFit="1" customWidth="1"/>
    <col min="14362" max="14362" width="0" style="349" hidden="1" customWidth="1"/>
    <col min="14363" max="14363" width="5.125" style="349" bestFit="1" customWidth="1"/>
    <col min="14364" max="14366" width="5.875" style="349" bestFit="1" customWidth="1"/>
    <col min="14367" max="14367" width="6.625" style="349" bestFit="1" customWidth="1"/>
    <col min="14368" max="14368" width="11.875" style="349" bestFit="1" customWidth="1"/>
    <col min="14369" max="14369" width="10.625" style="349" bestFit="1" customWidth="1"/>
    <col min="14370" max="14370" width="5.5" style="349" bestFit="1" customWidth="1"/>
    <col min="14371" max="14371" width="10.25" style="349" bestFit="1" customWidth="1"/>
    <col min="14372" max="14372" width="6.375" style="349" bestFit="1" customWidth="1"/>
    <col min="14373" max="14373" width="1.75" style="349" bestFit="1" customWidth="1"/>
    <col min="14374" max="14374" width="6.875" style="349" bestFit="1" customWidth="1"/>
    <col min="14375" max="14375" width="1.75" style="349" bestFit="1" customWidth="1"/>
    <col min="14376" max="14376" width="7.375" style="349" bestFit="1" customWidth="1"/>
    <col min="14377" max="14377" width="5.125" style="349" bestFit="1" customWidth="1"/>
    <col min="14378" max="14378" width="10.125" style="349" bestFit="1" customWidth="1"/>
    <col min="14379" max="14379" width="21" style="349" bestFit="1" customWidth="1"/>
    <col min="14380" max="14380" width="12.625" style="349" bestFit="1" customWidth="1"/>
    <col min="14381" max="14382" width="9" style="349"/>
    <col min="14383" max="14383" width="15.875" style="349" bestFit="1" customWidth="1"/>
    <col min="14384" max="14592" width="9" style="349"/>
    <col min="14593" max="14593" width="15.25" style="349" bestFit="1" customWidth="1"/>
    <col min="14594" max="14594" width="23.125" style="349" bestFit="1" customWidth="1"/>
    <col min="14595" max="14595" width="8.25" style="349" bestFit="1" customWidth="1"/>
    <col min="14596" max="14596" width="43.5" style="349" bestFit="1" customWidth="1"/>
    <col min="14597" max="14598" width="5.75" style="349" customWidth="1"/>
    <col min="14599" max="14599" width="9.625" style="349" bestFit="1" customWidth="1"/>
    <col min="14600" max="14601" width="4.625" style="349" bestFit="1" customWidth="1"/>
    <col min="14602" max="14602" width="5.375" style="349" bestFit="1" customWidth="1"/>
    <col min="14603" max="14603" width="4.875" style="349" bestFit="1" customWidth="1"/>
    <col min="14604" max="14604" width="5" style="349" bestFit="1" customWidth="1"/>
    <col min="14605" max="14608" width="4.125" style="349" bestFit="1" customWidth="1"/>
    <col min="14609" max="14609" width="4.375" style="349" bestFit="1" customWidth="1"/>
    <col min="14610" max="14610" width="4.25" style="349" bestFit="1" customWidth="1"/>
    <col min="14611" max="14611" width="4.875" style="349" bestFit="1" customWidth="1"/>
    <col min="14612" max="14612" width="10.125" style="349" bestFit="1" customWidth="1"/>
    <col min="14613" max="14616" width="6.75" style="349" bestFit="1" customWidth="1"/>
    <col min="14617" max="14617" width="5.125" style="349" bestFit="1" customWidth="1"/>
    <col min="14618" max="14618" width="0" style="349" hidden="1" customWidth="1"/>
    <col min="14619" max="14619" width="5.125" style="349" bestFit="1" customWidth="1"/>
    <col min="14620" max="14622" width="5.875" style="349" bestFit="1" customWidth="1"/>
    <col min="14623" max="14623" width="6.625" style="349" bestFit="1" customWidth="1"/>
    <col min="14624" max="14624" width="11.875" style="349" bestFit="1" customWidth="1"/>
    <col min="14625" max="14625" width="10.625" style="349" bestFit="1" customWidth="1"/>
    <col min="14626" max="14626" width="5.5" style="349" bestFit="1" customWidth="1"/>
    <col min="14627" max="14627" width="10.25" style="349" bestFit="1" customWidth="1"/>
    <col min="14628" max="14628" width="6.375" style="349" bestFit="1" customWidth="1"/>
    <col min="14629" max="14629" width="1.75" style="349" bestFit="1" customWidth="1"/>
    <col min="14630" max="14630" width="6.875" style="349" bestFit="1" customWidth="1"/>
    <col min="14631" max="14631" width="1.75" style="349" bestFit="1" customWidth="1"/>
    <col min="14632" max="14632" width="7.375" style="349" bestFit="1" customWidth="1"/>
    <col min="14633" max="14633" width="5.125" style="349" bestFit="1" customWidth="1"/>
    <col min="14634" max="14634" width="10.125" style="349" bestFit="1" customWidth="1"/>
    <col min="14635" max="14635" width="21" style="349" bestFit="1" customWidth="1"/>
    <col min="14636" max="14636" width="12.625" style="349" bestFit="1" customWidth="1"/>
    <col min="14637" max="14638" width="9" style="349"/>
    <col min="14639" max="14639" width="15.875" style="349" bestFit="1" customWidth="1"/>
    <col min="14640" max="14848" width="9" style="349"/>
    <col min="14849" max="14849" width="15.25" style="349" bestFit="1" customWidth="1"/>
    <col min="14850" max="14850" width="23.125" style="349" bestFit="1" customWidth="1"/>
    <col min="14851" max="14851" width="8.25" style="349" bestFit="1" customWidth="1"/>
    <col min="14852" max="14852" width="43.5" style="349" bestFit="1" customWidth="1"/>
    <col min="14853" max="14854" width="5.75" style="349" customWidth="1"/>
    <col min="14855" max="14855" width="9.625" style="349" bestFit="1" customWidth="1"/>
    <col min="14856" max="14857" width="4.625" style="349" bestFit="1" customWidth="1"/>
    <col min="14858" max="14858" width="5.375" style="349" bestFit="1" customWidth="1"/>
    <col min="14859" max="14859" width="4.875" style="349" bestFit="1" customWidth="1"/>
    <col min="14860" max="14860" width="5" style="349" bestFit="1" customWidth="1"/>
    <col min="14861" max="14864" width="4.125" style="349" bestFit="1" customWidth="1"/>
    <col min="14865" max="14865" width="4.375" style="349" bestFit="1" customWidth="1"/>
    <col min="14866" max="14866" width="4.25" style="349" bestFit="1" customWidth="1"/>
    <col min="14867" max="14867" width="4.875" style="349" bestFit="1" customWidth="1"/>
    <col min="14868" max="14868" width="10.125" style="349" bestFit="1" customWidth="1"/>
    <col min="14869" max="14872" width="6.75" style="349" bestFit="1" customWidth="1"/>
    <col min="14873" max="14873" width="5.125" style="349" bestFit="1" customWidth="1"/>
    <col min="14874" max="14874" width="0" style="349" hidden="1" customWidth="1"/>
    <col min="14875" max="14875" width="5.125" style="349" bestFit="1" customWidth="1"/>
    <col min="14876" max="14878" width="5.875" style="349" bestFit="1" customWidth="1"/>
    <col min="14879" max="14879" width="6.625" style="349" bestFit="1" customWidth="1"/>
    <col min="14880" max="14880" width="11.875" style="349" bestFit="1" customWidth="1"/>
    <col min="14881" max="14881" width="10.625" style="349" bestFit="1" customWidth="1"/>
    <col min="14882" max="14882" width="5.5" style="349" bestFit="1" customWidth="1"/>
    <col min="14883" max="14883" width="10.25" style="349" bestFit="1" customWidth="1"/>
    <col min="14884" max="14884" width="6.375" style="349" bestFit="1" customWidth="1"/>
    <col min="14885" max="14885" width="1.75" style="349" bestFit="1" customWidth="1"/>
    <col min="14886" max="14886" width="6.875" style="349" bestFit="1" customWidth="1"/>
    <col min="14887" max="14887" width="1.75" style="349" bestFit="1" customWidth="1"/>
    <col min="14888" max="14888" width="7.375" style="349" bestFit="1" customWidth="1"/>
    <col min="14889" max="14889" width="5.125" style="349" bestFit="1" customWidth="1"/>
    <col min="14890" max="14890" width="10.125" style="349" bestFit="1" customWidth="1"/>
    <col min="14891" max="14891" width="21" style="349" bestFit="1" customWidth="1"/>
    <col min="14892" max="14892" width="12.625" style="349" bestFit="1" customWidth="1"/>
    <col min="14893" max="14894" width="9" style="349"/>
    <col min="14895" max="14895" width="15.875" style="349" bestFit="1" customWidth="1"/>
    <col min="14896" max="15104" width="9" style="349"/>
    <col min="15105" max="15105" width="15.25" style="349" bestFit="1" customWidth="1"/>
    <col min="15106" max="15106" width="23.125" style="349" bestFit="1" customWidth="1"/>
    <col min="15107" max="15107" width="8.25" style="349" bestFit="1" customWidth="1"/>
    <col min="15108" max="15108" width="43.5" style="349" bestFit="1" customWidth="1"/>
    <col min="15109" max="15110" width="5.75" style="349" customWidth="1"/>
    <col min="15111" max="15111" width="9.625" style="349" bestFit="1" customWidth="1"/>
    <col min="15112" max="15113" width="4.625" style="349" bestFit="1" customWidth="1"/>
    <col min="15114" max="15114" width="5.375" style="349" bestFit="1" customWidth="1"/>
    <col min="15115" max="15115" width="4.875" style="349" bestFit="1" customWidth="1"/>
    <col min="15116" max="15116" width="5" style="349" bestFit="1" customWidth="1"/>
    <col min="15117" max="15120" width="4.125" style="349" bestFit="1" customWidth="1"/>
    <col min="15121" max="15121" width="4.375" style="349" bestFit="1" customWidth="1"/>
    <col min="15122" max="15122" width="4.25" style="349" bestFit="1" customWidth="1"/>
    <col min="15123" max="15123" width="4.875" style="349" bestFit="1" customWidth="1"/>
    <col min="15124" max="15124" width="10.125" style="349" bestFit="1" customWidth="1"/>
    <col min="15125" max="15128" width="6.75" style="349" bestFit="1" customWidth="1"/>
    <col min="15129" max="15129" width="5.125" style="349" bestFit="1" customWidth="1"/>
    <col min="15130" max="15130" width="0" style="349" hidden="1" customWidth="1"/>
    <col min="15131" max="15131" width="5.125" style="349" bestFit="1" customWidth="1"/>
    <col min="15132" max="15134" width="5.875" style="349" bestFit="1" customWidth="1"/>
    <col min="15135" max="15135" width="6.625" style="349" bestFit="1" customWidth="1"/>
    <col min="15136" max="15136" width="11.875" style="349" bestFit="1" customWidth="1"/>
    <col min="15137" max="15137" width="10.625" style="349" bestFit="1" customWidth="1"/>
    <col min="15138" max="15138" width="5.5" style="349" bestFit="1" customWidth="1"/>
    <col min="15139" max="15139" width="10.25" style="349" bestFit="1" customWidth="1"/>
    <col min="15140" max="15140" width="6.375" style="349" bestFit="1" customWidth="1"/>
    <col min="15141" max="15141" width="1.75" style="349" bestFit="1" customWidth="1"/>
    <col min="15142" max="15142" width="6.875" style="349" bestFit="1" customWidth="1"/>
    <col min="15143" max="15143" width="1.75" style="349" bestFit="1" customWidth="1"/>
    <col min="15144" max="15144" width="7.375" style="349" bestFit="1" customWidth="1"/>
    <col min="15145" max="15145" width="5.125" style="349" bestFit="1" customWidth="1"/>
    <col min="15146" max="15146" width="10.125" style="349" bestFit="1" customWidth="1"/>
    <col min="15147" max="15147" width="21" style="349" bestFit="1" customWidth="1"/>
    <col min="15148" max="15148" width="12.625" style="349" bestFit="1" customWidth="1"/>
    <col min="15149" max="15150" width="9" style="349"/>
    <col min="15151" max="15151" width="15.875" style="349" bestFit="1" customWidth="1"/>
    <col min="15152" max="15360" width="9" style="349"/>
    <col min="15361" max="15361" width="15.25" style="349" bestFit="1" customWidth="1"/>
    <col min="15362" max="15362" width="23.125" style="349" bestFit="1" customWidth="1"/>
    <col min="15363" max="15363" width="8.25" style="349" bestFit="1" customWidth="1"/>
    <col min="15364" max="15364" width="43.5" style="349" bestFit="1" customWidth="1"/>
    <col min="15365" max="15366" width="5.75" style="349" customWidth="1"/>
    <col min="15367" max="15367" width="9.625" style="349" bestFit="1" customWidth="1"/>
    <col min="15368" max="15369" width="4.625" style="349" bestFit="1" customWidth="1"/>
    <col min="15370" max="15370" width="5.375" style="349" bestFit="1" customWidth="1"/>
    <col min="15371" max="15371" width="4.875" style="349" bestFit="1" customWidth="1"/>
    <col min="15372" max="15372" width="5" style="349" bestFit="1" customWidth="1"/>
    <col min="15373" max="15376" width="4.125" style="349" bestFit="1" customWidth="1"/>
    <col min="15377" max="15377" width="4.375" style="349" bestFit="1" customWidth="1"/>
    <col min="15378" max="15378" width="4.25" style="349" bestFit="1" customWidth="1"/>
    <col min="15379" max="15379" width="4.875" style="349" bestFit="1" customWidth="1"/>
    <col min="15380" max="15380" width="10.125" style="349" bestFit="1" customWidth="1"/>
    <col min="15381" max="15384" width="6.75" style="349" bestFit="1" customWidth="1"/>
    <col min="15385" max="15385" width="5.125" style="349" bestFit="1" customWidth="1"/>
    <col min="15386" max="15386" width="0" style="349" hidden="1" customWidth="1"/>
    <col min="15387" max="15387" width="5.125" style="349" bestFit="1" customWidth="1"/>
    <col min="15388" max="15390" width="5.875" style="349" bestFit="1" customWidth="1"/>
    <col min="15391" max="15391" width="6.625" style="349" bestFit="1" customWidth="1"/>
    <col min="15392" max="15392" width="11.875" style="349" bestFit="1" customWidth="1"/>
    <col min="15393" max="15393" width="10.625" style="349" bestFit="1" customWidth="1"/>
    <col min="15394" max="15394" width="5.5" style="349" bestFit="1" customWidth="1"/>
    <col min="15395" max="15395" width="10.25" style="349" bestFit="1" customWidth="1"/>
    <col min="15396" max="15396" width="6.375" style="349" bestFit="1" customWidth="1"/>
    <col min="15397" max="15397" width="1.75" style="349" bestFit="1" customWidth="1"/>
    <col min="15398" max="15398" width="6.875" style="349" bestFit="1" customWidth="1"/>
    <col min="15399" max="15399" width="1.75" style="349" bestFit="1" customWidth="1"/>
    <col min="15400" max="15400" width="7.375" style="349" bestFit="1" customWidth="1"/>
    <col min="15401" max="15401" width="5.125" style="349" bestFit="1" customWidth="1"/>
    <col min="15402" max="15402" width="10.125" style="349" bestFit="1" customWidth="1"/>
    <col min="15403" max="15403" width="21" style="349" bestFit="1" customWidth="1"/>
    <col min="15404" max="15404" width="12.625" style="349" bestFit="1" customWidth="1"/>
    <col min="15405" max="15406" width="9" style="349"/>
    <col min="15407" max="15407" width="15.875" style="349" bestFit="1" customWidth="1"/>
    <col min="15408" max="15616" width="9" style="349"/>
    <col min="15617" max="15617" width="15.25" style="349" bestFit="1" customWidth="1"/>
    <col min="15618" max="15618" width="23.125" style="349" bestFit="1" customWidth="1"/>
    <col min="15619" max="15619" width="8.25" style="349" bestFit="1" customWidth="1"/>
    <col min="15620" max="15620" width="43.5" style="349" bestFit="1" customWidth="1"/>
    <col min="15621" max="15622" width="5.75" style="349" customWidth="1"/>
    <col min="15623" max="15623" width="9.625" style="349" bestFit="1" customWidth="1"/>
    <col min="15624" max="15625" width="4.625" style="349" bestFit="1" customWidth="1"/>
    <col min="15626" max="15626" width="5.375" style="349" bestFit="1" customWidth="1"/>
    <col min="15627" max="15627" width="4.875" style="349" bestFit="1" customWidth="1"/>
    <col min="15628" max="15628" width="5" style="349" bestFit="1" customWidth="1"/>
    <col min="15629" max="15632" width="4.125" style="349" bestFit="1" customWidth="1"/>
    <col min="15633" max="15633" width="4.375" style="349" bestFit="1" customWidth="1"/>
    <col min="15634" max="15634" width="4.25" style="349" bestFit="1" customWidth="1"/>
    <col min="15635" max="15635" width="4.875" style="349" bestFit="1" customWidth="1"/>
    <col min="15636" max="15636" width="10.125" style="349" bestFit="1" customWidth="1"/>
    <col min="15637" max="15640" width="6.75" style="349" bestFit="1" customWidth="1"/>
    <col min="15641" max="15641" width="5.125" style="349" bestFit="1" customWidth="1"/>
    <col min="15642" max="15642" width="0" style="349" hidden="1" customWidth="1"/>
    <col min="15643" max="15643" width="5.125" style="349" bestFit="1" customWidth="1"/>
    <col min="15644" max="15646" width="5.875" style="349" bestFit="1" customWidth="1"/>
    <col min="15647" max="15647" width="6.625" style="349" bestFit="1" customWidth="1"/>
    <col min="15648" max="15648" width="11.875" style="349" bestFit="1" customWidth="1"/>
    <col min="15649" max="15649" width="10.625" style="349" bestFit="1" customWidth="1"/>
    <col min="15650" max="15650" width="5.5" style="349" bestFit="1" customWidth="1"/>
    <col min="15651" max="15651" width="10.25" style="349" bestFit="1" customWidth="1"/>
    <col min="15652" max="15652" width="6.375" style="349" bestFit="1" customWidth="1"/>
    <col min="15653" max="15653" width="1.75" style="349" bestFit="1" customWidth="1"/>
    <col min="15654" max="15654" width="6.875" style="349" bestFit="1" customWidth="1"/>
    <col min="15655" max="15655" width="1.75" style="349" bestFit="1" customWidth="1"/>
    <col min="15656" max="15656" width="7.375" style="349" bestFit="1" customWidth="1"/>
    <col min="15657" max="15657" width="5.125" style="349" bestFit="1" customWidth="1"/>
    <col min="15658" max="15658" width="10.125" style="349" bestFit="1" customWidth="1"/>
    <col min="15659" max="15659" width="21" style="349" bestFit="1" customWidth="1"/>
    <col min="15660" max="15660" width="12.625" style="349" bestFit="1" customWidth="1"/>
    <col min="15661" max="15662" width="9" style="349"/>
    <col min="15663" max="15663" width="15.875" style="349" bestFit="1" customWidth="1"/>
    <col min="15664" max="15872" width="9" style="349"/>
    <col min="15873" max="15873" width="15.25" style="349" bestFit="1" customWidth="1"/>
    <col min="15874" max="15874" width="23.125" style="349" bestFit="1" customWidth="1"/>
    <col min="15875" max="15875" width="8.25" style="349" bestFit="1" customWidth="1"/>
    <col min="15876" max="15876" width="43.5" style="349" bestFit="1" customWidth="1"/>
    <col min="15877" max="15878" width="5.75" style="349" customWidth="1"/>
    <col min="15879" max="15879" width="9.625" style="349" bestFit="1" customWidth="1"/>
    <col min="15880" max="15881" width="4.625" style="349" bestFit="1" customWidth="1"/>
    <col min="15882" max="15882" width="5.375" style="349" bestFit="1" customWidth="1"/>
    <col min="15883" max="15883" width="4.875" style="349" bestFit="1" customWidth="1"/>
    <col min="15884" max="15884" width="5" style="349" bestFit="1" customWidth="1"/>
    <col min="15885" max="15888" width="4.125" style="349" bestFit="1" customWidth="1"/>
    <col min="15889" max="15889" width="4.375" style="349" bestFit="1" customWidth="1"/>
    <col min="15890" max="15890" width="4.25" style="349" bestFit="1" customWidth="1"/>
    <col min="15891" max="15891" width="4.875" style="349" bestFit="1" customWidth="1"/>
    <col min="15892" max="15892" width="10.125" style="349" bestFit="1" customWidth="1"/>
    <col min="15893" max="15896" width="6.75" style="349" bestFit="1" customWidth="1"/>
    <col min="15897" max="15897" width="5.125" style="349" bestFit="1" customWidth="1"/>
    <col min="15898" max="15898" width="0" style="349" hidden="1" customWidth="1"/>
    <col min="15899" max="15899" width="5.125" style="349" bestFit="1" customWidth="1"/>
    <col min="15900" max="15902" width="5.875" style="349" bestFit="1" customWidth="1"/>
    <col min="15903" max="15903" width="6.625" style="349" bestFit="1" customWidth="1"/>
    <col min="15904" max="15904" width="11.875" style="349" bestFit="1" customWidth="1"/>
    <col min="15905" max="15905" width="10.625" style="349" bestFit="1" customWidth="1"/>
    <col min="15906" max="15906" width="5.5" style="349" bestFit="1" customWidth="1"/>
    <col min="15907" max="15907" width="10.25" style="349" bestFit="1" customWidth="1"/>
    <col min="15908" max="15908" width="6.375" style="349" bestFit="1" customWidth="1"/>
    <col min="15909" max="15909" width="1.75" style="349" bestFit="1" customWidth="1"/>
    <col min="15910" max="15910" width="6.875" style="349" bestFit="1" customWidth="1"/>
    <col min="15911" max="15911" width="1.75" style="349" bestFit="1" customWidth="1"/>
    <col min="15912" max="15912" width="7.375" style="349" bestFit="1" customWidth="1"/>
    <col min="15913" max="15913" width="5.125" style="349" bestFit="1" customWidth="1"/>
    <col min="15914" max="15914" width="10.125" style="349" bestFit="1" customWidth="1"/>
    <col min="15915" max="15915" width="21" style="349" bestFit="1" customWidth="1"/>
    <col min="15916" max="15916" width="12.625" style="349" bestFit="1" customWidth="1"/>
    <col min="15917" max="15918" width="9" style="349"/>
    <col min="15919" max="15919" width="15.875" style="349" bestFit="1" customWidth="1"/>
    <col min="15920" max="16128" width="9" style="349"/>
    <col min="16129" max="16129" width="15.25" style="349" bestFit="1" customWidth="1"/>
    <col min="16130" max="16130" width="23.125" style="349" bestFit="1" customWidth="1"/>
    <col min="16131" max="16131" width="8.25" style="349" bestFit="1" customWidth="1"/>
    <col min="16132" max="16132" width="43.5" style="349" bestFit="1" customWidth="1"/>
    <col min="16133" max="16134" width="5.75" style="349" customWidth="1"/>
    <col min="16135" max="16135" width="9.625" style="349" bestFit="1" customWidth="1"/>
    <col min="16136" max="16137" width="4.625" style="349" bestFit="1" customWidth="1"/>
    <col min="16138" max="16138" width="5.375" style="349" bestFit="1" customWidth="1"/>
    <col min="16139" max="16139" width="4.875" style="349" bestFit="1" customWidth="1"/>
    <col min="16140" max="16140" width="5" style="349" bestFit="1" customWidth="1"/>
    <col min="16141" max="16144" width="4.125" style="349" bestFit="1" customWidth="1"/>
    <col min="16145" max="16145" width="4.375" style="349" bestFit="1" customWidth="1"/>
    <col min="16146" max="16146" width="4.25" style="349" bestFit="1" customWidth="1"/>
    <col min="16147" max="16147" width="4.875" style="349" bestFit="1" customWidth="1"/>
    <col min="16148" max="16148" width="10.125" style="349" bestFit="1" customWidth="1"/>
    <col min="16149" max="16152" width="6.75" style="349" bestFit="1" customWidth="1"/>
    <col min="16153" max="16153" width="5.125" style="349" bestFit="1" customWidth="1"/>
    <col min="16154" max="16154" width="0" style="349" hidden="1" customWidth="1"/>
    <col min="16155" max="16155" width="5.125" style="349" bestFit="1" customWidth="1"/>
    <col min="16156" max="16158" width="5.875" style="349" bestFit="1" customWidth="1"/>
    <col min="16159" max="16159" width="6.625" style="349" bestFit="1" customWidth="1"/>
    <col min="16160" max="16160" width="11.875" style="349" bestFit="1" customWidth="1"/>
    <col min="16161" max="16161" width="10.625" style="349" bestFit="1" customWidth="1"/>
    <col min="16162" max="16162" width="5.5" style="349" bestFit="1" customWidth="1"/>
    <col min="16163" max="16163" width="10.25" style="349" bestFit="1" customWidth="1"/>
    <col min="16164" max="16164" width="6.375" style="349" bestFit="1" customWidth="1"/>
    <col min="16165" max="16165" width="1.75" style="349" bestFit="1" customWidth="1"/>
    <col min="16166" max="16166" width="6.875" style="349" bestFit="1" customWidth="1"/>
    <col min="16167" max="16167" width="1.75" style="349" bestFit="1" customWidth="1"/>
    <col min="16168" max="16168" width="7.375" style="349" bestFit="1" customWidth="1"/>
    <col min="16169" max="16169" width="5.125" style="349" bestFit="1" customWidth="1"/>
    <col min="16170" max="16170" width="10.125" style="349" bestFit="1" customWidth="1"/>
    <col min="16171" max="16171" width="21" style="349" bestFit="1" customWidth="1"/>
    <col min="16172" max="16172" width="12.625" style="349" bestFit="1" customWidth="1"/>
    <col min="16173" max="16174" width="9" style="349"/>
    <col min="16175" max="16175" width="15.875" style="349" bestFit="1" customWidth="1"/>
    <col min="16176" max="16384" width="9" style="349"/>
  </cols>
  <sheetData>
    <row r="1" spans="1:50" ht="13.5" thickBot="1">
      <c r="A1" s="345" t="s">
        <v>1040</v>
      </c>
    </row>
    <row r="2" spans="1:50" s="367" customFormat="1">
      <c r="A2" s="353" t="s">
        <v>1041</v>
      </c>
      <c r="B2" s="354" t="s">
        <v>638</v>
      </c>
      <c r="C2" s="355" t="s">
        <v>1042</v>
      </c>
      <c r="D2" s="356" t="s">
        <v>1043</v>
      </c>
      <c r="E2" s="643" t="s">
        <v>1044</v>
      </c>
      <c r="F2" s="644"/>
      <c r="G2" s="357" t="s">
        <v>1045</v>
      </c>
      <c r="H2" s="358" t="s">
        <v>263</v>
      </c>
      <c r="I2" s="359" t="s">
        <v>263</v>
      </c>
      <c r="J2" s="359" t="s">
        <v>1046</v>
      </c>
      <c r="K2" s="359" t="s">
        <v>1046</v>
      </c>
      <c r="L2" s="359" t="s">
        <v>978</v>
      </c>
      <c r="M2" s="359" t="s">
        <v>1047</v>
      </c>
      <c r="N2" s="359" t="s">
        <v>261</v>
      </c>
      <c r="O2" s="359" t="s">
        <v>261</v>
      </c>
      <c r="P2" s="359" t="s">
        <v>650</v>
      </c>
      <c r="Q2" s="360" t="s">
        <v>1048</v>
      </c>
      <c r="R2" s="361" t="s">
        <v>282</v>
      </c>
      <c r="S2" s="362" t="s">
        <v>659</v>
      </c>
      <c r="T2" s="355" t="s">
        <v>1049</v>
      </c>
      <c r="U2" s="354" t="s">
        <v>265</v>
      </c>
      <c r="V2" s="354" t="s">
        <v>1050</v>
      </c>
      <c r="W2" s="354" t="s">
        <v>1051</v>
      </c>
      <c r="X2" s="355" t="s">
        <v>1052</v>
      </c>
      <c r="Y2" s="356" t="s">
        <v>1053</v>
      </c>
      <c r="Z2" s="354" t="s">
        <v>1054</v>
      </c>
      <c r="AA2" s="356" t="s">
        <v>1055</v>
      </c>
      <c r="AB2" s="354" t="s">
        <v>1056</v>
      </c>
      <c r="AC2" s="354" t="s">
        <v>683</v>
      </c>
      <c r="AD2" s="354" t="s">
        <v>1057</v>
      </c>
      <c r="AE2" s="354" t="s">
        <v>1058</v>
      </c>
      <c r="AF2" s="355" t="s">
        <v>1059</v>
      </c>
      <c r="AG2" s="354" t="s">
        <v>1060</v>
      </c>
      <c r="AH2" s="363" t="s">
        <v>1061</v>
      </c>
      <c r="AI2" s="354" t="s">
        <v>1062</v>
      </c>
      <c r="AJ2" s="363" t="s">
        <v>1063</v>
      </c>
      <c r="AK2" s="643" t="s">
        <v>1064</v>
      </c>
      <c r="AL2" s="643"/>
      <c r="AM2" s="643" t="s">
        <v>1065</v>
      </c>
      <c r="AN2" s="644"/>
      <c r="AO2" s="364" t="s">
        <v>1066</v>
      </c>
      <c r="AP2" s="365" t="s">
        <v>1067</v>
      </c>
      <c r="AQ2" s="354" t="s">
        <v>1068</v>
      </c>
      <c r="AR2" s="366" t="s">
        <v>1069</v>
      </c>
    </row>
    <row r="3" spans="1:50" s="367" customFormat="1">
      <c r="A3" s="368"/>
      <c r="B3" s="369"/>
      <c r="C3" s="370"/>
      <c r="D3" s="371"/>
      <c r="E3" s="372"/>
      <c r="F3" s="370"/>
      <c r="G3" s="373"/>
      <c r="H3" s="374" t="s">
        <v>1070</v>
      </c>
      <c r="I3" s="375" t="s">
        <v>1071</v>
      </c>
      <c r="J3" s="375" t="s">
        <v>1072</v>
      </c>
      <c r="K3" s="375" t="s">
        <v>1073</v>
      </c>
      <c r="L3" s="375" t="s">
        <v>1073</v>
      </c>
      <c r="M3" s="375" t="s">
        <v>1073</v>
      </c>
      <c r="N3" s="375" t="s">
        <v>1072</v>
      </c>
      <c r="O3" s="375" t="s">
        <v>1073</v>
      </c>
      <c r="P3" s="375" t="s">
        <v>1072</v>
      </c>
      <c r="Q3" s="376" t="s">
        <v>1073</v>
      </c>
      <c r="R3" s="377"/>
      <c r="S3" s="378"/>
      <c r="T3" s="370"/>
      <c r="U3" s="372"/>
      <c r="V3" s="372" t="s">
        <v>1074</v>
      </c>
      <c r="W3" s="372" t="s">
        <v>1074</v>
      </c>
      <c r="X3" s="370" t="s">
        <v>1075</v>
      </c>
      <c r="Y3" s="371" t="s">
        <v>1076</v>
      </c>
      <c r="Z3" s="372"/>
      <c r="AA3" s="371"/>
      <c r="AB3" s="372"/>
      <c r="AC3" s="372"/>
      <c r="AD3" s="372"/>
      <c r="AE3" s="372"/>
      <c r="AF3" s="370"/>
      <c r="AG3" s="372" t="s">
        <v>1077</v>
      </c>
      <c r="AH3" s="372"/>
      <c r="AI3" s="372"/>
      <c r="AJ3" s="372"/>
      <c r="AK3" s="372"/>
      <c r="AL3" s="372"/>
      <c r="AM3" s="372"/>
      <c r="AN3" s="370"/>
      <c r="AO3" s="379"/>
      <c r="AP3" s="380"/>
      <c r="AQ3" s="372"/>
      <c r="AR3" s="381"/>
    </row>
    <row r="4" spans="1:50" s="352" customFormat="1" ht="3" customHeight="1">
      <c r="A4" s="382"/>
      <c r="B4" s="383"/>
      <c r="C4" s="384"/>
      <c r="D4" s="385"/>
      <c r="E4" s="386"/>
      <c r="F4" s="384"/>
      <c r="G4" s="387"/>
      <c r="H4" s="388"/>
      <c r="I4" s="389"/>
      <c r="J4" s="389"/>
      <c r="K4" s="389"/>
      <c r="L4" s="389"/>
      <c r="M4" s="389"/>
      <c r="N4" s="389"/>
      <c r="O4" s="389"/>
      <c r="P4" s="389"/>
      <c r="Q4" s="390"/>
      <c r="R4" s="391"/>
      <c r="S4" s="392"/>
      <c r="T4" s="384"/>
      <c r="U4" s="393"/>
      <c r="V4" s="393"/>
      <c r="W4" s="393"/>
      <c r="X4" s="394"/>
      <c r="Y4" s="395"/>
      <c r="Z4" s="393"/>
      <c r="AA4" s="396"/>
      <c r="AB4" s="393"/>
      <c r="AC4" s="393"/>
      <c r="AD4" s="393"/>
      <c r="AE4" s="393"/>
      <c r="AF4" s="394"/>
      <c r="AG4" s="393"/>
      <c r="AH4" s="393"/>
      <c r="AI4" s="393"/>
      <c r="AJ4" s="393"/>
      <c r="AK4" s="393"/>
      <c r="AL4" s="393"/>
      <c r="AM4" s="393"/>
      <c r="AN4" s="394"/>
      <c r="AO4" s="397"/>
      <c r="AP4" s="398"/>
      <c r="AQ4" s="383"/>
      <c r="AR4" s="399"/>
    </row>
    <row r="5" spans="1:50" s="352" customFormat="1" ht="15.75">
      <c r="A5" s="400" t="s">
        <v>585</v>
      </c>
      <c r="B5" s="401" t="s">
        <v>1078</v>
      </c>
      <c r="C5" s="402"/>
      <c r="D5" s="403" t="s">
        <v>1079</v>
      </c>
      <c r="E5" s="404">
        <v>1992</v>
      </c>
      <c r="F5" s="402"/>
      <c r="G5" s="405"/>
      <c r="H5" s="406">
        <v>331</v>
      </c>
      <c r="I5" s="407">
        <f>H5*2204.6/2240</f>
        <v>325.76901785714284</v>
      </c>
      <c r="J5" s="408">
        <f>K5*3.2808</f>
        <v>163.38383999999999</v>
      </c>
      <c r="K5" s="408">
        <v>49.8</v>
      </c>
      <c r="L5" s="408"/>
      <c r="M5" s="408"/>
      <c r="N5" s="408">
        <f>O5*3.2808</f>
        <v>28.542960000000001</v>
      </c>
      <c r="O5" s="408">
        <v>8.6999999999999993</v>
      </c>
      <c r="P5" s="408">
        <f>Q5*3.2808</f>
        <v>7.2177600000000011</v>
      </c>
      <c r="Q5" s="409">
        <v>2.2000000000000002</v>
      </c>
      <c r="R5" s="410">
        <f>J5/N5</f>
        <v>5.7241379310344822</v>
      </c>
      <c r="S5" s="411">
        <f>J5/P5</f>
        <v>22.636363636363633</v>
      </c>
      <c r="T5" s="402"/>
      <c r="U5" s="412">
        <f>X5/0.7457</f>
        <v>15998.390773769612</v>
      </c>
      <c r="V5" s="412"/>
      <c r="W5" s="412"/>
      <c r="X5" s="413">
        <v>11930</v>
      </c>
      <c r="Y5" s="414">
        <v>38</v>
      </c>
      <c r="Z5" s="415"/>
      <c r="AA5" s="416">
        <f t="shared" ref="AA5:AA68" si="0">Y5*1.6878/SQRT(32.174*(H5*2204.6/2240*35)^(1/3))</f>
        <v>2.3833568919573183</v>
      </c>
      <c r="AB5" s="417">
        <f>AA5^2</f>
        <v>5.6803900744404476</v>
      </c>
      <c r="AC5" s="417">
        <f>Y5*1.687/SQRT(32.174*J5)</f>
        <v>0.88418186067539906</v>
      </c>
      <c r="AD5" s="417">
        <f>AC5^2</f>
        <v>0.78177756274741084</v>
      </c>
      <c r="AE5" s="417">
        <f>I5/(0.01*J5)^3</f>
        <v>74.693443458185143</v>
      </c>
      <c r="AF5" s="418">
        <f>IF(U5="","",Y5*I5/U5)</f>
        <v>0.77377924152646393</v>
      </c>
      <c r="AG5" s="415">
        <v>1610</v>
      </c>
      <c r="AH5" s="415"/>
      <c r="AI5" s="415"/>
      <c r="AJ5" s="415"/>
      <c r="AK5" s="404">
        <v>3</v>
      </c>
      <c r="AL5" s="401" t="s">
        <v>1080</v>
      </c>
      <c r="AM5" s="401">
        <v>4</v>
      </c>
      <c r="AN5" s="419"/>
      <c r="AO5" s="414">
        <f>IF(U5="","",I5^(2/3)*Y5^3/U5)</f>
        <v>162.38566005792086</v>
      </c>
      <c r="AP5" s="418">
        <f>IF(U5="","",0.61*I5*Y5^3/(J5*U5))</f>
        <v>4.1716225246399556</v>
      </c>
      <c r="AQ5" s="401"/>
      <c r="AR5" s="420" t="s">
        <v>1081</v>
      </c>
      <c r="AV5" s="349"/>
      <c r="AW5" s="349"/>
      <c r="AX5" s="349"/>
    </row>
    <row r="6" spans="1:50" s="352" customFormat="1" ht="15.75">
      <c r="A6" s="400" t="s">
        <v>585</v>
      </c>
      <c r="B6" s="401" t="s">
        <v>1082</v>
      </c>
      <c r="C6" s="402"/>
      <c r="D6" s="403" t="s">
        <v>788</v>
      </c>
      <c r="E6" s="404"/>
      <c r="F6" s="402"/>
      <c r="G6" s="405"/>
      <c r="H6" s="406">
        <v>340</v>
      </c>
      <c r="I6" s="407">
        <f t="shared" ref="I6:I12" si="1">H6*2204.6/2240</f>
        <v>334.62678571428569</v>
      </c>
      <c r="J6" s="408">
        <f t="shared" ref="J6:J69" si="2">K6*3.2808</f>
        <v>164.04000000000002</v>
      </c>
      <c r="K6" s="408">
        <v>50</v>
      </c>
      <c r="L6" s="408"/>
      <c r="M6" s="408"/>
      <c r="N6" s="408">
        <f t="shared" ref="N6:P52" si="3">O6*3.2808</f>
        <v>24.606000000000002</v>
      </c>
      <c r="O6" s="408">
        <v>7.5</v>
      </c>
      <c r="P6" s="408">
        <f t="shared" si="3"/>
        <v>6.8896800000000002</v>
      </c>
      <c r="Q6" s="409">
        <v>2.1</v>
      </c>
      <c r="R6" s="410">
        <f t="shared" ref="R6:R69" si="4">J6/N6</f>
        <v>6.666666666666667</v>
      </c>
      <c r="S6" s="411">
        <f t="shared" ref="S6:S69" si="5">J6/P6</f>
        <v>23.80952380952381</v>
      </c>
      <c r="T6" s="402"/>
      <c r="U6" s="412"/>
      <c r="V6" s="412"/>
      <c r="W6" s="412"/>
      <c r="X6" s="413"/>
      <c r="Y6" s="414">
        <v>32</v>
      </c>
      <c r="Z6" s="415"/>
      <c r="AA6" s="416">
        <f t="shared" si="0"/>
        <v>1.9980835351979833</v>
      </c>
      <c r="AB6" s="417">
        <f t="shared" ref="AB6:AB69" si="6">AA6^2</f>
        <v>3.9923378136292706</v>
      </c>
      <c r="AC6" s="417">
        <f t="shared" ref="AC6:AC69" si="7">Y6*1.687/SQRT(32.174*J6)</f>
        <v>0.74308355793240655</v>
      </c>
      <c r="AD6" s="417">
        <f t="shared" ref="AD6:AD69" si="8">AC6^2</f>
        <v>0.55217317406948419</v>
      </c>
      <c r="AE6" s="417">
        <f t="shared" ref="AE6:AE69" si="9">I6/(0.01*J6)^3</f>
        <v>75.807368272330649</v>
      </c>
      <c r="AF6" s="418"/>
      <c r="AG6" s="415"/>
      <c r="AH6" s="415"/>
      <c r="AI6" s="415"/>
      <c r="AJ6" s="415"/>
      <c r="AK6" s="404"/>
      <c r="AL6" s="401"/>
      <c r="AM6" s="401"/>
      <c r="AN6" s="419"/>
      <c r="AO6" s="414"/>
      <c r="AP6" s="418"/>
      <c r="AQ6" s="401"/>
      <c r="AR6" s="420" t="s">
        <v>1081</v>
      </c>
      <c r="AV6" s="349"/>
      <c r="AW6" s="349"/>
      <c r="AX6" s="349"/>
    </row>
    <row r="7" spans="1:50" s="352" customFormat="1" ht="15.75">
      <c r="A7" s="400" t="s">
        <v>585</v>
      </c>
      <c r="B7" s="401" t="s">
        <v>1083</v>
      </c>
      <c r="C7" s="402"/>
      <c r="D7" s="403" t="s">
        <v>1084</v>
      </c>
      <c r="E7" s="404">
        <v>1992</v>
      </c>
      <c r="F7" s="402"/>
      <c r="G7" s="405"/>
      <c r="H7" s="406">
        <v>391</v>
      </c>
      <c r="I7" s="407">
        <f t="shared" si="1"/>
        <v>384.82080357142854</v>
      </c>
      <c r="J7" s="408">
        <f t="shared" si="2"/>
        <v>175.85088000000002</v>
      </c>
      <c r="K7" s="408">
        <v>53.6</v>
      </c>
      <c r="L7" s="408"/>
      <c r="M7" s="408"/>
      <c r="N7" s="408">
        <f t="shared" si="3"/>
        <v>27.886800000000001</v>
      </c>
      <c r="O7" s="408">
        <v>8.5</v>
      </c>
      <c r="P7" s="408">
        <f t="shared" si="3"/>
        <v>7.5458400000000001</v>
      </c>
      <c r="Q7" s="409">
        <v>2.2999999999999998</v>
      </c>
      <c r="R7" s="410">
        <f t="shared" si="4"/>
        <v>6.3058823529411772</v>
      </c>
      <c r="S7" s="411">
        <f t="shared" si="5"/>
        <v>23.304347826086957</v>
      </c>
      <c r="T7" s="402"/>
      <c r="U7" s="412">
        <f>X7/0.7457</f>
        <v>12337.401099637924</v>
      </c>
      <c r="V7" s="412"/>
      <c r="W7" s="412"/>
      <c r="X7" s="413">
        <v>9200</v>
      </c>
      <c r="Y7" s="414">
        <v>36</v>
      </c>
      <c r="Z7" s="415"/>
      <c r="AA7" s="416">
        <f t="shared" si="0"/>
        <v>2.1960885965684751</v>
      </c>
      <c r="AB7" s="417">
        <f t="shared" si="6"/>
        <v>4.8228051239780942</v>
      </c>
      <c r="AC7" s="417">
        <f t="shared" si="7"/>
        <v>0.80740750442462705</v>
      </c>
      <c r="AD7" s="417">
        <f t="shared" si="8"/>
        <v>0.65190687820120419</v>
      </c>
      <c r="AE7" s="417">
        <f t="shared" si="9"/>
        <v>70.766041734035667</v>
      </c>
      <c r="AF7" s="418">
        <f t="shared" ref="AF7:AF70" si="10">IF(U7="","",Y7*I7/U7)</f>
        <v>1.1228903734821429</v>
      </c>
      <c r="AG7" s="415">
        <v>1800</v>
      </c>
      <c r="AH7" s="415"/>
      <c r="AI7" s="415"/>
      <c r="AJ7" s="415"/>
      <c r="AK7" s="404">
        <v>3</v>
      </c>
      <c r="AL7" s="401" t="s">
        <v>1080</v>
      </c>
      <c r="AM7" s="401">
        <v>4</v>
      </c>
      <c r="AN7" s="419"/>
      <c r="AO7" s="414">
        <f t="shared" ref="AO7:AO70" si="11">IF(U7="","",I7^(2/3)*Y7^3/U7)</f>
        <v>200.07347385160014</v>
      </c>
      <c r="AP7" s="418">
        <f t="shared" ref="AP7:AP70" si="12">IF(U7="","",0.61*I7*Y7^3/(J7*U7))</f>
        <v>5.0480965102935098</v>
      </c>
      <c r="AQ7" s="401"/>
      <c r="AR7" s="420" t="s">
        <v>1081</v>
      </c>
      <c r="AV7" s="349"/>
      <c r="AW7" s="349"/>
      <c r="AX7" s="349"/>
    </row>
    <row r="8" spans="1:50" s="352" customFormat="1" ht="15.75">
      <c r="A8" s="400" t="s">
        <v>585</v>
      </c>
      <c r="B8" s="401" t="s">
        <v>1085</v>
      </c>
      <c r="C8" s="402"/>
      <c r="D8" s="403" t="s">
        <v>788</v>
      </c>
      <c r="E8" s="404">
        <v>1990</v>
      </c>
      <c r="F8" s="402"/>
      <c r="G8" s="405"/>
      <c r="H8" s="406">
        <v>405</v>
      </c>
      <c r="I8" s="407">
        <f t="shared" si="1"/>
        <v>398.59955357142854</v>
      </c>
      <c r="J8" s="408">
        <f t="shared" si="2"/>
        <v>187.00560000000002</v>
      </c>
      <c r="K8" s="408">
        <v>57</v>
      </c>
      <c r="L8" s="408"/>
      <c r="M8" s="408"/>
      <c r="N8" s="408">
        <f t="shared" si="3"/>
        <v>26.246400000000001</v>
      </c>
      <c r="O8" s="408">
        <v>8</v>
      </c>
      <c r="P8" s="408">
        <f t="shared" si="3"/>
        <v>6.5616000000000003</v>
      </c>
      <c r="Q8" s="409">
        <v>2</v>
      </c>
      <c r="R8" s="410">
        <f t="shared" si="4"/>
        <v>7.125</v>
      </c>
      <c r="S8" s="411">
        <f t="shared" si="5"/>
        <v>28.5</v>
      </c>
      <c r="T8" s="402"/>
      <c r="U8" s="412">
        <f>X8/0.7457</f>
        <v>8582.539895400294</v>
      </c>
      <c r="V8" s="412"/>
      <c r="W8" s="412"/>
      <c r="X8" s="413">
        <v>6400</v>
      </c>
      <c r="Y8" s="414">
        <v>30</v>
      </c>
      <c r="Z8" s="415"/>
      <c r="AA8" s="416">
        <f t="shared" si="0"/>
        <v>1.8193750434031237</v>
      </c>
      <c r="AB8" s="417">
        <f t="shared" si="6"/>
        <v>3.3101255485581182</v>
      </c>
      <c r="AC8" s="417">
        <f t="shared" si="7"/>
        <v>0.65246392235543971</v>
      </c>
      <c r="AD8" s="417">
        <f t="shared" si="8"/>
        <v>0.42570916997544528</v>
      </c>
      <c r="AE8" s="417">
        <f t="shared" si="9"/>
        <v>60.949896448041642</v>
      </c>
      <c r="AF8" s="418">
        <f t="shared" si="10"/>
        <v>1.3932922832728796</v>
      </c>
      <c r="AG8" s="415"/>
      <c r="AH8" s="415"/>
      <c r="AI8" s="415"/>
      <c r="AJ8" s="415"/>
      <c r="AK8" s="404">
        <v>3</v>
      </c>
      <c r="AL8" s="401" t="s">
        <v>1080</v>
      </c>
      <c r="AM8" s="401">
        <v>4</v>
      </c>
      <c r="AN8" s="419" t="s">
        <v>1086</v>
      </c>
      <c r="AO8" s="414">
        <f t="shared" si="11"/>
        <v>170.38805231205583</v>
      </c>
      <c r="AP8" s="418">
        <f t="shared" si="12"/>
        <v>4.0903452277194416</v>
      </c>
      <c r="AQ8" s="401"/>
      <c r="AR8" s="420" t="s">
        <v>1081</v>
      </c>
      <c r="AV8" s="349"/>
      <c r="AW8" s="349"/>
      <c r="AX8" s="349"/>
    </row>
    <row r="9" spans="1:50" s="352" customFormat="1" ht="15.75">
      <c r="A9" s="421" t="s">
        <v>585</v>
      </c>
      <c r="B9" s="422" t="s">
        <v>1087</v>
      </c>
      <c r="C9" s="423">
        <v>17</v>
      </c>
      <c r="D9" s="424" t="s">
        <v>1088</v>
      </c>
      <c r="E9" s="425">
        <v>1979</v>
      </c>
      <c r="F9" s="423">
        <v>1988</v>
      </c>
      <c r="G9" s="426"/>
      <c r="H9" s="427">
        <f>I9*2240/2204.6</f>
        <v>447.06522725210925</v>
      </c>
      <c r="I9" s="428">
        <v>440</v>
      </c>
      <c r="J9" s="429">
        <f t="shared" si="2"/>
        <v>188.97408000000001</v>
      </c>
      <c r="K9" s="429">
        <f>IF(M9="",L9,M9)</f>
        <v>57.6</v>
      </c>
      <c r="L9" s="429"/>
      <c r="M9" s="429">
        <v>57.6</v>
      </c>
      <c r="N9" s="429">
        <f t="shared" si="3"/>
        <v>33.46416</v>
      </c>
      <c r="O9" s="429">
        <v>10.199999999999999</v>
      </c>
      <c r="P9" s="429">
        <f t="shared" si="3"/>
        <v>11.909304000000001</v>
      </c>
      <c r="Q9" s="430">
        <v>3.63</v>
      </c>
      <c r="R9" s="431">
        <f t="shared" si="4"/>
        <v>5.6470588235294121</v>
      </c>
      <c r="S9" s="432">
        <f t="shared" si="5"/>
        <v>15.867768595041323</v>
      </c>
      <c r="T9" s="423">
        <v>38</v>
      </c>
      <c r="U9" s="433">
        <f>IF(V9="",W9,V9)</f>
        <v>16184</v>
      </c>
      <c r="V9" s="433">
        <v>16184</v>
      </c>
      <c r="W9" s="433"/>
      <c r="X9" s="434"/>
      <c r="Y9" s="435">
        <v>32</v>
      </c>
      <c r="Z9" s="436"/>
      <c r="AA9" s="437">
        <f t="shared" si="0"/>
        <v>1.9089665213591041</v>
      </c>
      <c r="AB9" s="438">
        <f t="shared" si="6"/>
        <v>3.6441531796698787</v>
      </c>
      <c r="AC9" s="438">
        <f t="shared" si="7"/>
        <v>0.69232722854135997</v>
      </c>
      <c r="AD9" s="438">
        <f t="shared" si="8"/>
        <v>0.47931699137976047</v>
      </c>
      <c r="AE9" s="438">
        <f t="shared" si="9"/>
        <v>65.199754036808656</v>
      </c>
      <c r="AF9" s="439">
        <f t="shared" si="10"/>
        <v>0.86999505684626788</v>
      </c>
      <c r="AG9" s="436">
        <v>2200</v>
      </c>
      <c r="AH9" s="425"/>
      <c r="AI9" s="425"/>
      <c r="AJ9" s="425"/>
      <c r="AK9" s="425"/>
      <c r="AL9" s="422"/>
      <c r="AM9" s="422"/>
      <c r="AN9" s="440"/>
      <c r="AO9" s="435">
        <f t="shared" si="11"/>
        <v>117.12938136915541</v>
      </c>
      <c r="AP9" s="439">
        <f t="shared" si="12"/>
        <v>2.8757050295387216</v>
      </c>
      <c r="AQ9" s="422" t="s">
        <v>1089</v>
      </c>
      <c r="AR9" s="441" t="s">
        <v>1090</v>
      </c>
      <c r="AV9" s="349"/>
      <c r="AW9" s="349"/>
      <c r="AX9" s="349"/>
    </row>
    <row r="10" spans="1:50" s="352" customFormat="1" ht="15.75">
      <c r="A10" s="400" t="s">
        <v>585</v>
      </c>
      <c r="B10" s="401" t="s">
        <v>729</v>
      </c>
      <c r="C10" s="402"/>
      <c r="D10" s="403" t="s">
        <v>1091</v>
      </c>
      <c r="E10" s="404"/>
      <c r="F10" s="402"/>
      <c r="G10" s="405"/>
      <c r="H10" s="406">
        <v>462</v>
      </c>
      <c r="I10" s="407">
        <f t="shared" si="1"/>
        <v>454.69874999999996</v>
      </c>
      <c r="J10" s="408">
        <f t="shared" si="2"/>
        <v>184.05288000000002</v>
      </c>
      <c r="K10" s="408">
        <v>56.1</v>
      </c>
      <c r="L10" s="408"/>
      <c r="M10" s="408"/>
      <c r="N10" s="408">
        <f t="shared" si="3"/>
        <v>37.729199999999999</v>
      </c>
      <c r="O10" s="408">
        <v>11.5</v>
      </c>
      <c r="P10" s="408">
        <f t="shared" si="3"/>
        <v>8.202</v>
      </c>
      <c r="Q10" s="409">
        <v>2.5</v>
      </c>
      <c r="R10" s="410">
        <f t="shared" si="4"/>
        <v>4.8782608695652181</v>
      </c>
      <c r="S10" s="411">
        <f t="shared" si="5"/>
        <v>22.44</v>
      </c>
      <c r="T10" s="402"/>
      <c r="U10" s="412"/>
      <c r="V10" s="412"/>
      <c r="W10" s="412"/>
      <c r="X10" s="413"/>
      <c r="Y10" s="414">
        <v>36</v>
      </c>
      <c r="Z10" s="415"/>
      <c r="AA10" s="416">
        <f t="shared" si="0"/>
        <v>2.1358577280723048</v>
      </c>
      <c r="AB10" s="417">
        <f t="shared" si="6"/>
        <v>4.5618882345661875</v>
      </c>
      <c r="AC10" s="417">
        <f t="shared" si="7"/>
        <v>0.78921211948813952</v>
      </c>
      <c r="AD10" s="417">
        <f t="shared" si="8"/>
        <v>0.62285576954696142</v>
      </c>
      <c r="AE10" s="417">
        <f t="shared" si="9"/>
        <v>72.928269381198533</v>
      </c>
      <c r="AF10" s="418"/>
      <c r="AG10" s="415">
        <v>1650</v>
      </c>
      <c r="AH10" s="415"/>
      <c r="AI10" s="415"/>
      <c r="AJ10" s="415"/>
      <c r="AK10" s="404"/>
      <c r="AL10" s="401"/>
      <c r="AM10" s="401"/>
      <c r="AN10" s="419"/>
      <c r="AO10" s="414"/>
      <c r="AP10" s="418"/>
      <c r="AQ10" s="401"/>
      <c r="AR10" s="420" t="s">
        <v>1081</v>
      </c>
      <c r="AV10" s="349"/>
      <c r="AW10" s="349"/>
      <c r="AX10" s="349"/>
    </row>
    <row r="11" spans="1:50" s="352" customFormat="1" ht="15.75">
      <c r="A11" s="400" t="s">
        <v>585</v>
      </c>
      <c r="B11" s="401" t="s">
        <v>1092</v>
      </c>
      <c r="C11" s="402"/>
      <c r="D11" s="403" t="s">
        <v>1093</v>
      </c>
      <c r="E11" s="404">
        <v>1988</v>
      </c>
      <c r="F11" s="402"/>
      <c r="G11" s="405"/>
      <c r="H11" s="406">
        <v>549</v>
      </c>
      <c r="I11" s="407">
        <f t="shared" si="1"/>
        <v>540.32383928571426</v>
      </c>
      <c r="J11" s="408">
        <f t="shared" si="2"/>
        <v>191.59872000000001</v>
      </c>
      <c r="K11" s="408">
        <v>58.4</v>
      </c>
      <c r="L11" s="408"/>
      <c r="M11" s="408"/>
      <c r="N11" s="408">
        <f t="shared" si="3"/>
        <v>27.886800000000001</v>
      </c>
      <c r="O11" s="408">
        <v>8.5</v>
      </c>
      <c r="P11" s="408">
        <f t="shared" si="3"/>
        <v>8.5300799999999999</v>
      </c>
      <c r="Q11" s="409">
        <v>2.6</v>
      </c>
      <c r="R11" s="410">
        <f t="shared" si="4"/>
        <v>6.8705882352941181</v>
      </c>
      <c r="S11" s="411">
        <f t="shared" si="5"/>
        <v>22.461538461538463</v>
      </c>
      <c r="T11" s="402"/>
      <c r="U11" s="412">
        <f>X11/0.7457</f>
        <v>12605.605471369183</v>
      </c>
      <c r="V11" s="412"/>
      <c r="W11" s="412"/>
      <c r="X11" s="413">
        <v>9400</v>
      </c>
      <c r="Y11" s="414">
        <v>31</v>
      </c>
      <c r="Z11" s="415"/>
      <c r="AA11" s="416">
        <f t="shared" si="0"/>
        <v>1.7870763963934833</v>
      </c>
      <c r="AB11" s="417">
        <f t="shared" si="6"/>
        <v>3.1936420465467181</v>
      </c>
      <c r="AC11" s="417">
        <f t="shared" si="7"/>
        <v>0.66608238099743233</v>
      </c>
      <c r="AD11" s="417">
        <f t="shared" si="8"/>
        <v>0.44366573827520861</v>
      </c>
      <c r="AE11" s="417">
        <f t="shared" si="9"/>
        <v>76.820356633567471</v>
      </c>
      <c r="AF11" s="418">
        <f t="shared" si="10"/>
        <v>1.3287770314485183</v>
      </c>
      <c r="AG11" s="415"/>
      <c r="AH11" s="415"/>
      <c r="AI11" s="415"/>
      <c r="AJ11" s="415"/>
      <c r="AK11" s="404">
        <v>3</v>
      </c>
      <c r="AL11" s="401" t="s">
        <v>1080</v>
      </c>
      <c r="AM11" s="401">
        <v>4</v>
      </c>
      <c r="AN11" s="419"/>
      <c r="AO11" s="414">
        <f t="shared" si="11"/>
        <v>156.78004705451693</v>
      </c>
      <c r="AP11" s="418">
        <f t="shared" si="12"/>
        <v>4.065488452143291</v>
      </c>
      <c r="AQ11" s="401"/>
      <c r="AR11" s="420" t="s">
        <v>1081</v>
      </c>
      <c r="AV11" s="349"/>
      <c r="AW11" s="349"/>
      <c r="AX11" s="349"/>
    </row>
    <row r="12" spans="1:50" s="352" customFormat="1" ht="15.75">
      <c r="A12" s="400" t="s">
        <v>585</v>
      </c>
      <c r="B12" s="401" t="s">
        <v>1094</v>
      </c>
      <c r="C12" s="402"/>
      <c r="D12" s="403" t="s">
        <v>1095</v>
      </c>
      <c r="E12" s="404">
        <v>1990</v>
      </c>
      <c r="F12" s="402"/>
      <c r="G12" s="405"/>
      <c r="H12" s="406">
        <v>595</v>
      </c>
      <c r="I12" s="407">
        <f t="shared" si="1"/>
        <v>585.59687499999995</v>
      </c>
      <c r="J12" s="408">
        <f t="shared" si="2"/>
        <v>204.72192000000001</v>
      </c>
      <c r="K12" s="408">
        <v>62.4</v>
      </c>
      <c r="L12" s="408"/>
      <c r="M12" s="408"/>
      <c r="N12" s="408">
        <f t="shared" si="3"/>
        <v>27.886800000000001</v>
      </c>
      <c r="O12" s="408">
        <v>8.5</v>
      </c>
      <c r="P12" s="408">
        <f t="shared" si="3"/>
        <v>10.170480000000001</v>
      </c>
      <c r="Q12" s="409">
        <v>3.1</v>
      </c>
      <c r="R12" s="410">
        <f t="shared" si="4"/>
        <v>7.3411764705882359</v>
      </c>
      <c r="S12" s="411">
        <f t="shared" si="5"/>
        <v>20.129032258064516</v>
      </c>
      <c r="T12" s="402"/>
      <c r="U12" s="412">
        <f>X12/0.7457</f>
        <v>14751.240445219257</v>
      </c>
      <c r="V12" s="412"/>
      <c r="W12" s="412"/>
      <c r="X12" s="413">
        <v>11000</v>
      </c>
      <c r="Y12" s="414">
        <v>35</v>
      </c>
      <c r="Z12" s="415"/>
      <c r="AA12" s="416">
        <f t="shared" si="0"/>
        <v>1.9907896109556069</v>
      </c>
      <c r="AB12" s="417">
        <f t="shared" si="6"/>
        <v>3.9632432750887769</v>
      </c>
      <c r="AC12" s="417">
        <f t="shared" si="7"/>
        <v>0.7275258436380414</v>
      </c>
      <c r="AD12" s="417">
        <f t="shared" si="8"/>
        <v>0.52929385316124389</v>
      </c>
      <c r="AE12" s="417">
        <f t="shared" si="9"/>
        <v>68.250480393762885</v>
      </c>
      <c r="AF12" s="418">
        <f t="shared" si="10"/>
        <v>1.3894350580965908</v>
      </c>
      <c r="AG12" s="415">
        <v>4000</v>
      </c>
      <c r="AH12" s="415"/>
      <c r="AI12" s="415"/>
      <c r="AJ12" s="415"/>
      <c r="AK12" s="404">
        <v>4</v>
      </c>
      <c r="AL12" s="401" t="s">
        <v>1080</v>
      </c>
      <c r="AM12" s="401">
        <v>4</v>
      </c>
      <c r="AN12" s="419"/>
      <c r="AO12" s="414">
        <f t="shared" si="11"/>
        <v>203.44237849034565</v>
      </c>
      <c r="AP12" s="418">
        <f t="shared" si="12"/>
        <v>5.0715397118328971</v>
      </c>
      <c r="AQ12" s="401"/>
      <c r="AR12" s="420" t="s">
        <v>1081</v>
      </c>
      <c r="AV12" s="349"/>
      <c r="AW12" s="349"/>
      <c r="AX12" s="349"/>
    </row>
    <row r="13" spans="1:50" s="352" customFormat="1" ht="15.75">
      <c r="A13" s="442" t="s">
        <v>1096</v>
      </c>
      <c r="B13" s="443" t="s">
        <v>1097</v>
      </c>
      <c r="C13" s="444">
        <v>4</v>
      </c>
      <c r="D13" s="445" t="s">
        <v>1098</v>
      </c>
      <c r="E13" s="446">
        <v>1993</v>
      </c>
      <c r="F13" s="444">
        <v>1994</v>
      </c>
      <c r="G13" s="447"/>
      <c r="H13" s="448">
        <f t="shared" ref="H13:H76" si="13">I13*2240/2204.6</f>
        <v>52.834981402522004</v>
      </c>
      <c r="I13" s="449">
        <v>52</v>
      </c>
      <c r="J13" s="450">
        <f t="shared" si="2"/>
        <v>82.02000000000001</v>
      </c>
      <c r="K13" s="450">
        <f t="shared" ref="K13:K28" si="14">IF(M13="",L13,M13)</f>
        <v>25</v>
      </c>
      <c r="L13" s="450"/>
      <c r="M13" s="450">
        <v>25</v>
      </c>
      <c r="N13" s="450">
        <f t="shared" si="3"/>
        <v>18.0444</v>
      </c>
      <c r="O13" s="450">
        <v>5.5</v>
      </c>
      <c r="P13" s="450">
        <f t="shared" si="3"/>
        <v>3.93696</v>
      </c>
      <c r="Q13" s="451">
        <v>1.2</v>
      </c>
      <c r="R13" s="452">
        <f t="shared" si="4"/>
        <v>4.5454545454545459</v>
      </c>
      <c r="S13" s="453">
        <f t="shared" si="5"/>
        <v>20.833333333333336</v>
      </c>
      <c r="T13" s="444">
        <v>9</v>
      </c>
      <c r="U13" s="454">
        <f>IF(V13="",W13,V13)</f>
        <v>16200</v>
      </c>
      <c r="V13" s="454">
        <v>16200</v>
      </c>
      <c r="W13" s="454"/>
      <c r="X13" s="455"/>
      <c r="Y13" s="456">
        <v>50</v>
      </c>
      <c r="Z13" s="457"/>
      <c r="AA13" s="458">
        <f t="shared" si="0"/>
        <v>4.2578781301312683</v>
      </c>
      <c r="AB13" s="459">
        <f t="shared" si="6"/>
        <v>18.129526171050145</v>
      </c>
      <c r="AC13" s="459">
        <f t="shared" si="7"/>
        <v>1.6419981962569732</v>
      </c>
      <c r="AD13" s="459">
        <f t="shared" si="8"/>
        <v>2.6961580765111535</v>
      </c>
      <c r="AE13" s="459">
        <f t="shared" si="9"/>
        <v>94.241903361005313</v>
      </c>
      <c r="AF13" s="460">
        <f t="shared" si="10"/>
        <v>0.16049382716049382</v>
      </c>
      <c r="AG13" s="446"/>
      <c r="AH13" s="446"/>
      <c r="AI13" s="446"/>
      <c r="AJ13" s="446"/>
      <c r="AK13" s="446"/>
      <c r="AL13" s="443"/>
      <c r="AM13" s="443"/>
      <c r="AN13" s="461"/>
      <c r="AO13" s="456">
        <f t="shared" si="11"/>
        <v>107.49721864016385</v>
      </c>
      <c r="AP13" s="460">
        <f t="shared" si="12"/>
        <v>2.9840659158711662</v>
      </c>
      <c r="AQ13" s="443" t="s">
        <v>1099</v>
      </c>
      <c r="AR13" s="462" t="s">
        <v>1100</v>
      </c>
      <c r="AV13" s="349"/>
      <c r="AW13" s="349"/>
      <c r="AX13" s="349"/>
    </row>
    <row r="14" spans="1:50" s="352" customFormat="1" ht="15.75">
      <c r="A14" s="442" t="s">
        <v>1096</v>
      </c>
      <c r="B14" s="443" t="s">
        <v>1101</v>
      </c>
      <c r="C14" s="444">
        <v>4</v>
      </c>
      <c r="D14" s="445" t="s">
        <v>1102</v>
      </c>
      <c r="E14" s="446">
        <v>1993</v>
      </c>
      <c r="F14" s="444" t="s">
        <v>567</v>
      </c>
      <c r="G14" s="447"/>
      <c r="H14" s="448">
        <f t="shared" si="13"/>
        <v>58.931325410505309</v>
      </c>
      <c r="I14" s="449">
        <v>58</v>
      </c>
      <c r="J14" s="450">
        <f t="shared" si="2"/>
        <v>82.02000000000001</v>
      </c>
      <c r="K14" s="450">
        <f t="shared" si="14"/>
        <v>25</v>
      </c>
      <c r="L14" s="450"/>
      <c r="M14" s="450">
        <v>25</v>
      </c>
      <c r="N14" s="450">
        <f t="shared" si="3"/>
        <v>18.700560000000003</v>
      </c>
      <c r="O14" s="450">
        <v>5.7</v>
      </c>
      <c r="P14" s="450">
        <f t="shared" si="3"/>
        <v>2.9527200000000002</v>
      </c>
      <c r="Q14" s="451">
        <v>0.9</v>
      </c>
      <c r="R14" s="452">
        <f t="shared" si="4"/>
        <v>4.3859649122807012</v>
      </c>
      <c r="S14" s="453">
        <f t="shared" si="5"/>
        <v>27.777777777777779</v>
      </c>
      <c r="T14" s="444">
        <v>10</v>
      </c>
      <c r="U14" s="454">
        <f t="shared" ref="U14:U86" si="15">IF(V14="",W14,V14)</f>
        <v>3046</v>
      </c>
      <c r="V14" s="454">
        <v>3046</v>
      </c>
      <c r="W14" s="454"/>
      <c r="X14" s="455"/>
      <c r="Y14" s="456">
        <v>40</v>
      </c>
      <c r="Z14" s="463"/>
      <c r="AA14" s="458">
        <f t="shared" si="0"/>
        <v>3.3448689380599737</v>
      </c>
      <c r="AB14" s="459">
        <f t="shared" si="6"/>
        <v>11.188148212798456</v>
      </c>
      <c r="AC14" s="459">
        <f t="shared" si="7"/>
        <v>1.3135985570055784</v>
      </c>
      <c r="AD14" s="459">
        <f t="shared" si="8"/>
        <v>1.7255411689671378</v>
      </c>
      <c r="AE14" s="459">
        <f t="shared" si="9"/>
        <v>105.115969133429</v>
      </c>
      <c r="AF14" s="460">
        <f t="shared" si="10"/>
        <v>0.76165462902166781</v>
      </c>
      <c r="AG14" s="446"/>
      <c r="AH14" s="446"/>
      <c r="AI14" s="446"/>
      <c r="AJ14" s="446"/>
      <c r="AK14" s="446"/>
      <c r="AL14" s="443"/>
      <c r="AM14" s="443"/>
      <c r="AN14" s="461"/>
      <c r="AO14" s="456">
        <f t="shared" si="11"/>
        <v>314.82465590456587</v>
      </c>
      <c r="AP14" s="460">
        <f t="shared" si="12"/>
        <v>9.0633372095238673</v>
      </c>
      <c r="AQ14" s="443" t="s">
        <v>1103</v>
      </c>
      <c r="AR14" s="462" t="s">
        <v>1100</v>
      </c>
      <c r="AV14" s="349"/>
      <c r="AW14" s="349"/>
      <c r="AX14" s="349"/>
    </row>
    <row r="15" spans="1:50" s="352" customFormat="1" ht="15.75">
      <c r="A15" s="442" t="s">
        <v>1096</v>
      </c>
      <c r="B15" s="443" t="s">
        <v>1104</v>
      </c>
      <c r="C15" s="444">
        <v>9</v>
      </c>
      <c r="D15" s="445" t="s">
        <v>1105</v>
      </c>
      <c r="E15" s="446">
        <v>1983</v>
      </c>
      <c r="F15" s="444">
        <v>1984</v>
      </c>
      <c r="G15" s="447"/>
      <c r="H15" s="448">
        <f t="shared" si="13"/>
        <v>80.471740905379662</v>
      </c>
      <c r="I15" s="449">
        <v>79.2</v>
      </c>
      <c r="J15" s="450">
        <f t="shared" si="2"/>
        <v>88.581600000000009</v>
      </c>
      <c r="K15" s="450">
        <f t="shared" si="14"/>
        <v>27</v>
      </c>
      <c r="L15" s="450"/>
      <c r="M15" s="450">
        <v>27</v>
      </c>
      <c r="N15" s="450">
        <f t="shared" si="3"/>
        <v>20.669039999999999</v>
      </c>
      <c r="O15" s="450">
        <v>6.3</v>
      </c>
      <c r="P15" s="450">
        <f t="shared" si="3"/>
        <v>4.2650399999999999</v>
      </c>
      <c r="Q15" s="451">
        <v>1.3</v>
      </c>
      <c r="R15" s="452">
        <f t="shared" si="4"/>
        <v>4.2857142857142865</v>
      </c>
      <c r="S15" s="453">
        <f t="shared" si="5"/>
        <v>20.76923076923077</v>
      </c>
      <c r="T15" s="444">
        <v>17</v>
      </c>
      <c r="U15" s="454">
        <f t="shared" si="15"/>
        <v>4800</v>
      </c>
      <c r="V15" s="454">
        <v>4800</v>
      </c>
      <c r="W15" s="454"/>
      <c r="X15" s="455"/>
      <c r="Y15" s="456">
        <v>37.5</v>
      </c>
      <c r="Z15" s="457"/>
      <c r="AA15" s="458">
        <f t="shared" si="0"/>
        <v>2.9771509183214606</v>
      </c>
      <c r="AB15" s="459">
        <f t="shared" si="6"/>
        <v>8.863427590462317</v>
      </c>
      <c r="AC15" s="459">
        <f t="shared" si="7"/>
        <v>1.1850101257723042</v>
      </c>
      <c r="AD15" s="459">
        <f t="shared" si="8"/>
        <v>1.4042489981828923</v>
      </c>
      <c r="AE15" s="459">
        <f t="shared" si="9"/>
        <v>113.94482881483445</v>
      </c>
      <c r="AF15" s="460">
        <f t="shared" si="10"/>
        <v>0.61875000000000002</v>
      </c>
      <c r="AG15" s="446"/>
      <c r="AH15" s="446"/>
      <c r="AI15" s="446"/>
      <c r="AJ15" s="446"/>
      <c r="AK15" s="446"/>
      <c r="AL15" s="443"/>
      <c r="AM15" s="443"/>
      <c r="AN15" s="461"/>
      <c r="AO15" s="456">
        <f t="shared" si="11"/>
        <v>202.61395477818331</v>
      </c>
      <c r="AP15" s="460">
        <f t="shared" si="12"/>
        <v>5.9918931739209942</v>
      </c>
      <c r="AQ15" s="443" t="s">
        <v>1089</v>
      </c>
      <c r="AR15" s="462" t="s">
        <v>1100</v>
      </c>
      <c r="AV15" s="349"/>
      <c r="AW15" s="349"/>
      <c r="AX15" s="349"/>
    </row>
    <row r="16" spans="1:50" s="352" customFormat="1" ht="15.75">
      <c r="A16" s="442" t="s">
        <v>1096</v>
      </c>
      <c r="B16" s="443" t="s">
        <v>1106</v>
      </c>
      <c r="C16" s="444">
        <v>25</v>
      </c>
      <c r="D16" s="445" t="s">
        <v>1107</v>
      </c>
      <c r="E16" s="446"/>
      <c r="F16" s="444" t="s">
        <v>567</v>
      </c>
      <c r="G16" s="447"/>
      <c r="H16" s="448">
        <f t="shared" si="13"/>
        <v>80.471740905379662</v>
      </c>
      <c r="I16" s="449">
        <v>79.2</v>
      </c>
      <c r="J16" s="450">
        <f t="shared" si="2"/>
        <v>88.581600000000009</v>
      </c>
      <c r="K16" s="450">
        <f t="shared" si="14"/>
        <v>27</v>
      </c>
      <c r="L16" s="450"/>
      <c r="M16" s="450">
        <v>27</v>
      </c>
      <c r="N16" s="450">
        <f t="shared" si="3"/>
        <v>20.669039999999999</v>
      </c>
      <c r="O16" s="450">
        <v>6.3</v>
      </c>
      <c r="P16" s="450">
        <f t="shared" si="3"/>
        <v>4.2650399999999999</v>
      </c>
      <c r="Q16" s="451">
        <v>1.3</v>
      </c>
      <c r="R16" s="452">
        <f t="shared" si="4"/>
        <v>4.2857142857142865</v>
      </c>
      <c r="S16" s="453">
        <f t="shared" si="5"/>
        <v>20.76923076923077</v>
      </c>
      <c r="T16" s="444">
        <v>17</v>
      </c>
      <c r="U16" s="454">
        <f t="shared" si="15"/>
        <v>4800</v>
      </c>
      <c r="V16" s="454">
        <v>4800</v>
      </c>
      <c r="W16" s="454"/>
      <c r="X16" s="455"/>
      <c r="Y16" s="456">
        <v>37.5</v>
      </c>
      <c r="Z16" s="457"/>
      <c r="AA16" s="458">
        <f t="shared" si="0"/>
        <v>2.9771509183214606</v>
      </c>
      <c r="AB16" s="459">
        <f t="shared" si="6"/>
        <v>8.863427590462317</v>
      </c>
      <c r="AC16" s="459">
        <f t="shared" si="7"/>
        <v>1.1850101257723042</v>
      </c>
      <c r="AD16" s="459">
        <f t="shared" si="8"/>
        <v>1.4042489981828923</v>
      </c>
      <c r="AE16" s="459">
        <f t="shared" si="9"/>
        <v>113.94482881483445</v>
      </c>
      <c r="AF16" s="460">
        <f t="shared" si="10"/>
        <v>0.61875000000000002</v>
      </c>
      <c r="AG16" s="446"/>
      <c r="AH16" s="446"/>
      <c r="AI16" s="446"/>
      <c r="AJ16" s="446"/>
      <c r="AK16" s="446"/>
      <c r="AL16" s="443"/>
      <c r="AM16" s="443"/>
      <c r="AN16" s="461"/>
      <c r="AO16" s="456">
        <f t="shared" si="11"/>
        <v>202.61395477818331</v>
      </c>
      <c r="AP16" s="460">
        <f t="shared" si="12"/>
        <v>5.9918931739209942</v>
      </c>
      <c r="AQ16" s="443" t="s">
        <v>1089</v>
      </c>
      <c r="AR16" s="462" t="s">
        <v>1100</v>
      </c>
      <c r="AV16" s="349"/>
      <c r="AW16" s="349"/>
      <c r="AX16" s="349"/>
    </row>
    <row r="17" spans="1:50" s="352" customFormat="1" ht="15.75">
      <c r="A17" s="442" t="s">
        <v>1096</v>
      </c>
      <c r="B17" s="443" t="s">
        <v>1108</v>
      </c>
      <c r="C17" s="444">
        <v>5</v>
      </c>
      <c r="D17" s="445" t="s">
        <v>1109</v>
      </c>
      <c r="E17" s="446">
        <v>1975</v>
      </c>
      <c r="F17" s="444">
        <v>1976</v>
      </c>
      <c r="G17" s="447"/>
      <c r="H17" s="448">
        <f t="shared" si="13"/>
        <v>83.316701442438543</v>
      </c>
      <c r="I17" s="449">
        <v>82</v>
      </c>
      <c r="J17" s="450">
        <f t="shared" si="2"/>
        <v>83.66040000000001</v>
      </c>
      <c r="K17" s="450">
        <f t="shared" si="14"/>
        <v>25.5</v>
      </c>
      <c r="L17" s="450"/>
      <c r="M17" s="450">
        <v>25.5</v>
      </c>
      <c r="N17" s="450">
        <f t="shared" si="3"/>
        <v>20.012879999999999</v>
      </c>
      <c r="O17" s="450">
        <v>6.1</v>
      </c>
      <c r="P17" s="450">
        <f t="shared" si="3"/>
        <v>4.2650399999999999</v>
      </c>
      <c r="Q17" s="451">
        <v>1.3</v>
      </c>
      <c r="R17" s="452">
        <f t="shared" si="4"/>
        <v>4.1803278688524594</v>
      </c>
      <c r="S17" s="453">
        <f t="shared" si="5"/>
        <v>19.615384615384617</v>
      </c>
      <c r="T17" s="444">
        <v>20</v>
      </c>
      <c r="U17" s="454">
        <f t="shared" si="15"/>
        <v>5000</v>
      </c>
      <c r="V17" s="454">
        <v>5000</v>
      </c>
      <c r="W17" s="454"/>
      <c r="X17" s="455"/>
      <c r="Y17" s="456">
        <v>38</v>
      </c>
      <c r="Z17" s="457"/>
      <c r="AA17" s="458">
        <f t="shared" si="0"/>
        <v>2.999427721161795</v>
      </c>
      <c r="AB17" s="459">
        <f t="shared" si="6"/>
        <v>8.9965666544738383</v>
      </c>
      <c r="AC17" s="459">
        <f t="shared" si="7"/>
        <v>1.2356235644929396</v>
      </c>
      <c r="AD17" s="459">
        <f t="shared" si="8"/>
        <v>1.5267655931302377</v>
      </c>
      <c r="AE17" s="459">
        <f t="shared" si="9"/>
        <v>140.04062561074153</v>
      </c>
      <c r="AF17" s="460">
        <f t="shared" si="10"/>
        <v>0.62319999999999998</v>
      </c>
      <c r="AG17" s="446"/>
      <c r="AH17" s="446"/>
      <c r="AI17" s="446"/>
      <c r="AJ17" s="446"/>
      <c r="AK17" s="446"/>
      <c r="AL17" s="443"/>
      <c r="AM17" s="443"/>
      <c r="AN17" s="461"/>
      <c r="AO17" s="456">
        <f t="shared" si="11"/>
        <v>207.13652548591597</v>
      </c>
      <c r="AP17" s="460">
        <f t="shared" si="12"/>
        <v>6.5615211976036445</v>
      </c>
      <c r="AQ17" s="443" t="s">
        <v>1089</v>
      </c>
      <c r="AR17" s="462" t="s">
        <v>1100</v>
      </c>
      <c r="AV17" s="349"/>
      <c r="AW17" s="349"/>
      <c r="AX17" s="349"/>
    </row>
    <row r="18" spans="1:50" s="352" customFormat="1" ht="15.75">
      <c r="A18" s="442" t="s">
        <v>1096</v>
      </c>
      <c r="B18" s="443" t="s">
        <v>1110</v>
      </c>
      <c r="C18" s="444">
        <v>6</v>
      </c>
      <c r="D18" s="445" t="s">
        <v>1111</v>
      </c>
      <c r="E18" s="446">
        <v>1976</v>
      </c>
      <c r="F18" s="444">
        <v>1980</v>
      </c>
      <c r="G18" s="447"/>
      <c r="H18" s="448">
        <f t="shared" si="13"/>
        <v>112.7823641476912</v>
      </c>
      <c r="I18" s="449">
        <v>111</v>
      </c>
      <c r="J18" s="450">
        <f t="shared" si="2"/>
        <v>104.98560000000001</v>
      </c>
      <c r="K18" s="450">
        <f t="shared" si="14"/>
        <v>32</v>
      </c>
      <c r="L18" s="450"/>
      <c r="M18" s="450">
        <v>32</v>
      </c>
      <c r="N18" s="450">
        <f t="shared" si="3"/>
        <v>20.669039999999999</v>
      </c>
      <c r="O18" s="450">
        <v>6.3</v>
      </c>
      <c r="P18" s="450">
        <f t="shared" si="3"/>
        <v>6.8896800000000002</v>
      </c>
      <c r="Q18" s="451">
        <v>2.1</v>
      </c>
      <c r="R18" s="452">
        <f t="shared" si="4"/>
        <v>5.07936507936508</v>
      </c>
      <c r="S18" s="453">
        <f t="shared" si="5"/>
        <v>15.238095238095239</v>
      </c>
      <c r="T18" s="444">
        <v>17</v>
      </c>
      <c r="U18" s="454">
        <f t="shared" si="15"/>
        <v>6000</v>
      </c>
      <c r="V18" s="454">
        <v>6000</v>
      </c>
      <c r="W18" s="454"/>
      <c r="X18" s="455"/>
      <c r="Y18" s="456">
        <v>30</v>
      </c>
      <c r="Z18" s="446"/>
      <c r="AA18" s="458">
        <f t="shared" si="0"/>
        <v>2.2514270068628797</v>
      </c>
      <c r="AB18" s="459">
        <f t="shared" si="6"/>
        <v>5.0689235672315451</v>
      </c>
      <c r="AC18" s="459">
        <f t="shared" si="7"/>
        <v>0.87080104445203887</v>
      </c>
      <c r="AD18" s="459">
        <f t="shared" si="8"/>
        <v>0.7582944590187618</v>
      </c>
      <c r="AE18" s="459">
        <f t="shared" si="9"/>
        <v>95.925434489173099</v>
      </c>
      <c r="AF18" s="460">
        <f t="shared" si="10"/>
        <v>0.55500000000000005</v>
      </c>
      <c r="AG18" s="446"/>
      <c r="AH18" s="446"/>
      <c r="AI18" s="446"/>
      <c r="AJ18" s="446"/>
      <c r="AK18" s="446"/>
      <c r="AL18" s="443"/>
      <c r="AM18" s="443"/>
      <c r="AN18" s="461"/>
      <c r="AO18" s="456">
        <f t="shared" si="11"/>
        <v>103.93484346399988</v>
      </c>
      <c r="AP18" s="460">
        <f t="shared" si="12"/>
        <v>2.9022551664228233</v>
      </c>
      <c r="AQ18" s="443" t="s">
        <v>1112</v>
      </c>
      <c r="AR18" s="462" t="s">
        <v>1100</v>
      </c>
      <c r="AV18" s="349"/>
      <c r="AW18" s="349"/>
      <c r="AX18" s="349"/>
    </row>
    <row r="19" spans="1:50" s="352" customFormat="1" ht="15.75">
      <c r="A19" s="442" t="s">
        <v>1096</v>
      </c>
      <c r="B19" s="443" t="s">
        <v>1113</v>
      </c>
      <c r="C19" s="444">
        <v>3</v>
      </c>
      <c r="D19" s="445" t="s">
        <v>1114</v>
      </c>
      <c r="E19" s="446">
        <v>1989</v>
      </c>
      <c r="F19" s="444">
        <v>1991</v>
      </c>
      <c r="G19" s="447"/>
      <c r="H19" s="448">
        <f t="shared" si="13"/>
        <v>125.99110949832169</v>
      </c>
      <c r="I19" s="449">
        <v>124</v>
      </c>
      <c r="J19" s="450">
        <f t="shared" si="2"/>
        <v>100.06440000000001</v>
      </c>
      <c r="K19" s="450">
        <f t="shared" si="14"/>
        <v>30.5</v>
      </c>
      <c r="L19" s="450"/>
      <c r="M19" s="450">
        <v>30.5</v>
      </c>
      <c r="N19" s="450">
        <f t="shared" si="3"/>
        <v>22.637520000000002</v>
      </c>
      <c r="O19" s="450">
        <v>6.9</v>
      </c>
      <c r="P19" s="450">
        <f t="shared" si="3"/>
        <v>4.9212000000000007</v>
      </c>
      <c r="Q19" s="451">
        <v>1.5</v>
      </c>
      <c r="R19" s="452">
        <f t="shared" si="4"/>
        <v>4.4202898550724639</v>
      </c>
      <c r="S19" s="453">
        <f t="shared" si="5"/>
        <v>20.333333333333332</v>
      </c>
      <c r="T19" s="444">
        <v>16</v>
      </c>
      <c r="U19" s="454">
        <f t="shared" si="15"/>
        <v>5800</v>
      </c>
      <c r="V19" s="454">
        <v>5800</v>
      </c>
      <c r="W19" s="454"/>
      <c r="X19" s="455"/>
      <c r="Y19" s="456">
        <v>32</v>
      </c>
      <c r="Z19" s="463"/>
      <c r="AA19" s="458">
        <f t="shared" si="0"/>
        <v>2.3576001141871554</v>
      </c>
      <c r="AB19" s="459">
        <f t="shared" si="6"/>
        <v>5.5582782984152885</v>
      </c>
      <c r="AC19" s="459">
        <f t="shared" si="7"/>
        <v>0.95142100287100684</v>
      </c>
      <c r="AD19" s="459">
        <f t="shared" si="8"/>
        <v>0.90520192470407235</v>
      </c>
      <c r="AE19" s="459">
        <f t="shared" si="9"/>
        <v>123.76074023271204</v>
      </c>
      <c r="AF19" s="460">
        <f t="shared" si="10"/>
        <v>0.68413793103448273</v>
      </c>
      <c r="AG19" s="446"/>
      <c r="AH19" s="446"/>
      <c r="AI19" s="446"/>
      <c r="AJ19" s="446"/>
      <c r="AK19" s="446"/>
      <c r="AL19" s="443"/>
      <c r="AM19" s="443"/>
      <c r="AN19" s="461"/>
      <c r="AO19" s="456">
        <f t="shared" si="11"/>
        <v>140.48708398298646</v>
      </c>
      <c r="AP19" s="460">
        <f t="shared" si="12"/>
        <v>4.2706488745385904</v>
      </c>
      <c r="AQ19" s="443" t="s">
        <v>1115</v>
      </c>
      <c r="AR19" s="462" t="s">
        <v>1100</v>
      </c>
      <c r="AV19" s="349"/>
      <c r="AW19" s="349"/>
      <c r="AX19" s="349"/>
    </row>
    <row r="20" spans="1:50" s="352" customFormat="1" ht="15.75">
      <c r="A20" s="442" t="s">
        <v>1096</v>
      </c>
      <c r="B20" s="443" t="s">
        <v>1116</v>
      </c>
      <c r="C20" s="444">
        <v>4</v>
      </c>
      <c r="D20" s="445" t="s">
        <v>1109</v>
      </c>
      <c r="E20" s="446">
        <v>1984</v>
      </c>
      <c r="F20" s="444" t="s">
        <v>567</v>
      </c>
      <c r="G20" s="447"/>
      <c r="H20" s="448">
        <f t="shared" si="13"/>
        <v>133.10351084096888</v>
      </c>
      <c r="I20" s="449">
        <v>131</v>
      </c>
      <c r="J20" s="450">
        <f t="shared" si="2"/>
        <v>127.29504</v>
      </c>
      <c r="K20" s="450">
        <f t="shared" si="14"/>
        <v>38.799999999999997</v>
      </c>
      <c r="L20" s="450"/>
      <c r="M20" s="450">
        <v>38.799999999999997</v>
      </c>
      <c r="N20" s="450">
        <f t="shared" si="3"/>
        <v>17.716320000000003</v>
      </c>
      <c r="O20" s="450">
        <v>5.4</v>
      </c>
      <c r="P20" s="450">
        <f t="shared" si="3"/>
        <v>5.5773600000000005</v>
      </c>
      <c r="Q20" s="451">
        <v>1.7</v>
      </c>
      <c r="R20" s="452">
        <f t="shared" si="4"/>
        <v>7.1851851851851842</v>
      </c>
      <c r="S20" s="453">
        <f t="shared" si="5"/>
        <v>22.823529411764703</v>
      </c>
      <c r="T20" s="444">
        <v>34</v>
      </c>
      <c r="U20" s="454">
        <f t="shared" si="15"/>
        <v>4220</v>
      </c>
      <c r="V20" s="454">
        <v>4220</v>
      </c>
      <c r="W20" s="454"/>
      <c r="X20" s="455"/>
      <c r="Y20" s="456">
        <v>30</v>
      </c>
      <c r="Z20" s="463"/>
      <c r="AA20" s="458">
        <f t="shared" si="0"/>
        <v>2.190112809023498</v>
      </c>
      <c r="AB20" s="459">
        <f t="shared" si="6"/>
        <v>4.7965941162487971</v>
      </c>
      <c r="AC20" s="459">
        <f t="shared" si="7"/>
        <v>0.79082077108168858</v>
      </c>
      <c r="AD20" s="459">
        <f t="shared" si="8"/>
        <v>0.62539749197423644</v>
      </c>
      <c r="AE20" s="459">
        <f t="shared" si="9"/>
        <v>63.509230401643009</v>
      </c>
      <c r="AF20" s="460">
        <f t="shared" si="10"/>
        <v>0.93127962085308058</v>
      </c>
      <c r="AG20" s="446"/>
      <c r="AH20" s="446"/>
      <c r="AI20" s="446"/>
      <c r="AJ20" s="446"/>
      <c r="AK20" s="446"/>
      <c r="AL20" s="443"/>
      <c r="AM20" s="443"/>
      <c r="AN20" s="461"/>
      <c r="AO20" s="456">
        <f t="shared" si="11"/>
        <v>165.03099203159812</v>
      </c>
      <c r="AP20" s="460">
        <f t="shared" si="12"/>
        <v>4.0164370257343984</v>
      </c>
      <c r="AQ20" s="443" t="s">
        <v>1117</v>
      </c>
      <c r="AR20" s="462" t="s">
        <v>1100</v>
      </c>
      <c r="AV20" s="349"/>
      <c r="AW20" s="349"/>
      <c r="AX20" s="349"/>
    </row>
    <row r="21" spans="1:50" s="352" customFormat="1" ht="15.75">
      <c r="A21" s="442" t="s">
        <v>1096</v>
      </c>
      <c r="B21" s="443" t="s">
        <v>1118</v>
      </c>
      <c r="C21" s="444">
        <v>4</v>
      </c>
      <c r="D21" s="445" t="s">
        <v>1119</v>
      </c>
      <c r="E21" s="446">
        <v>1971</v>
      </c>
      <c r="F21" s="444">
        <v>1975</v>
      </c>
      <c r="G21" s="447"/>
      <c r="H21" s="448">
        <f t="shared" si="13"/>
        <v>136.15168284496053</v>
      </c>
      <c r="I21" s="449">
        <v>134</v>
      </c>
      <c r="J21" s="450">
        <f t="shared" si="2"/>
        <v>127.29504</v>
      </c>
      <c r="K21" s="450">
        <f t="shared" si="14"/>
        <v>38.799999999999997</v>
      </c>
      <c r="L21" s="450"/>
      <c r="M21" s="450">
        <v>38.799999999999997</v>
      </c>
      <c r="N21" s="450">
        <f t="shared" si="3"/>
        <v>17.716320000000003</v>
      </c>
      <c r="O21" s="450">
        <v>5.4</v>
      </c>
      <c r="P21" s="450">
        <f t="shared" si="3"/>
        <v>5.5773600000000005</v>
      </c>
      <c r="Q21" s="451">
        <v>1.7</v>
      </c>
      <c r="R21" s="452">
        <f t="shared" si="4"/>
        <v>7.1851851851851842</v>
      </c>
      <c r="S21" s="453">
        <f t="shared" si="5"/>
        <v>22.823529411764703</v>
      </c>
      <c r="T21" s="444">
        <v>34</v>
      </c>
      <c r="U21" s="454">
        <f t="shared" si="15"/>
        <v>2400</v>
      </c>
      <c r="V21" s="454">
        <v>2400</v>
      </c>
      <c r="W21" s="454"/>
      <c r="X21" s="455"/>
      <c r="Y21" s="456">
        <v>30</v>
      </c>
      <c r="Z21" s="457"/>
      <c r="AA21" s="458">
        <f t="shared" si="0"/>
        <v>2.1818634545719475</v>
      </c>
      <c r="AB21" s="459">
        <f t="shared" si="6"/>
        <v>4.7605281343966332</v>
      </c>
      <c r="AC21" s="459">
        <f t="shared" si="7"/>
        <v>0.79082077108168858</v>
      </c>
      <c r="AD21" s="459">
        <f t="shared" si="8"/>
        <v>0.62539749197423644</v>
      </c>
      <c r="AE21" s="459">
        <f t="shared" si="9"/>
        <v>64.963640258169178</v>
      </c>
      <c r="AF21" s="460">
        <f t="shared" si="10"/>
        <v>1.675</v>
      </c>
      <c r="AG21" s="446"/>
      <c r="AH21" s="446"/>
      <c r="AI21" s="446"/>
      <c r="AJ21" s="446"/>
      <c r="AK21" s="446"/>
      <c r="AL21" s="443"/>
      <c r="AM21" s="443"/>
      <c r="AN21" s="461"/>
      <c r="AO21" s="456">
        <f t="shared" si="11"/>
        <v>294.59297620770172</v>
      </c>
      <c r="AP21" s="460">
        <f t="shared" si="12"/>
        <v>7.2239656784741966</v>
      </c>
      <c r="AQ21" s="443" t="s">
        <v>1089</v>
      </c>
      <c r="AR21" s="462" t="s">
        <v>1100</v>
      </c>
      <c r="AV21" s="349"/>
      <c r="AW21" s="349"/>
      <c r="AX21" s="349"/>
    </row>
    <row r="22" spans="1:50" s="352" customFormat="1" ht="15.75">
      <c r="A22" s="442" t="s">
        <v>1096</v>
      </c>
      <c r="B22" s="443" t="s">
        <v>1120</v>
      </c>
      <c r="C22" s="444">
        <v>8</v>
      </c>
      <c r="D22" s="445" t="s">
        <v>1121</v>
      </c>
      <c r="E22" s="446">
        <v>1982</v>
      </c>
      <c r="F22" s="444" t="s">
        <v>567</v>
      </c>
      <c r="G22" s="447"/>
      <c r="H22" s="448">
        <f t="shared" si="13"/>
        <v>136.15168284496053</v>
      </c>
      <c r="I22" s="449">
        <v>134</v>
      </c>
      <c r="J22" s="450">
        <f t="shared" si="2"/>
        <v>127.29504</v>
      </c>
      <c r="K22" s="450">
        <f t="shared" si="14"/>
        <v>38.799999999999997</v>
      </c>
      <c r="L22" s="450"/>
      <c r="M22" s="450">
        <v>38.799999999999997</v>
      </c>
      <c r="N22" s="450">
        <f t="shared" si="3"/>
        <v>17.716320000000003</v>
      </c>
      <c r="O22" s="450">
        <v>5.4</v>
      </c>
      <c r="P22" s="450">
        <f t="shared" si="3"/>
        <v>5.5773600000000005</v>
      </c>
      <c r="Q22" s="451">
        <v>1.7</v>
      </c>
      <c r="R22" s="452">
        <f t="shared" si="4"/>
        <v>7.1851851851851842</v>
      </c>
      <c r="S22" s="453">
        <f t="shared" si="5"/>
        <v>22.823529411764703</v>
      </c>
      <c r="T22" s="444">
        <v>36</v>
      </c>
      <c r="U22" s="454">
        <f t="shared" si="15"/>
        <v>4400</v>
      </c>
      <c r="V22" s="454">
        <v>4400</v>
      </c>
      <c r="W22" s="454"/>
      <c r="X22" s="455"/>
      <c r="Y22" s="456">
        <v>30</v>
      </c>
      <c r="Z22" s="457"/>
      <c r="AA22" s="458">
        <f t="shared" si="0"/>
        <v>2.1818634545719475</v>
      </c>
      <c r="AB22" s="459">
        <f t="shared" si="6"/>
        <v>4.7605281343966332</v>
      </c>
      <c r="AC22" s="459">
        <f t="shared" si="7"/>
        <v>0.79082077108168858</v>
      </c>
      <c r="AD22" s="459">
        <f t="shared" si="8"/>
        <v>0.62539749197423644</v>
      </c>
      <c r="AE22" s="459">
        <f t="shared" si="9"/>
        <v>64.963640258169178</v>
      </c>
      <c r="AF22" s="460">
        <f t="shared" si="10"/>
        <v>0.91363636363636369</v>
      </c>
      <c r="AG22" s="446"/>
      <c r="AH22" s="446"/>
      <c r="AI22" s="446"/>
      <c r="AJ22" s="446"/>
      <c r="AK22" s="446"/>
      <c r="AL22" s="443"/>
      <c r="AM22" s="443"/>
      <c r="AN22" s="461"/>
      <c r="AO22" s="456">
        <f t="shared" si="11"/>
        <v>160.68707793147368</v>
      </c>
      <c r="AP22" s="460">
        <f t="shared" si="12"/>
        <v>3.9403449155313801</v>
      </c>
      <c r="AQ22" s="443" t="s">
        <v>1089</v>
      </c>
      <c r="AR22" s="462" t="s">
        <v>1100</v>
      </c>
      <c r="AV22" s="349"/>
      <c r="AW22" s="349"/>
      <c r="AX22" s="349"/>
    </row>
    <row r="23" spans="1:50" s="352" customFormat="1" ht="15.75">
      <c r="A23" s="442" t="s">
        <v>1096</v>
      </c>
      <c r="B23" s="443" t="s">
        <v>1122</v>
      </c>
      <c r="C23" s="444">
        <v>5</v>
      </c>
      <c r="D23" s="445" t="s">
        <v>1123</v>
      </c>
      <c r="E23" s="446">
        <v>1980</v>
      </c>
      <c r="F23" s="444" t="s">
        <v>567</v>
      </c>
      <c r="G23" s="447"/>
      <c r="H23" s="448">
        <f t="shared" si="13"/>
        <v>141.23196951827995</v>
      </c>
      <c r="I23" s="449">
        <v>139</v>
      </c>
      <c r="J23" s="450">
        <f t="shared" si="2"/>
        <v>127.29504</v>
      </c>
      <c r="K23" s="450">
        <f t="shared" si="14"/>
        <v>38.799999999999997</v>
      </c>
      <c r="L23" s="450"/>
      <c r="M23" s="450">
        <v>38.799999999999997</v>
      </c>
      <c r="N23" s="450">
        <f t="shared" si="3"/>
        <v>17.716320000000003</v>
      </c>
      <c r="O23" s="450">
        <v>5.4</v>
      </c>
      <c r="P23" s="450">
        <f t="shared" si="3"/>
        <v>5.2492800000000006</v>
      </c>
      <c r="Q23" s="451">
        <v>1.6</v>
      </c>
      <c r="R23" s="452">
        <f t="shared" si="4"/>
        <v>7.1851851851851842</v>
      </c>
      <c r="S23" s="453">
        <f t="shared" si="5"/>
        <v>24.249999999999996</v>
      </c>
      <c r="T23" s="444">
        <v>34</v>
      </c>
      <c r="U23" s="454">
        <f t="shared" si="15"/>
        <v>4800</v>
      </c>
      <c r="V23" s="454">
        <v>4800</v>
      </c>
      <c r="W23" s="454"/>
      <c r="X23" s="455"/>
      <c r="Y23" s="456">
        <v>28</v>
      </c>
      <c r="Z23" s="457"/>
      <c r="AA23" s="458">
        <f t="shared" si="0"/>
        <v>2.0240101110609023</v>
      </c>
      <c r="AB23" s="459">
        <f t="shared" si="6"/>
        <v>4.0966169296767658</v>
      </c>
      <c r="AC23" s="459">
        <f t="shared" si="7"/>
        <v>0.73809938634290939</v>
      </c>
      <c r="AD23" s="459">
        <f t="shared" si="8"/>
        <v>0.54479070411977937</v>
      </c>
      <c r="AE23" s="459">
        <f t="shared" si="9"/>
        <v>67.387656685712813</v>
      </c>
      <c r="AF23" s="460">
        <f t="shared" si="10"/>
        <v>0.81083333333333329</v>
      </c>
      <c r="AG23" s="446"/>
      <c r="AH23" s="446"/>
      <c r="AI23" s="446"/>
      <c r="AJ23" s="446"/>
      <c r="AK23" s="446"/>
      <c r="AL23" s="443"/>
      <c r="AM23" s="443"/>
      <c r="AN23" s="461"/>
      <c r="AO23" s="456">
        <f t="shared" si="11"/>
        <v>122.7183168778389</v>
      </c>
      <c r="AP23" s="460">
        <f t="shared" si="12"/>
        <v>3.0462532816151615</v>
      </c>
      <c r="AQ23" s="443" t="s">
        <v>1124</v>
      </c>
      <c r="AR23" s="462" t="s">
        <v>1100</v>
      </c>
      <c r="AV23" s="349"/>
      <c r="AW23" s="349"/>
      <c r="AX23" s="349"/>
    </row>
    <row r="24" spans="1:50" s="352" customFormat="1" ht="15.75">
      <c r="A24" s="442" t="s">
        <v>1096</v>
      </c>
      <c r="B24" s="443" t="s">
        <v>1125</v>
      </c>
      <c r="C24" s="444">
        <v>4</v>
      </c>
      <c r="D24" s="445" t="s">
        <v>1084</v>
      </c>
      <c r="E24" s="446">
        <v>1980</v>
      </c>
      <c r="F24" s="444">
        <v>1985</v>
      </c>
      <c r="G24" s="447"/>
      <c r="H24" s="448">
        <f t="shared" si="13"/>
        <v>144.28014152227161</v>
      </c>
      <c r="I24" s="449">
        <v>142</v>
      </c>
      <c r="J24" s="450">
        <f t="shared" si="2"/>
        <v>104.98560000000001</v>
      </c>
      <c r="K24" s="450">
        <f t="shared" si="14"/>
        <v>32</v>
      </c>
      <c r="L24" s="450"/>
      <c r="M24" s="450">
        <v>32</v>
      </c>
      <c r="N24" s="450">
        <f t="shared" si="3"/>
        <v>21.981360000000002</v>
      </c>
      <c r="O24" s="450">
        <v>6.7</v>
      </c>
      <c r="P24" s="450">
        <f t="shared" si="3"/>
        <v>7.5458400000000001</v>
      </c>
      <c r="Q24" s="451">
        <v>2.2999999999999998</v>
      </c>
      <c r="R24" s="452">
        <f t="shared" si="4"/>
        <v>4.7761194029850742</v>
      </c>
      <c r="S24" s="453">
        <f t="shared" si="5"/>
        <v>13.913043478260869</v>
      </c>
      <c r="T24" s="444">
        <v>19</v>
      </c>
      <c r="U24" s="454">
        <f t="shared" si="15"/>
        <v>5292</v>
      </c>
      <c r="V24" s="454">
        <v>5292</v>
      </c>
      <c r="W24" s="454"/>
      <c r="X24" s="455"/>
      <c r="Y24" s="456">
        <v>25</v>
      </c>
      <c r="Z24" s="457"/>
      <c r="AA24" s="458">
        <f t="shared" si="0"/>
        <v>1.800731925644989</v>
      </c>
      <c r="AB24" s="459">
        <f t="shared" si="6"/>
        <v>3.2426354680371099</v>
      </c>
      <c r="AC24" s="459">
        <f t="shared" si="7"/>
        <v>0.72566753704336584</v>
      </c>
      <c r="AD24" s="459">
        <f t="shared" si="8"/>
        <v>0.52659337431858477</v>
      </c>
      <c r="AE24" s="459">
        <f t="shared" si="9"/>
        <v>122.71542069786108</v>
      </c>
      <c r="AF24" s="460">
        <f t="shared" si="10"/>
        <v>0.67082388510959945</v>
      </c>
      <c r="AG24" s="446"/>
      <c r="AH24" s="446"/>
      <c r="AI24" s="446"/>
      <c r="AJ24" s="446"/>
      <c r="AK24" s="446"/>
      <c r="AL24" s="443"/>
      <c r="AM24" s="443"/>
      <c r="AN24" s="461"/>
      <c r="AO24" s="456">
        <f t="shared" si="11"/>
        <v>80.363545118653917</v>
      </c>
      <c r="AP24" s="460">
        <f t="shared" si="12"/>
        <v>2.4360636715705271</v>
      </c>
      <c r="AQ24" s="443" t="s">
        <v>1126</v>
      </c>
      <c r="AR24" s="462" t="s">
        <v>1100</v>
      </c>
      <c r="AV24" s="349"/>
      <c r="AW24" s="349"/>
      <c r="AX24" s="349"/>
    </row>
    <row r="25" spans="1:50" s="352" customFormat="1" ht="15.75">
      <c r="A25" s="442" t="s">
        <v>1096</v>
      </c>
      <c r="B25" s="443" t="s">
        <v>1127</v>
      </c>
      <c r="C25" s="444">
        <v>2</v>
      </c>
      <c r="D25" s="445" t="s">
        <v>1121</v>
      </c>
      <c r="E25" s="446">
        <v>1980</v>
      </c>
      <c r="F25" s="444" t="s">
        <v>567</v>
      </c>
      <c r="G25" s="447"/>
      <c r="H25" s="448">
        <f t="shared" si="13"/>
        <v>145.29619885693552</v>
      </c>
      <c r="I25" s="449">
        <v>143</v>
      </c>
      <c r="J25" s="450">
        <f t="shared" si="2"/>
        <v>107.93832</v>
      </c>
      <c r="K25" s="450">
        <f t="shared" si="14"/>
        <v>32.9</v>
      </c>
      <c r="L25" s="450"/>
      <c r="M25" s="450">
        <v>32.9</v>
      </c>
      <c r="N25" s="450">
        <f t="shared" si="3"/>
        <v>22.637520000000002</v>
      </c>
      <c r="O25" s="450">
        <v>6.9</v>
      </c>
      <c r="P25" s="450">
        <f t="shared" si="3"/>
        <v>7.87392</v>
      </c>
      <c r="Q25" s="451">
        <v>2.4</v>
      </c>
      <c r="R25" s="452">
        <f t="shared" si="4"/>
        <v>4.7681159420289854</v>
      </c>
      <c r="S25" s="453">
        <f t="shared" si="5"/>
        <v>13.708333333333334</v>
      </c>
      <c r="T25" s="444">
        <v>28</v>
      </c>
      <c r="U25" s="454">
        <f t="shared" si="15"/>
        <v>4500</v>
      </c>
      <c r="V25" s="454">
        <v>4500</v>
      </c>
      <c r="W25" s="454"/>
      <c r="X25" s="455"/>
      <c r="Y25" s="456">
        <v>37</v>
      </c>
      <c r="Z25" s="457"/>
      <c r="AA25" s="458">
        <f t="shared" si="0"/>
        <v>2.6619680028744539</v>
      </c>
      <c r="AB25" s="459">
        <f t="shared" si="6"/>
        <v>7.0860736483274085</v>
      </c>
      <c r="AC25" s="459">
        <f t="shared" si="7"/>
        <v>1.0591962897240905</v>
      </c>
      <c r="AD25" s="459">
        <f t="shared" si="8"/>
        <v>1.1218967801652795</v>
      </c>
      <c r="AE25" s="459">
        <f t="shared" si="9"/>
        <v>113.71272702437696</v>
      </c>
      <c r="AF25" s="460">
        <f t="shared" si="10"/>
        <v>1.1757777777777778</v>
      </c>
      <c r="AG25" s="446"/>
      <c r="AH25" s="446"/>
      <c r="AI25" s="446"/>
      <c r="AJ25" s="446"/>
      <c r="AK25" s="446"/>
      <c r="AL25" s="443"/>
      <c r="AM25" s="443"/>
      <c r="AN25" s="461"/>
      <c r="AO25" s="456">
        <f t="shared" si="11"/>
        <v>307.81044309533348</v>
      </c>
      <c r="AP25" s="460">
        <f t="shared" si="12"/>
        <v>9.0966791445748321</v>
      </c>
      <c r="AQ25" s="443" t="s">
        <v>1089</v>
      </c>
      <c r="AR25" s="462" t="s">
        <v>1100</v>
      </c>
      <c r="AV25" s="349"/>
      <c r="AW25" s="349"/>
      <c r="AX25" s="349"/>
    </row>
    <row r="26" spans="1:50" s="352" customFormat="1" ht="15.75">
      <c r="A26" s="442" t="s">
        <v>1096</v>
      </c>
      <c r="B26" s="443" t="s">
        <v>1128</v>
      </c>
      <c r="C26" s="444">
        <v>83</v>
      </c>
      <c r="D26" s="445" t="s">
        <v>1129</v>
      </c>
      <c r="E26" s="446">
        <v>1978</v>
      </c>
      <c r="F26" s="444" t="s">
        <v>567</v>
      </c>
      <c r="G26" s="447"/>
      <c r="H26" s="448">
        <f t="shared" si="13"/>
        <v>150.37648553025494</v>
      </c>
      <c r="I26" s="449">
        <v>148</v>
      </c>
      <c r="J26" s="450">
        <f t="shared" si="2"/>
        <v>121.3896</v>
      </c>
      <c r="K26" s="450">
        <f t="shared" si="14"/>
        <v>37</v>
      </c>
      <c r="L26" s="450"/>
      <c r="M26" s="450">
        <v>37</v>
      </c>
      <c r="N26" s="450">
        <f t="shared" si="3"/>
        <v>22.637520000000002</v>
      </c>
      <c r="O26" s="450">
        <v>6.9</v>
      </c>
      <c r="P26" s="450">
        <f t="shared" si="3"/>
        <v>5.5773600000000005</v>
      </c>
      <c r="Q26" s="451">
        <v>1.7</v>
      </c>
      <c r="R26" s="452">
        <f t="shared" si="4"/>
        <v>5.36231884057971</v>
      </c>
      <c r="S26" s="453">
        <f t="shared" si="5"/>
        <v>21.764705882352938</v>
      </c>
      <c r="T26" s="444">
        <v>31</v>
      </c>
      <c r="U26" s="454">
        <f t="shared" si="15"/>
        <v>6000</v>
      </c>
      <c r="V26" s="454">
        <v>6000</v>
      </c>
      <c r="W26" s="454"/>
      <c r="X26" s="455"/>
      <c r="Y26" s="456">
        <v>37</v>
      </c>
      <c r="Z26" s="463"/>
      <c r="AA26" s="458">
        <f t="shared" si="0"/>
        <v>2.6467639937173235</v>
      </c>
      <c r="AB26" s="459">
        <f t="shared" si="6"/>
        <v>7.0053596384384758</v>
      </c>
      <c r="AC26" s="459">
        <f t="shared" si="7"/>
        <v>0.99878851030091786</v>
      </c>
      <c r="AD26" s="459">
        <f t="shared" si="8"/>
        <v>0.99757848830912677</v>
      </c>
      <c r="AE26" s="459">
        <f t="shared" si="9"/>
        <v>82.740334888785114</v>
      </c>
      <c r="AF26" s="460">
        <f t="shared" si="10"/>
        <v>0.91266666666666663</v>
      </c>
      <c r="AG26" s="446"/>
      <c r="AH26" s="446"/>
      <c r="AI26" s="446"/>
      <c r="AJ26" s="446"/>
      <c r="AK26" s="446"/>
      <c r="AL26" s="443"/>
      <c r="AM26" s="443"/>
      <c r="AN26" s="461"/>
      <c r="AO26" s="456">
        <f t="shared" si="11"/>
        <v>236.20825182309525</v>
      </c>
      <c r="AP26" s="460">
        <f t="shared" si="12"/>
        <v>6.2786170039827685</v>
      </c>
      <c r="AQ26" s="443" t="s">
        <v>1130</v>
      </c>
      <c r="AR26" s="462" t="s">
        <v>1100</v>
      </c>
      <c r="AV26" s="349"/>
      <c r="AW26" s="349"/>
      <c r="AX26" s="349"/>
    </row>
    <row r="27" spans="1:50" s="352" customFormat="1" ht="15.75">
      <c r="A27" s="442" t="s">
        <v>1096</v>
      </c>
      <c r="B27" s="443" t="s">
        <v>1131</v>
      </c>
      <c r="C27" s="444">
        <v>1</v>
      </c>
      <c r="D27" s="445" t="s">
        <v>1123</v>
      </c>
      <c r="E27" s="446">
        <v>1992</v>
      </c>
      <c r="F27" s="444" t="s">
        <v>567</v>
      </c>
      <c r="G27" s="447"/>
      <c r="H27" s="448">
        <f t="shared" si="13"/>
        <v>152.40860019958271</v>
      </c>
      <c r="I27" s="449">
        <v>150</v>
      </c>
      <c r="J27" s="450">
        <f t="shared" si="2"/>
        <v>134.5128</v>
      </c>
      <c r="K27" s="450">
        <f t="shared" si="14"/>
        <v>41</v>
      </c>
      <c r="L27" s="450"/>
      <c r="M27" s="450">
        <v>41</v>
      </c>
      <c r="N27" s="450">
        <f t="shared" si="3"/>
        <v>17.716320000000003</v>
      </c>
      <c r="O27" s="450">
        <v>5.4</v>
      </c>
      <c r="P27" s="450">
        <f t="shared" si="3"/>
        <v>5.2492800000000006</v>
      </c>
      <c r="Q27" s="451">
        <v>1.6</v>
      </c>
      <c r="R27" s="452">
        <f t="shared" si="4"/>
        <v>7.5925925925925908</v>
      </c>
      <c r="S27" s="453">
        <f t="shared" si="5"/>
        <v>25.624999999999996</v>
      </c>
      <c r="T27" s="444">
        <v>28</v>
      </c>
      <c r="U27" s="454">
        <f t="shared" si="15"/>
        <v>4800</v>
      </c>
      <c r="V27" s="454">
        <v>4800</v>
      </c>
      <c r="W27" s="454"/>
      <c r="X27" s="455"/>
      <c r="Y27" s="456">
        <v>29</v>
      </c>
      <c r="Z27" s="457"/>
      <c r="AA27" s="458">
        <f t="shared" si="0"/>
        <v>2.069854896780333</v>
      </c>
      <c r="AB27" s="459">
        <f t="shared" si="6"/>
        <v>4.2842992937255229</v>
      </c>
      <c r="AC27" s="459">
        <f t="shared" si="7"/>
        <v>0.74366740243889573</v>
      </c>
      <c r="AD27" s="459">
        <f t="shared" si="8"/>
        <v>0.55304120545021451</v>
      </c>
      <c r="AE27" s="459">
        <f t="shared" si="9"/>
        <v>61.631171085053985</v>
      </c>
      <c r="AF27" s="460">
        <f t="shared" si="10"/>
        <v>0.90625</v>
      </c>
      <c r="AG27" s="446"/>
      <c r="AH27" s="446"/>
      <c r="AI27" s="446"/>
      <c r="AJ27" s="446"/>
      <c r="AK27" s="446"/>
      <c r="AL27" s="443"/>
      <c r="AM27" s="443"/>
      <c r="AN27" s="461"/>
      <c r="AO27" s="456">
        <f t="shared" si="11"/>
        <v>143.44329817737122</v>
      </c>
      <c r="AP27" s="460">
        <f t="shared" si="12"/>
        <v>3.4562904980046514</v>
      </c>
      <c r="AQ27" s="443" t="s">
        <v>1132</v>
      </c>
      <c r="AR27" s="462" t="s">
        <v>1100</v>
      </c>
    </row>
    <row r="28" spans="1:50" s="352" customFormat="1" ht="15.75">
      <c r="A28" s="421" t="s">
        <v>1096</v>
      </c>
      <c r="B28" s="422" t="s">
        <v>1133</v>
      </c>
      <c r="C28" s="423">
        <v>14</v>
      </c>
      <c r="D28" s="424" t="s">
        <v>1134</v>
      </c>
      <c r="E28" s="425">
        <v>1977</v>
      </c>
      <c r="F28" s="423">
        <v>1980</v>
      </c>
      <c r="G28" s="426"/>
      <c r="H28" s="427">
        <f t="shared" si="13"/>
        <v>162.56917354622155</v>
      </c>
      <c r="I28" s="428">
        <v>160</v>
      </c>
      <c r="J28" s="429">
        <f t="shared" si="2"/>
        <v>119.7492</v>
      </c>
      <c r="K28" s="429">
        <f t="shared" si="14"/>
        <v>36.5</v>
      </c>
      <c r="L28" s="429"/>
      <c r="M28" s="429">
        <v>36.5</v>
      </c>
      <c r="N28" s="429">
        <f t="shared" si="3"/>
        <v>20.340960000000003</v>
      </c>
      <c r="O28" s="429">
        <v>6.2</v>
      </c>
      <c r="P28" s="429">
        <f t="shared" si="3"/>
        <v>5.9054400000000005</v>
      </c>
      <c r="Q28" s="430">
        <v>1.8</v>
      </c>
      <c r="R28" s="431">
        <f t="shared" si="4"/>
        <v>5.887096774193548</v>
      </c>
      <c r="S28" s="432">
        <f t="shared" si="5"/>
        <v>20.277777777777775</v>
      </c>
      <c r="T28" s="423">
        <v>24</v>
      </c>
      <c r="U28" s="433">
        <f t="shared" si="15"/>
        <v>6820</v>
      </c>
      <c r="V28" s="433">
        <v>6820</v>
      </c>
      <c r="W28" s="433">
        <f>X28/0.7457</f>
        <v>6705.1092932814799</v>
      </c>
      <c r="X28" s="434">
        <v>5000</v>
      </c>
      <c r="Y28" s="435">
        <v>32</v>
      </c>
      <c r="Z28" s="436"/>
      <c r="AA28" s="437">
        <f t="shared" si="0"/>
        <v>2.2595420483327904</v>
      </c>
      <c r="AB28" s="438">
        <f t="shared" si="6"/>
        <v>5.1055302681839416</v>
      </c>
      <c r="AC28" s="438">
        <f t="shared" si="7"/>
        <v>0.86971352082991205</v>
      </c>
      <c r="AD28" s="438">
        <f t="shared" si="8"/>
        <v>0.75640160831436187</v>
      </c>
      <c r="AE28" s="438">
        <f t="shared" si="9"/>
        <v>93.175583350030948</v>
      </c>
      <c r="AF28" s="439">
        <f t="shared" si="10"/>
        <v>0.75073313782991202</v>
      </c>
      <c r="AG28" s="436">
        <v>440</v>
      </c>
      <c r="AH28" s="425"/>
      <c r="AI28" s="425"/>
      <c r="AJ28" s="425"/>
      <c r="AK28" s="425">
        <v>2</v>
      </c>
      <c r="AL28" s="422" t="s">
        <v>1080</v>
      </c>
      <c r="AM28" s="422">
        <v>4</v>
      </c>
      <c r="AN28" s="440"/>
      <c r="AO28" s="435">
        <f t="shared" si="11"/>
        <v>141.60509577413274</v>
      </c>
      <c r="AP28" s="439">
        <f t="shared" si="12"/>
        <v>3.9160006681804655</v>
      </c>
      <c r="AQ28" s="422" t="s">
        <v>1135</v>
      </c>
      <c r="AR28" s="441" t="s">
        <v>1090</v>
      </c>
      <c r="AV28" s="349"/>
      <c r="AW28" s="349"/>
      <c r="AX28" s="349"/>
    </row>
    <row r="29" spans="1:50" s="352" customFormat="1" ht="15.75">
      <c r="A29" s="464" t="s">
        <v>1096</v>
      </c>
      <c r="B29" s="465" t="s">
        <v>1136</v>
      </c>
      <c r="C29" s="466">
        <v>1</v>
      </c>
      <c r="D29" s="467" t="s">
        <v>1137</v>
      </c>
      <c r="E29" s="468">
        <v>1978</v>
      </c>
      <c r="F29" s="466" t="s">
        <v>567</v>
      </c>
      <c r="G29" s="469" t="s">
        <v>1138</v>
      </c>
      <c r="H29" s="470">
        <f t="shared" si="13"/>
        <v>162.56917354622155</v>
      </c>
      <c r="I29" s="471">
        <v>160</v>
      </c>
      <c r="J29" s="472">
        <f t="shared" si="2"/>
        <v>137.7936</v>
      </c>
      <c r="K29" s="472">
        <f>IF(M29="",#REF!,M29)</f>
        <v>42</v>
      </c>
      <c r="L29" s="472">
        <v>42.062911485003653</v>
      </c>
      <c r="M29" s="472">
        <v>42</v>
      </c>
      <c r="N29" s="472">
        <f t="shared" si="3"/>
        <v>25.262160000000002</v>
      </c>
      <c r="O29" s="472">
        <v>7.7</v>
      </c>
      <c r="P29" s="472">
        <f t="shared" si="3"/>
        <v>6.2335200000000004</v>
      </c>
      <c r="Q29" s="473">
        <v>1.9</v>
      </c>
      <c r="R29" s="474">
        <f t="shared" si="4"/>
        <v>5.4545454545454541</v>
      </c>
      <c r="S29" s="475">
        <f t="shared" si="5"/>
        <v>22.105263157894736</v>
      </c>
      <c r="T29" s="466">
        <v>20</v>
      </c>
      <c r="U29" s="476">
        <f t="shared" si="15"/>
        <v>5400</v>
      </c>
      <c r="V29" s="476">
        <v>5400</v>
      </c>
      <c r="W29" s="476">
        <v>5400</v>
      </c>
      <c r="X29" s="477"/>
      <c r="Y29" s="478">
        <v>32</v>
      </c>
      <c r="Z29" s="479"/>
      <c r="AA29" s="480">
        <f t="shared" si="0"/>
        <v>2.2595420483327904</v>
      </c>
      <c r="AB29" s="481">
        <f t="shared" si="6"/>
        <v>5.1055302681839416</v>
      </c>
      <c r="AC29" s="481">
        <f t="shared" si="7"/>
        <v>0.81077063140532279</v>
      </c>
      <c r="AD29" s="481">
        <f t="shared" si="8"/>
        <v>0.65734901674938584</v>
      </c>
      <c r="AE29" s="481">
        <f t="shared" si="9"/>
        <v>61.155122806795617</v>
      </c>
      <c r="AF29" s="482">
        <f t="shared" si="10"/>
        <v>0.94814814814814818</v>
      </c>
      <c r="AG29" s="479">
        <v>1500</v>
      </c>
      <c r="AH29" s="468">
        <v>15</v>
      </c>
      <c r="AI29" s="468"/>
      <c r="AJ29" s="468"/>
      <c r="AK29" s="468">
        <v>3</v>
      </c>
      <c r="AL29" s="465"/>
      <c r="AM29" s="465"/>
      <c r="AN29" s="483"/>
      <c r="AO29" s="478">
        <f t="shared" si="11"/>
        <v>178.84199132955283</v>
      </c>
      <c r="AP29" s="482">
        <f t="shared" si="12"/>
        <v>4.2981042607150064</v>
      </c>
      <c r="AQ29" s="465" t="s">
        <v>1139</v>
      </c>
      <c r="AR29" s="484" t="s">
        <v>1140</v>
      </c>
      <c r="AV29" s="349"/>
      <c r="AW29" s="349"/>
      <c r="AX29" s="349"/>
    </row>
    <row r="30" spans="1:50" s="352" customFormat="1" ht="15.75">
      <c r="A30" s="442" t="s">
        <v>1096</v>
      </c>
      <c r="B30" s="443" t="s">
        <v>1141</v>
      </c>
      <c r="C30" s="444">
        <v>6</v>
      </c>
      <c r="D30" s="445" t="s">
        <v>1142</v>
      </c>
      <c r="E30" s="446">
        <v>1974</v>
      </c>
      <c r="F30" s="444">
        <v>1975</v>
      </c>
      <c r="G30" s="447"/>
      <c r="H30" s="448">
        <f t="shared" si="13"/>
        <v>172.72974689286039</v>
      </c>
      <c r="I30" s="449">
        <v>170</v>
      </c>
      <c r="J30" s="450">
        <f t="shared" si="2"/>
        <v>121.06152</v>
      </c>
      <c r="K30" s="450">
        <f t="shared" ref="K30:K38" si="16">IF(M30="",L30,M30)</f>
        <v>36.9</v>
      </c>
      <c r="L30" s="450"/>
      <c r="M30" s="450">
        <v>36.9</v>
      </c>
      <c r="N30" s="450">
        <f t="shared" si="3"/>
        <v>23.293679999999998</v>
      </c>
      <c r="O30" s="450">
        <v>7.1</v>
      </c>
      <c r="P30" s="450">
        <f t="shared" si="3"/>
        <v>5.9054400000000005</v>
      </c>
      <c r="Q30" s="451">
        <v>1.8</v>
      </c>
      <c r="R30" s="452">
        <f t="shared" si="4"/>
        <v>5.1971830985915499</v>
      </c>
      <c r="S30" s="453">
        <f t="shared" si="5"/>
        <v>20.5</v>
      </c>
      <c r="T30" s="444">
        <v>20</v>
      </c>
      <c r="U30" s="454">
        <f t="shared" si="15"/>
        <v>6000</v>
      </c>
      <c r="V30" s="454">
        <v>6000</v>
      </c>
      <c r="W30" s="454"/>
      <c r="X30" s="455"/>
      <c r="Y30" s="456">
        <v>31</v>
      </c>
      <c r="Z30" s="457"/>
      <c r="AA30" s="458">
        <f t="shared" si="0"/>
        <v>2.1669255318160054</v>
      </c>
      <c r="AB30" s="459">
        <f t="shared" si="6"/>
        <v>4.6955662604360784</v>
      </c>
      <c r="AC30" s="459">
        <f t="shared" si="7"/>
        <v>0.83795594497893111</v>
      </c>
      <c r="AD30" s="459">
        <f t="shared" si="8"/>
        <v>0.70217016572553337</v>
      </c>
      <c r="AE30" s="459">
        <f t="shared" si="9"/>
        <v>95.814349194871312</v>
      </c>
      <c r="AF30" s="460">
        <f t="shared" si="10"/>
        <v>0.8783333333333333</v>
      </c>
      <c r="AG30" s="446"/>
      <c r="AH30" s="446"/>
      <c r="AI30" s="446"/>
      <c r="AJ30" s="446"/>
      <c r="AK30" s="446"/>
      <c r="AL30" s="443"/>
      <c r="AM30" s="443"/>
      <c r="AN30" s="461"/>
      <c r="AO30" s="456">
        <f t="shared" si="11"/>
        <v>152.37010916768281</v>
      </c>
      <c r="AP30" s="460">
        <f t="shared" si="12"/>
        <v>4.2531085297238409</v>
      </c>
      <c r="AQ30" s="443" t="s">
        <v>1143</v>
      </c>
      <c r="AR30" s="462" t="s">
        <v>1100</v>
      </c>
      <c r="AV30" s="349"/>
      <c r="AW30" s="349"/>
      <c r="AX30" s="349"/>
    </row>
    <row r="31" spans="1:50" s="352" customFormat="1" ht="15.75">
      <c r="A31" s="442" t="s">
        <v>1096</v>
      </c>
      <c r="B31" s="443" t="s">
        <v>1144</v>
      </c>
      <c r="C31" s="444">
        <v>6</v>
      </c>
      <c r="D31" s="445" t="s">
        <v>1109</v>
      </c>
      <c r="E31" s="446">
        <v>1967</v>
      </c>
      <c r="F31" s="444">
        <v>1968</v>
      </c>
      <c r="G31" s="447"/>
      <c r="H31" s="448">
        <f t="shared" si="13"/>
        <v>172.72974689286039</v>
      </c>
      <c r="I31" s="449">
        <v>170</v>
      </c>
      <c r="J31" s="450">
        <f t="shared" si="2"/>
        <v>113.84376000000002</v>
      </c>
      <c r="K31" s="450">
        <f t="shared" si="16"/>
        <v>34.700000000000003</v>
      </c>
      <c r="L31" s="450"/>
      <c r="M31" s="450">
        <v>34.700000000000003</v>
      </c>
      <c r="N31" s="450">
        <f t="shared" si="3"/>
        <v>21.981360000000002</v>
      </c>
      <c r="O31" s="450">
        <v>6.7</v>
      </c>
      <c r="P31" s="450">
        <f t="shared" si="3"/>
        <v>4.9212000000000007</v>
      </c>
      <c r="Q31" s="451">
        <v>1.5</v>
      </c>
      <c r="R31" s="452">
        <f t="shared" si="4"/>
        <v>5.1791044776119408</v>
      </c>
      <c r="S31" s="453">
        <f t="shared" si="5"/>
        <v>23.133333333333333</v>
      </c>
      <c r="T31" s="444">
        <v>23</v>
      </c>
      <c r="U31" s="454">
        <f t="shared" si="15"/>
        <v>8025</v>
      </c>
      <c r="V31" s="454">
        <v>8025</v>
      </c>
      <c r="W31" s="454"/>
      <c r="X31" s="455"/>
      <c r="Y31" s="456">
        <v>45</v>
      </c>
      <c r="Z31" s="457"/>
      <c r="AA31" s="458">
        <f t="shared" si="0"/>
        <v>3.1455370623135566</v>
      </c>
      <c r="AB31" s="459">
        <f t="shared" si="6"/>
        <v>9.8944034103881986</v>
      </c>
      <c r="AC31" s="459">
        <f t="shared" si="7"/>
        <v>1.2543549618422591</v>
      </c>
      <c r="AD31" s="459">
        <f t="shared" si="8"/>
        <v>1.5734063702982954</v>
      </c>
      <c r="AE31" s="459">
        <f t="shared" si="9"/>
        <v>115.21823767342488</v>
      </c>
      <c r="AF31" s="460">
        <f t="shared" si="10"/>
        <v>0.95327102803738317</v>
      </c>
      <c r="AG31" s="446"/>
      <c r="AH31" s="446"/>
      <c r="AI31" s="446"/>
      <c r="AJ31" s="446"/>
      <c r="AK31" s="446"/>
      <c r="AL31" s="443"/>
      <c r="AM31" s="443"/>
      <c r="AN31" s="461"/>
      <c r="AO31" s="456">
        <f t="shared" si="11"/>
        <v>348.46442547642903</v>
      </c>
      <c r="AP31" s="460">
        <f t="shared" si="12"/>
        <v>10.343369170020187</v>
      </c>
      <c r="AQ31" s="443" t="s">
        <v>1089</v>
      </c>
      <c r="AR31" s="462" t="s">
        <v>1100</v>
      </c>
      <c r="AV31" s="349"/>
      <c r="AW31" s="349"/>
      <c r="AX31" s="349"/>
    </row>
    <row r="32" spans="1:50" s="352" customFormat="1" ht="15.75">
      <c r="A32" s="485" t="s">
        <v>1096</v>
      </c>
      <c r="B32" s="486" t="s">
        <v>1145</v>
      </c>
      <c r="C32" s="487"/>
      <c r="D32" s="488" t="s">
        <v>1146</v>
      </c>
      <c r="E32" s="489">
        <v>1981</v>
      </c>
      <c r="F32" s="487"/>
      <c r="G32" s="490" t="s">
        <v>1147</v>
      </c>
      <c r="H32" s="491">
        <f t="shared" si="13"/>
        <v>177.81003356617981</v>
      </c>
      <c r="I32" s="492">
        <v>175</v>
      </c>
      <c r="J32" s="493">
        <f t="shared" si="2"/>
        <v>154.19999999999999</v>
      </c>
      <c r="K32" s="493">
        <f t="shared" si="16"/>
        <v>47.000731528895386</v>
      </c>
      <c r="L32" s="493">
        <v>47.000731528895386</v>
      </c>
      <c r="M32" s="493"/>
      <c r="N32" s="493">
        <f t="shared" si="3"/>
        <v>23.3</v>
      </c>
      <c r="O32" s="493">
        <v>7.1019263594245308</v>
      </c>
      <c r="P32" s="493">
        <f t="shared" si="3"/>
        <v>6.2</v>
      </c>
      <c r="Q32" s="494">
        <v>1.8897829797610339</v>
      </c>
      <c r="R32" s="495">
        <f t="shared" si="4"/>
        <v>6.6180257510729605</v>
      </c>
      <c r="S32" s="496">
        <f t="shared" si="5"/>
        <v>24.87096774193548</v>
      </c>
      <c r="T32" s="487"/>
      <c r="U32" s="497">
        <f t="shared" si="15"/>
        <v>12280</v>
      </c>
      <c r="V32" s="497"/>
      <c r="W32" s="497">
        <v>12280</v>
      </c>
      <c r="X32" s="498"/>
      <c r="Y32" s="499">
        <v>37.5</v>
      </c>
      <c r="Z32" s="500" t="s">
        <v>1148</v>
      </c>
      <c r="AA32" s="501">
        <f t="shared" si="0"/>
        <v>2.6086473483748582</v>
      </c>
      <c r="AB32" s="502">
        <f t="shared" si="6"/>
        <v>6.8050409881831788</v>
      </c>
      <c r="AC32" s="502">
        <f t="shared" si="7"/>
        <v>0.89815570889199947</v>
      </c>
      <c r="AD32" s="502">
        <f t="shared" si="8"/>
        <v>0.80668367741529012</v>
      </c>
      <c r="AE32" s="502">
        <f t="shared" si="9"/>
        <v>47.729284889787074</v>
      </c>
      <c r="AF32" s="503">
        <f t="shared" si="10"/>
        <v>0.53440553745928343</v>
      </c>
      <c r="AG32" s="504">
        <v>2000</v>
      </c>
      <c r="AH32" s="504">
        <v>15</v>
      </c>
      <c r="AI32" s="504"/>
      <c r="AJ32" s="504"/>
      <c r="AK32" s="489">
        <v>4</v>
      </c>
      <c r="AL32" s="505"/>
      <c r="AM32" s="505"/>
      <c r="AN32" s="506"/>
      <c r="AO32" s="499">
        <f t="shared" si="11"/>
        <v>134.35509349969729</v>
      </c>
      <c r="AP32" s="503">
        <f t="shared" si="12"/>
        <v>2.9728907269895695</v>
      </c>
      <c r="AQ32" s="505"/>
      <c r="AR32" s="507" t="s">
        <v>1149</v>
      </c>
      <c r="AV32" s="349"/>
      <c r="AW32" s="349"/>
      <c r="AX32" s="349"/>
    </row>
    <row r="33" spans="1:50" s="352" customFormat="1" ht="15.75">
      <c r="A33" s="442" t="s">
        <v>1096</v>
      </c>
      <c r="B33" s="443" t="s">
        <v>1150</v>
      </c>
      <c r="C33" s="444">
        <v>2</v>
      </c>
      <c r="D33" s="445" t="s">
        <v>1151</v>
      </c>
      <c r="E33" s="446">
        <v>1997</v>
      </c>
      <c r="F33" s="444">
        <v>1999</v>
      </c>
      <c r="G33" s="447"/>
      <c r="H33" s="448">
        <f t="shared" si="13"/>
        <v>187.97060691281865</v>
      </c>
      <c r="I33" s="449">
        <v>185</v>
      </c>
      <c r="J33" s="450">
        <f t="shared" si="2"/>
        <v>127.9512</v>
      </c>
      <c r="K33" s="450">
        <f t="shared" si="16"/>
        <v>39</v>
      </c>
      <c r="L33" s="450"/>
      <c r="M33" s="450">
        <v>39</v>
      </c>
      <c r="N33" s="450">
        <f t="shared" si="3"/>
        <v>21.981360000000002</v>
      </c>
      <c r="O33" s="450">
        <v>6.7</v>
      </c>
      <c r="P33" s="450">
        <f t="shared" si="3"/>
        <v>5.9054400000000005</v>
      </c>
      <c r="Q33" s="451">
        <v>1.8</v>
      </c>
      <c r="R33" s="452">
        <f t="shared" si="4"/>
        <v>5.8208955223880592</v>
      </c>
      <c r="S33" s="453">
        <f t="shared" si="5"/>
        <v>21.666666666666664</v>
      </c>
      <c r="T33" s="444">
        <v>31</v>
      </c>
      <c r="U33" s="454">
        <f t="shared" si="15"/>
        <v>5984</v>
      </c>
      <c r="V33" s="454">
        <v>5984</v>
      </c>
      <c r="W33" s="454"/>
      <c r="X33" s="455"/>
      <c r="Y33" s="456">
        <v>23</v>
      </c>
      <c r="Z33" s="457"/>
      <c r="AA33" s="458">
        <f t="shared" si="0"/>
        <v>1.5852204308625291</v>
      </c>
      <c r="AB33" s="459">
        <f t="shared" si="6"/>
        <v>2.5129238144239823</v>
      </c>
      <c r="AC33" s="459">
        <f t="shared" si="7"/>
        <v>0.60473932135119823</v>
      </c>
      <c r="AD33" s="459">
        <f t="shared" si="8"/>
        <v>0.36570964678830781</v>
      </c>
      <c r="AE33" s="459">
        <f t="shared" si="9"/>
        <v>88.315847011953025</v>
      </c>
      <c r="AF33" s="460">
        <f t="shared" si="10"/>
        <v>0.71106283422459893</v>
      </c>
      <c r="AG33" s="446"/>
      <c r="AH33" s="446"/>
      <c r="AI33" s="446"/>
      <c r="AJ33" s="446"/>
      <c r="AK33" s="446"/>
      <c r="AL33" s="443"/>
      <c r="AM33" s="443"/>
      <c r="AN33" s="461"/>
      <c r="AO33" s="456">
        <f t="shared" si="11"/>
        <v>66.014561392572261</v>
      </c>
      <c r="AP33" s="460">
        <f t="shared" si="12"/>
        <v>1.7932842050401701</v>
      </c>
      <c r="AQ33" s="443" t="s">
        <v>1152</v>
      </c>
      <c r="AR33" s="462" t="s">
        <v>1100</v>
      </c>
      <c r="AV33" s="349"/>
      <c r="AW33" s="349"/>
      <c r="AX33" s="349"/>
    </row>
    <row r="34" spans="1:50" s="352" customFormat="1" ht="15.75">
      <c r="A34" s="442" t="s">
        <v>1096</v>
      </c>
      <c r="B34" s="443" t="s">
        <v>1153</v>
      </c>
      <c r="C34" s="444">
        <v>4</v>
      </c>
      <c r="D34" s="445" t="s">
        <v>1154</v>
      </c>
      <c r="E34" s="446">
        <v>1958</v>
      </c>
      <c r="F34" s="444">
        <v>1959</v>
      </c>
      <c r="G34" s="447"/>
      <c r="H34" s="448">
        <f t="shared" si="13"/>
        <v>193.05089358613807</v>
      </c>
      <c r="I34" s="449">
        <v>190</v>
      </c>
      <c r="J34" s="450">
        <f t="shared" si="2"/>
        <v>139.434</v>
      </c>
      <c r="K34" s="450">
        <f t="shared" si="16"/>
        <v>42.5</v>
      </c>
      <c r="L34" s="450"/>
      <c r="M34" s="450">
        <v>42.5</v>
      </c>
      <c r="N34" s="450">
        <f t="shared" si="3"/>
        <v>23.621760000000002</v>
      </c>
      <c r="O34" s="450">
        <v>7.2</v>
      </c>
      <c r="P34" s="450">
        <f t="shared" si="3"/>
        <v>7.87392</v>
      </c>
      <c r="Q34" s="451">
        <v>2.4</v>
      </c>
      <c r="R34" s="452">
        <f t="shared" si="4"/>
        <v>5.9027777777777768</v>
      </c>
      <c r="S34" s="453">
        <f t="shared" si="5"/>
        <v>17.708333333333332</v>
      </c>
      <c r="T34" s="444">
        <v>39</v>
      </c>
      <c r="U34" s="454">
        <f t="shared" si="15"/>
        <v>12000</v>
      </c>
      <c r="V34" s="454">
        <v>12000</v>
      </c>
      <c r="W34" s="454"/>
      <c r="X34" s="455"/>
      <c r="Y34" s="456">
        <v>42</v>
      </c>
      <c r="Z34" s="457"/>
      <c r="AA34" s="458">
        <f t="shared" si="0"/>
        <v>2.8819125836046848</v>
      </c>
      <c r="AB34" s="459">
        <f t="shared" si="6"/>
        <v>8.305420139539029</v>
      </c>
      <c r="AC34" s="459">
        <f t="shared" si="7"/>
        <v>1.0578583077548906</v>
      </c>
      <c r="AD34" s="459">
        <f t="shared" si="8"/>
        <v>1.1190641992860408</v>
      </c>
      <c r="AE34" s="459">
        <f t="shared" si="9"/>
        <v>70.088625305668728</v>
      </c>
      <c r="AF34" s="460">
        <f t="shared" si="10"/>
        <v>0.66500000000000004</v>
      </c>
      <c r="AG34" s="446"/>
      <c r="AH34" s="446"/>
      <c r="AI34" s="446"/>
      <c r="AJ34" s="446"/>
      <c r="AK34" s="446"/>
      <c r="AL34" s="443"/>
      <c r="AM34" s="443"/>
      <c r="AN34" s="461"/>
      <c r="AO34" s="456">
        <f t="shared" si="11"/>
        <v>204.0495740124307</v>
      </c>
      <c r="AP34" s="460">
        <f t="shared" si="12"/>
        <v>5.131937690950557</v>
      </c>
      <c r="AQ34" s="443" t="s">
        <v>1155</v>
      </c>
      <c r="AR34" s="462" t="s">
        <v>1100</v>
      </c>
      <c r="AV34" s="349"/>
      <c r="AW34" s="349"/>
      <c r="AX34" s="349"/>
    </row>
    <row r="35" spans="1:50" s="352" customFormat="1" ht="15.75">
      <c r="A35" s="485" t="s">
        <v>1156</v>
      </c>
      <c r="B35" s="505" t="s">
        <v>1157</v>
      </c>
      <c r="C35" s="487"/>
      <c r="D35" s="488" t="s">
        <v>1154</v>
      </c>
      <c r="E35" s="489">
        <v>1958</v>
      </c>
      <c r="F35" s="487"/>
      <c r="G35" s="490" t="s">
        <v>1158</v>
      </c>
      <c r="H35" s="491">
        <f t="shared" si="13"/>
        <v>193.05089358613807</v>
      </c>
      <c r="I35" s="492">
        <v>190</v>
      </c>
      <c r="J35" s="493">
        <f t="shared" si="2"/>
        <v>139.4</v>
      </c>
      <c r="K35" s="493">
        <f t="shared" si="16"/>
        <v>42.489636673981956</v>
      </c>
      <c r="L35" s="493">
        <v>42.489636673981956</v>
      </c>
      <c r="M35" s="493"/>
      <c r="N35" s="493">
        <f t="shared" si="3"/>
        <v>23.6</v>
      </c>
      <c r="O35" s="493">
        <v>7.1933674713484521</v>
      </c>
      <c r="P35" s="493">
        <f t="shared" si="3"/>
        <v>7.9</v>
      </c>
      <c r="Q35" s="494">
        <v>2.407949280663253</v>
      </c>
      <c r="R35" s="495">
        <f t="shared" si="4"/>
        <v>5.906779661016949</v>
      </c>
      <c r="S35" s="496">
        <f t="shared" si="5"/>
        <v>17.645569620253166</v>
      </c>
      <c r="T35" s="487"/>
      <c r="U35" s="497">
        <f t="shared" si="15"/>
        <v>12000</v>
      </c>
      <c r="V35" s="497"/>
      <c r="W35" s="497">
        <v>12000</v>
      </c>
      <c r="X35" s="498"/>
      <c r="Y35" s="499">
        <v>42</v>
      </c>
      <c r="Z35" s="500" t="s">
        <v>1159</v>
      </c>
      <c r="AA35" s="501">
        <f t="shared" si="0"/>
        <v>2.8819125836046848</v>
      </c>
      <c r="AB35" s="502">
        <f t="shared" si="6"/>
        <v>8.305420139539029</v>
      </c>
      <c r="AC35" s="502">
        <f t="shared" si="7"/>
        <v>1.0579873070002646</v>
      </c>
      <c r="AD35" s="502">
        <f t="shared" si="8"/>
        <v>1.1193371417736719</v>
      </c>
      <c r="AE35" s="502">
        <f t="shared" si="9"/>
        <v>70.139922175045882</v>
      </c>
      <c r="AF35" s="503">
        <f t="shared" si="10"/>
        <v>0.66500000000000004</v>
      </c>
      <c r="AG35" s="504">
        <v>500</v>
      </c>
      <c r="AH35" s="504">
        <v>40</v>
      </c>
      <c r="AI35" s="504">
        <v>1000</v>
      </c>
      <c r="AJ35" s="504">
        <v>32</v>
      </c>
      <c r="AK35" s="489">
        <v>4</v>
      </c>
      <c r="AL35" s="505"/>
      <c r="AM35" s="505"/>
      <c r="AN35" s="506"/>
      <c r="AO35" s="499">
        <f t="shared" si="11"/>
        <v>204.0495740124307</v>
      </c>
      <c r="AP35" s="503">
        <f t="shared" si="12"/>
        <v>5.1331893830703006</v>
      </c>
      <c r="AQ35" s="505"/>
      <c r="AR35" s="507" t="s">
        <v>1149</v>
      </c>
      <c r="AV35" s="349"/>
      <c r="AW35" s="349"/>
      <c r="AX35" s="349"/>
    </row>
    <row r="36" spans="1:50" s="352" customFormat="1" ht="15.75">
      <c r="A36" s="442" t="s">
        <v>1096</v>
      </c>
      <c r="B36" s="443" t="s">
        <v>1160</v>
      </c>
      <c r="C36" s="444">
        <v>8</v>
      </c>
      <c r="D36" s="445" t="s">
        <v>1161</v>
      </c>
      <c r="E36" s="446">
        <v>1967</v>
      </c>
      <c r="F36" s="444">
        <v>1970</v>
      </c>
      <c r="G36" s="447"/>
      <c r="H36" s="448">
        <f t="shared" si="13"/>
        <v>193.05089358613807</v>
      </c>
      <c r="I36" s="449">
        <v>190</v>
      </c>
      <c r="J36" s="450">
        <f t="shared" si="2"/>
        <v>139.434</v>
      </c>
      <c r="K36" s="450">
        <f t="shared" si="16"/>
        <v>42.5</v>
      </c>
      <c r="L36" s="450"/>
      <c r="M36" s="450">
        <v>42.5</v>
      </c>
      <c r="N36" s="450">
        <f t="shared" si="3"/>
        <v>22.965600000000002</v>
      </c>
      <c r="O36" s="450">
        <v>7</v>
      </c>
      <c r="P36" s="450">
        <f t="shared" si="3"/>
        <v>7.87392</v>
      </c>
      <c r="Q36" s="451">
        <v>2.4</v>
      </c>
      <c r="R36" s="452">
        <f t="shared" si="4"/>
        <v>6.0714285714285712</v>
      </c>
      <c r="S36" s="453">
        <f t="shared" si="5"/>
        <v>17.708333333333332</v>
      </c>
      <c r="T36" s="444">
        <v>39</v>
      </c>
      <c r="U36" s="454">
        <f t="shared" si="15"/>
        <v>12000</v>
      </c>
      <c r="V36" s="454">
        <v>12000</v>
      </c>
      <c r="W36" s="454"/>
      <c r="X36" s="455"/>
      <c r="Y36" s="456">
        <v>42</v>
      </c>
      <c r="Z36" s="457"/>
      <c r="AA36" s="458">
        <f t="shared" si="0"/>
        <v>2.8819125836046848</v>
      </c>
      <c r="AB36" s="459">
        <f t="shared" si="6"/>
        <v>8.305420139539029</v>
      </c>
      <c r="AC36" s="459">
        <f t="shared" si="7"/>
        <v>1.0578583077548906</v>
      </c>
      <c r="AD36" s="459">
        <f t="shared" si="8"/>
        <v>1.1190641992860408</v>
      </c>
      <c r="AE36" s="459">
        <f t="shared" si="9"/>
        <v>70.088625305668728</v>
      </c>
      <c r="AF36" s="460">
        <f t="shared" si="10"/>
        <v>0.66500000000000004</v>
      </c>
      <c r="AG36" s="446"/>
      <c r="AH36" s="446"/>
      <c r="AI36" s="446"/>
      <c r="AJ36" s="446"/>
      <c r="AK36" s="446"/>
      <c r="AL36" s="443"/>
      <c r="AM36" s="443"/>
      <c r="AN36" s="461"/>
      <c r="AO36" s="456">
        <f t="shared" si="11"/>
        <v>204.0495740124307</v>
      </c>
      <c r="AP36" s="460">
        <f t="shared" si="12"/>
        <v>5.131937690950557</v>
      </c>
      <c r="AQ36" s="443" t="s">
        <v>1162</v>
      </c>
      <c r="AR36" s="462" t="s">
        <v>1100</v>
      </c>
      <c r="AV36" s="349"/>
      <c r="AW36" s="349"/>
      <c r="AX36" s="349"/>
    </row>
    <row r="37" spans="1:50" s="352" customFormat="1" ht="15.75">
      <c r="A37" s="442" t="s">
        <v>1096</v>
      </c>
      <c r="B37" s="443" t="s">
        <v>1163</v>
      </c>
      <c r="C37" s="444">
        <v>5</v>
      </c>
      <c r="D37" s="445" t="s">
        <v>1121</v>
      </c>
      <c r="E37" s="446">
        <v>1988</v>
      </c>
      <c r="F37" s="444" t="s">
        <v>567</v>
      </c>
      <c r="G37" s="447"/>
      <c r="H37" s="448">
        <f t="shared" si="13"/>
        <v>208.29175360609636</v>
      </c>
      <c r="I37" s="449">
        <v>205</v>
      </c>
      <c r="J37" s="450">
        <f t="shared" si="2"/>
        <v>126.63888000000001</v>
      </c>
      <c r="K37" s="450">
        <f t="shared" si="16"/>
        <v>38.6</v>
      </c>
      <c r="L37" s="450"/>
      <c r="M37" s="450">
        <v>38.6</v>
      </c>
      <c r="N37" s="450">
        <f t="shared" si="3"/>
        <v>24.934080000000002</v>
      </c>
      <c r="O37" s="450">
        <v>7.6</v>
      </c>
      <c r="P37" s="450">
        <f t="shared" si="3"/>
        <v>8.8581600000000016</v>
      </c>
      <c r="Q37" s="451">
        <v>2.7</v>
      </c>
      <c r="R37" s="452">
        <f t="shared" si="4"/>
        <v>5.0789473684210531</v>
      </c>
      <c r="S37" s="453">
        <f t="shared" si="5"/>
        <v>14.296296296296296</v>
      </c>
      <c r="T37" s="444">
        <v>35</v>
      </c>
      <c r="U37" s="454">
        <f t="shared" si="15"/>
        <v>12000</v>
      </c>
      <c r="V37" s="454">
        <v>12000</v>
      </c>
      <c r="W37" s="454"/>
      <c r="X37" s="455"/>
      <c r="Y37" s="456">
        <v>35</v>
      </c>
      <c r="Z37" s="457"/>
      <c r="AA37" s="458">
        <f t="shared" si="0"/>
        <v>2.371371051549791</v>
      </c>
      <c r="AB37" s="459">
        <f t="shared" si="6"/>
        <v>5.6234006641283614</v>
      </c>
      <c r="AC37" s="459">
        <f t="shared" si="7"/>
        <v>0.92501136300626896</v>
      </c>
      <c r="AD37" s="459">
        <f t="shared" si="8"/>
        <v>0.85564602169071546</v>
      </c>
      <c r="AE37" s="459">
        <f t="shared" si="9"/>
        <v>100.93753118830074</v>
      </c>
      <c r="AF37" s="460">
        <f t="shared" si="10"/>
        <v>0.59791666666666665</v>
      </c>
      <c r="AG37" s="446"/>
      <c r="AH37" s="446"/>
      <c r="AI37" s="446"/>
      <c r="AJ37" s="446"/>
      <c r="AK37" s="446"/>
      <c r="AL37" s="443"/>
      <c r="AM37" s="443"/>
      <c r="AN37" s="461"/>
      <c r="AO37" s="456">
        <f t="shared" si="11"/>
        <v>124.22017241655449</v>
      </c>
      <c r="AP37" s="460">
        <f t="shared" si="12"/>
        <v>3.5280889184006252</v>
      </c>
      <c r="AQ37" s="443" t="s">
        <v>1089</v>
      </c>
      <c r="AR37" s="462" t="s">
        <v>1100</v>
      </c>
      <c r="AV37" s="349"/>
      <c r="AW37" s="349"/>
      <c r="AX37" s="349"/>
    </row>
    <row r="38" spans="1:50" s="352" customFormat="1" ht="15.75">
      <c r="A38" s="442" t="s">
        <v>1096</v>
      </c>
      <c r="B38" s="443" t="s">
        <v>1163</v>
      </c>
      <c r="C38" s="444">
        <v>30</v>
      </c>
      <c r="D38" s="445" t="s">
        <v>1107</v>
      </c>
      <c r="E38" s="446">
        <v>1985</v>
      </c>
      <c r="F38" s="444" t="s">
        <v>567</v>
      </c>
      <c r="G38" s="447"/>
      <c r="H38" s="448">
        <f t="shared" si="13"/>
        <v>208.29175360609636</v>
      </c>
      <c r="I38" s="449">
        <v>205</v>
      </c>
      <c r="J38" s="450">
        <f t="shared" si="2"/>
        <v>126.63888000000001</v>
      </c>
      <c r="K38" s="450">
        <f t="shared" si="16"/>
        <v>38.6</v>
      </c>
      <c r="L38" s="450"/>
      <c r="M38" s="450">
        <v>38.6</v>
      </c>
      <c r="N38" s="450">
        <f t="shared" si="3"/>
        <v>24.934080000000002</v>
      </c>
      <c r="O38" s="450">
        <v>7.6</v>
      </c>
      <c r="P38" s="450">
        <f t="shared" si="3"/>
        <v>8.8581600000000016</v>
      </c>
      <c r="Q38" s="451">
        <v>2.7</v>
      </c>
      <c r="R38" s="452">
        <f t="shared" si="4"/>
        <v>5.0789473684210531</v>
      </c>
      <c r="S38" s="453">
        <f t="shared" si="5"/>
        <v>14.296296296296296</v>
      </c>
      <c r="T38" s="444">
        <v>28</v>
      </c>
      <c r="U38" s="454">
        <f t="shared" si="15"/>
        <v>12000</v>
      </c>
      <c r="V38" s="454">
        <v>12000</v>
      </c>
      <c r="W38" s="454"/>
      <c r="X38" s="455"/>
      <c r="Y38" s="456">
        <v>35</v>
      </c>
      <c r="Z38" s="457"/>
      <c r="AA38" s="458">
        <f t="shared" si="0"/>
        <v>2.371371051549791</v>
      </c>
      <c r="AB38" s="459">
        <f t="shared" si="6"/>
        <v>5.6234006641283614</v>
      </c>
      <c r="AC38" s="459">
        <f t="shared" si="7"/>
        <v>0.92501136300626896</v>
      </c>
      <c r="AD38" s="459">
        <f t="shared" si="8"/>
        <v>0.85564602169071546</v>
      </c>
      <c r="AE38" s="459">
        <f t="shared" si="9"/>
        <v>100.93753118830074</v>
      </c>
      <c r="AF38" s="460">
        <f t="shared" si="10"/>
        <v>0.59791666666666665</v>
      </c>
      <c r="AG38" s="446"/>
      <c r="AH38" s="446"/>
      <c r="AI38" s="446"/>
      <c r="AJ38" s="446"/>
      <c r="AK38" s="446"/>
      <c r="AL38" s="443"/>
      <c r="AM38" s="443"/>
      <c r="AN38" s="461"/>
      <c r="AO38" s="456">
        <f t="shared" si="11"/>
        <v>124.22017241655449</v>
      </c>
      <c r="AP38" s="460">
        <f t="shared" si="12"/>
        <v>3.5280889184006252</v>
      </c>
      <c r="AQ38" s="443" t="s">
        <v>1089</v>
      </c>
      <c r="AR38" s="462" t="s">
        <v>1100</v>
      </c>
      <c r="AV38" s="349"/>
      <c r="AW38" s="349"/>
      <c r="AX38" s="349"/>
    </row>
    <row r="39" spans="1:50" s="352" customFormat="1" ht="15.75">
      <c r="A39" s="464" t="s">
        <v>1096</v>
      </c>
      <c r="B39" s="465" t="s">
        <v>1164</v>
      </c>
      <c r="C39" s="466">
        <v>2</v>
      </c>
      <c r="D39" s="467" t="s">
        <v>1165</v>
      </c>
      <c r="E39" s="468">
        <v>1984</v>
      </c>
      <c r="F39" s="466" t="s">
        <v>567</v>
      </c>
      <c r="G39" s="469" t="s">
        <v>1166</v>
      </c>
      <c r="H39" s="470">
        <f t="shared" si="13"/>
        <v>208.29175360609636</v>
      </c>
      <c r="I39" s="471">
        <v>205</v>
      </c>
      <c r="J39" s="472">
        <f t="shared" si="2"/>
        <v>126.63888000000001</v>
      </c>
      <c r="K39" s="472">
        <f>IF(M39="",#REF!,M39)</f>
        <v>38.6</v>
      </c>
      <c r="L39" s="472">
        <v>38.588149231894654</v>
      </c>
      <c r="M39" s="472">
        <v>38.6</v>
      </c>
      <c r="N39" s="472">
        <f t="shared" si="3"/>
        <v>24.934080000000002</v>
      </c>
      <c r="O39" s="472">
        <v>7.6</v>
      </c>
      <c r="P39" s="472">
        <f t="shared" si="3"/>
        <v>8.8581600000000016</v>
      </c>
      <c r="Q39" s="473">
        <v>2.7</v>
      </c>
      <c r="R39" s="474">
        <f t="shared" si="4"/>
        <v>5.0789473684210531</v>
      </c>
      <c r="S39" s="475">
        <f t="shared" si="5"/>
        <v>14.296296296296296</v>
      </c>
      <c r="T39" s="466">
        <v>28</v>
      </c>
      <c r="U39" s="476">
        <f t="shared" si="15"/>
        <v>12000</v>
      </c>
      <c r="V39" s="476">
        <v>12000</v>
      </c>
      <c r="W39" s="476">
        <v>12000</v>
      </c>
      <c r="X39" s="477"/>
      <c r="Y39" s="478">
        <v>35</v>
      </c>
      <c r="Z39" s="479"/>
      <c r="AA39" s="480">
        <f t="shared" si="0"/>
        <v>2.371371051549791</v>
      </c>
      <c r="AB39" s="481">
        <f t="shared" si="6"/>
        <v>5.6234006641283614</v>
      </c>
      <c r="AC39" s="481">
        <f t="shared" si="7"/>
        <v>0.92501136300626896</v>
      </c>
      <c r="AD39" s="481">
        <f t="shared" si="8"/>
        <v>0.85564602169071546</v>
      </c>
      <c r="AE39" s="481">
        <f t="shared" si="9"/>
        <v>100.93753118830074</v>
      </c>
      <c r="AF39" s="482">
        <f t="shared" si="10"/>
        <v>0.59791666666666665</v>
      </c>
      <c r="AG39" s="479">
        <v>800</v>
      </c>
      <c r="AH39" s="468">
        <v>30</v>
      </c>
      <c r="AI39" s="468"/>
      <c r="AJ39" s="468"/>
      <c r="AK39" s="468">
        <v>3</v>
      </c>
      <c r="AL39" s="465"/>
      <c r="AM39" s="465"/>
      <c r="AN39" s="483"/>
      <c r="AO39" s="478">
        <f t="shared" si="11"/>
        <v>124.22017241655449</v>
      </c>
      <c r="AP39" s="482">
        <f t="shared" si="12"/>
        <v>3.5280889184006252</v>
      </c>
      <c r="AQ39" s="465" t="s">
        <v>1089</v>
      </c>
      <c r="AR39" s="484" t="s">
        <v>1140</v>
      </c>
      <c r="AV39" s="349"/>
      <c r="AW39" s="349"/>
      <c r="AX39" s="349"/>
    </row>
    <row r="40" spans="1:50" s="352" customFormat="1" ht="15.75">
      <c r="A40" s="464" t="s">
        <v>1167</v>
      </c>
      <c r="B40" s="465" t="s">
        <v>1168</v>
      </c>
      <c r="C40" s="466">
        <v>10</v>
      </c>
      <c r="D40" s="467" t="s">
        <v>1146</v>
      </c>
      <c r="E40" s="468">
        <v>1994</v>
      </c>
      <c r="F40" s="466">
        <v>1996</v>
      </c>
      <c r="G40" s="469" t="s">
        <v>1166</v>
      </c>
      <c r="H40" s="470">
        <f t="shared" si="13"/>
        <v>208.29175360609636</v>
      </c>
      <c r="I40" s="471">
        <v>205</v>
      </c>
      <c r="J40" s="472">
        <f t="shared" si="2"/>
        <v>126.63888000000001</v>
      </c>
      <c r="K40" s="472">
        <f>IF(M40="",#REF!,M40)</f>
        <v>38.6</v>
      </c>
      <c r="L40" s="472">
        <v>38.588149231894654</v>
      </c>
      <c r="M40" s="472">
        <v>38.6</v>
      </c>
      <c r="N40" s="472">
        <f t="shared" si="3"/>
        <v>22.309440000000002</v>
      </c>
      <c r="O40" s="472">
        <v>6.8</v>
      </c>
      <c r="P40" s="472">
        <f t="shared" si="3"/>
        <v>8.8581600000000016</v>
      </c>
      <c r="Q40" s="473">
        <v>2.7</v>
      </c>
      <c r="R40" s="474">
        <f t="shared" si="4"/>
        <v>5.6764705882352944</v>
      </c>
      <c r="S40" s="475">
        <f t="shared" si="5"/>
        <v>14.296296296296296</v>
      </c>
      <c r="T40" s="466">
        <v>28</v>
      </c>
      <c r="U40" s="476">
        <f t="shared" si="15"/>
        <v>8025</v>
      </c>
      <c r="V40" s="476">
        <v>8025</v>
      </c>
      <c r="W40" s="476">
        <v>8025</v>
      </c>
      <c r="X40" s="477"/>
      <c r="Y40" s="478">
        <v>35</v>
      </c>
      <c r="Z40" s="479"/>
      <c r="AA40" s="480">
        <f t="shared" si="0"/>
        <v>2.371371051549791</v>
      </c>
      <c r="AB40" s="481">
        <f t="shared" si="6"/>
        <v>5.6234006641283614</v>
      </c>
      <c r="AC40" s="481">
        <f t="shared" si="7"/>
        <v>0.92501136300626896</v>
      </c>
      <c r="AD40" s="481">
        <f t="shared" si="8"/>
        <v>0.85564602169071546</v>
      </c>
      <c r="AE40" s="481">
        <f t="shared" si="9"/>
        <v>100.93753118830074</v>
      </c>
      <c r="AF40" s="482">
        <f t="shared" si="10"/>
        <v>0.89408099688473519</v>
      </c>
      <c r="AG40" s="479">
        <v>800</v>
      </c>
      <c r="AH40" s="468">
        <v>30</v>
      </c>
      <c r="AI40" s="468"/>
      <c r="AJ40" s="468"/>
      <c r="AK40" s="468">
        <v>3</v>
      </c>
      <c r="AL40" s="465"/>
      <c r="AM40" s="465"/>
      <c r="AN40" s="483"/>
      <c r="AO40" s="478">
        <f t="shared" si="11"/>
        <v>185.74979052942729</v>
      </c>
      <c r="AP40" s="482">
        <f t="shared" si="12"/>
        <v>5.2756469807859823</v>
      </c>
      <c r="AQ40" s="465" t="s">
        <v>1169</v>
      </c>
      <c r="AR40" s="484" t="s">
        <v>1140</v>
      </c>
      <c r="AV40" s="349"/>
      <c r="AW40" s="349"/>
      <c r="AX40" s="349"/>
    </row>
    <row r="41" spans="1:50" s="352" customFormat="1" ht="15.75">
      <c r="A41" s="442" t="s">
        <v>1096</v>
      </c>
      <c r="B41" s="443" t="s">
        <v>1170</v>
      </c>
      <c r="C41" s="444">
        <v>3</v>
      </c>
      <c r="D41" s="445" t="s">
        <v>1171</v>
      </c>
      <c r="E41" s="446">
        <v>1978</v>
      </c>
      <c r="F41" s="444">
        <v>1979</v>
      </c>
      <c r="G41" s="447"/>
      <c r="H41" s="448">
        <f t="shared" si="13"/>
        <v>209.30781094076025</v>
      </c>
      <c r="I41" s="449">
        <v>206</v>
      </c>
      <c r="J41" s="450">
        <f t="shared" si="2"/>
        <v>121.06152</v>
      </c>
      <c r="K41" s="450">
        <f t="shared" ref="K41:K46" si="17">IF(M41="",L41,M41)</f>
        <v>36.9</v>
      </c>
      <c r="L41" s="450"/>
      <c r="M41" s="450">
        <v>36.9</v>
      </c>
      <c r="N41" s="450">
        <f t="shared" si="3"/>
        <v>23.621760000000002</v>
      </c>
      <c r="O41" s="450">
        <v>7.2</v>
      </c>
      <c r="P41" s="450">
        <f t="shared" si="3"/>
        <v>5.9054400000000005</v>
      </c>
      <c r="Q41" s="451">
        <v>1.8</v>
      </c>
      <c r="R41" s="452">
        <f t="shared" si="4"/>
        <v>5.125</v>
      </c>
      <c r="S41" s="453">
        <f t="shared" si="5"/>
        <v>20.5</v>
      </c>
      <c r="T41" s="444">
        <v>24</v>
      </c>
      <c r="U41" s="454">
        <f t="shared" si="15"/>
        <v>7680</v>
      </c>
      <c r="V41" s="454">
        <v>7680</v>
      </c>
      <c r="W41" s="454"/>
      <c r="X41" s="455"/>
      <c r="Y41" s="456">
        <v>32</v>
      </c>
      <c r="Z41" s="457"/>
      <c r="AA41" s="458">
        <f t="shared" si="0"/>
        <v>2.1663529822826906</v>
      </c>
      <c r="AB41" s="459">
        <f t="shared" si="6"/>
        <v>4.6930852438451076</v>
      </c>
      <c r="AC41" s="459">
        <f t="shared" si="7"/>
        <v>0.86498678191373535</v>
      </c>
      <c r="AD41" s="459">
        <f t="shared" si="8"/>
        <v>0.74820213288547999</v>
      </c>
      <c r="AE41" s="459">
        <f t="shared" si="9"/>
        <v>116.10444667143229</v>
      </c>
      <c r="AF41" s="460">
        <f t="shared" si="10"/>
        <v>0.85833333333333328</v>
      </c>
      <c r="AG41" s="446"/>
      <c r="AH41" s="446"/>
      <c r="AI41" s="446"/>
      <c r="AJ41" s="446"/>
      <c r="AK41" s="446"/>
      <c r="AL41" s="443"/>
      <c r="AM41" s="443"/>
      <c r="AN41" s="461"/>
      <c r="AO41" s="456">
        <f t="shared" si="11"/>
        <v>148.82190582315849</v>
      </c>
      <c r="AP41" s="460">
        <f t="shared" si="12"/>
        <v>4.4287345254985508</v>
      </c>
      <c r="AQ41" s="443" t="s">
        <v>1172</v>
      </c>
      <c r="AR41" s="462" t="s">
        <v>1100</v>
      </c>
      <c r="AV41" s="349"/>
      <c r="AW41" s="349"/>
      <c r="AX41" s="349"/>
    </row>
    <row r="42" spans="1:50" s="352" customFormat="1" ht="15.75">
      <c r="A42" s="442" t="s">
        <v>1096</v>
      </c>
      <c r="B42" s="443" t="s">
        <v>1173</v>
      </c>
      <c r="C42" s="444">
        <v>4</v>
      </c>
      <c r="D42" s="445" t="s">
        <v>1109</v>
      </c>
      <c r="E42" s="446">
        <v>1966</v>
      </c>
      <c r="F42" s="444">
        <v>1968</v>
      </c>
      <c r="G42" s="447"/>
      <c r="H42" s="448">
        <f t="shared" si="13"/>
        <v>213.37204027941578</v>
      </c>
      <c r="I42" s="449">
        <v>210</v>
      </c>
      <c r="J42" s="450">
        <f t="shared" si="2"/>
        <v>126.63888000000001</v>
      </c>
      <c r="K42" s="450">
        <f t="shared" si="17"/>
        <v>38.6</v>
      </c>
      <c r="L42" s="450"/>
      <c r="M42" s="450">
        <v>38.6</v>
      </c>
      <c r="N42" s="450">
        <f t="shared" si="3"/>
        <v>24.934080000000002</v>
      </c>
      <c r="O42" s="450">
        <v>7.6</v>
      </c>
      <c r="P42" s="450">
        <f t="shared" si="3"/>
        <v>8.8581600000000016</v>
      </c>
      <c r="Q42" s="451">
        <v>2.7</v>
      </c>
      <c r="R42" s="452">
        <f t="shared" si="4"/>
        <v>5.0789473684210531</v>
      </c>
      <c r="S42" s="453">
        <f t="shared" si="5"/>
        <v>14.296296296296296</v>
      </c>
      <c r="T42" s="444">
        <v>30</v>
      </c>
      <c r="U42" s="508">
        <f t="shared" si="15"/>
        <v>12000</v>
      </c>
      <c r="V42" s="508">
        <v>12000</v>
      </c>
      <c r="W42" s="454"/>
      <c r="X42" s="455"/>
      <c r="Y42" s="456">
        <v>35</v>
      </c>
      <c r="Z42" s="457"/>
      <c r="AA42" s="458">
        <f t="shared" si="0"/>
        <v>2.3618661121023545</v>
      </c>
      <c r="AB42" s="459">
        <f t="shared" si="6"/>
        <v>5.5784115314974922</v>
      </c>
      <c r="AC42" s="459">
        <f t="shared" si="7"/>
        <v>0.92501136300626896</v>
      </c>
      <c r="AD42" s="459">
        <f t="shared" si="8"/>
        <v>0.85564602169071546</v>
      </c>
      <c r="AE42" s="459">
        <f t="shared" si="9"/>
        <v>103.39942219289344</v>
      </c>
      <c r="AF42" s="460">
        <f t="shared" si="10"/>
        <v>0.61250000000000004</v>
      </c>
      <c r="AG42" s="446"/>
      <c r="AH42" s="446"/>
      <c r="AI42" s="446"/>
      <c r="AJ42" s="446"/>
      <c r="AK42" s="446"/>
      <c r="AL42" s="443"/>
      <c r="AM42" s="443"/>
      <c r="AN42" s="461"/>
      <c r="AO42" s="456">
        <f t="shared" si="11"/>
        <v>126.23188964505242</v>
      </c>
      <c r="AP42" s="460">
        <f t="shared" si="12"/>
        <v>3.614139867629909</v>
      </c>
      <c r="AQ42" s="443" t="s">
        <v>1089</v>
      </c>
      <c r="AR42" s="462" t="s">
        <v>1100</v>
      </c>
      <c r="AV42" s="349"/>
      <c r="AW42" s="349"/>
      <c r="AX42" s="349"/>
    </row>
    <row r="43" spans="1:50" s="352" customFormat="1" ht="15.75">
      <c r="A43" s="442" t="s">
        <v>1096</v>
      </c>
      <c r="B43" s="443" t="s">
        <v>1174</v>
      </c>
      <c r="C43" s="444">
        <v>5</v>
      </c>
      <c r="D43" s="445" t="s">
        <v>1175</v>
      </c>
      <c r="E43" s="446">
        <v>1971</v>
      </c>
      <c r="F43" s="444">
        <v>1975</v>
      </c>
      <c r="G43" s="447"/>
      <c r="H43" s="448">
        <f t="shared" si="13"/>
        <v>213.37204027941578</v>
      </c>
      <c r="I43" s="449">
        <v>210</v>
      </c>
      <c r="J43" s="450">
        <f t="shared" si="2"/>
        <v>126.63888000000001</v>
      </c>
      <c r="K43" s="450">
        <f t="shared" si="17"/>
        <v>38.6</v>
      </c>
      <c r="L43" s="450"/>
      <c r="M43" s="450">
        <v>38.6</v>
      </c>
      <c r="N43" s="450">
        <f t="shared" si="3"/>
        <v>24.934080000000002</v>
      </c>
      <c r="O43" s="450">
        <v>7.6</v>
      </c>
      <c r="P43" s="450">
        <f t="shared" si="3"/>
        <v>8.8581600000000016</v>
      </c>
      <c r="Q43" s="451">
        <v>2.7</v>
      </c>
      <c r="R43" s="452">
        <f t="shared" si="4"/>
        <v>5.0789473684210531</v>
      </c>
      <c r="S43" s="453">
        <f t="shared" si="5"/>
        <v>14.296296296296296</v>
      </c>
      <c r="T43" s="444">
        <v>30</v>
      </c>
      <c r="U43" s="454">
        <f t="shared" si="15"/>
        <v>8025</v>
      </c>
      <c r="V43" s="454">
        <v>8025</v>
      </c>
      <c r="W43" s="454"/>
      <c r="X43" s="455"/>
      <c r="Y43" s="456">
        <v>35</v>
      </c>
      <c r="Z43" s="457"/>
      <c r="AA43" s="458">
        <f t="shared" si="0"/>
        <v>2.3618661121023545</v>
      </c>
      <c r="AB43" s="459">
        <f t="shared" si="6"/>
        <v>5.5784115314974922</v>
      </c>
      <c r="AC43" s="459">
        <f t="shared" si="7"/>
        <v>0.92501136300626896</v>
      </c>
      <c r="AD43" s="459">
        <f t="shared" si="8"/>
        <v>0.85564602169071546</v>
      </c>
      <c r="AE43" s="459">
        <f t="shared" si="9"/>
        <v>103.39942219289344</v>
      </c>
      <c r="AF43" s="460">
        <f t="shared" si="10"/>
        <v>0.91588785046728971</v>
      </c>
      <c r="AG43" s="446"/>
      <c r="AH43" s="446"/>
      <c r="AI43" s="446"/>
      <c r="AJ43" s="446"/>
      <c r="AK43" s="446"/>
      <c r="AL43" s="443"/>
      <c r="AM43" s="443"/>
      <c r="AN43" s="461"/>
      <c r="AO43" s="456">
        <f t="shared" si="11"/>
        <v>188.75796582437744</v>
      </c>
      <c r="AP43" s="460">
        <f t="shared" si="12"/>
        <v>5.4043212973905188</v>
      </c>
      <c r="AQ43" s="443" t="s">
        <v>1176</v>
      </c>
      <c r="AR43" s="462" t="s">
        <v>1100</v>
      </c>
    </row>
    <row r="44" spans="1:50" s="352" customFormat="1" ht="15.75">
      <c r="A44" s="442" t="s">
        <v>1096</v>
      </c>
      <c r="B44" s="443" t="s">
        <v>1177</v>
      </c>
      <c r="C44" s="444">
        <v>2</v>
      </c>
      <c r="D44" s="445" t="s">
        <v>1123</v>
      </c>
      <c r="E44" s="446">
        <v>1998</v>
      </c>
      <c r="F44" s="444" t="s">
        <v>567</v>
      </c>
      <c r="G44" s="447"/>
      <c r="H44" s="448">
        <f t="shared" si="13"/>
        <v>215.40415494874355</v>
      </c>
      <c r="I44" s="449">
        <v>212</v>
      </c>
      <c r="J44" s="450">
        <f t="shared" si="2"/>
        <v>149.2764</v>
      </c>
      <c r="K44" s="450">
        <f t="shared" si="17"/>
        <v>45.5</v>
      </c>
      <c r="L44" s="450"/>
      <c r="M44" s="450">
        <v>45.5</v>
      </c>
      <c r="N44" s="450">
        <f t="shared" si="3"/>
        <v>20.997120000000002</v>
      </c>
      <c r="O44" s="450">
        <v>6.4</v>
      </c>
      <c r="P44" s="450">
        <f t="shared" si="3"/>
        <v>5.5773600000000005</v>
      </c>
      <c r="Q44" s="451">
        <v>1.7</v>
      </c>
      <c r="R44" s="452">
        <f t="shared" si="4"/>
        <v>7.1093749999999991</v>
      </c>
      <c r="S44" s="453">
        <f t="shared" si="5"/>
        <v>26.764705882352938</v>
      </c>
      <c r="T44" s="444">
        <v>30</v>
      </c>
      <c r="U44" s="454">
        <f t="shared" si="15"/>
        <v>4800</v>
      </c>
      <c r="V44" s="454">
        <v>4800</v>
      </c>
      <c r="W44" s="454"/>
      <c r="X44" s="455"/>
      <c r="Y44" s="456">
        <v>28</v>
      </c>
      <c r="Z44" s="457"/>
      <c r="AA44" s="458">
        <f t="shared" si="0"/>
        <v>1.8865102430633052</v>
      </c>
      <c r="AB44" s="459">
        <f t="shared" si="6"/>
        <v>3.5589208971827708</v>
      </c>
      <c r="AC44" s="459">
        <f t="shared" si="7"/>
        <v>0.68159282292317558</v>
      </c>
      <c r="AD44" s="459">
        <f t="shared" si="8"/>
        <v>0.4645687762603834</v>
      </c>
      <c r="AE44" s="459">
        <f t="shared" si="9"/>
        <v>63.73271241622178</v>
      </c>
      <c r="AF44" s="460">
        <f t="shared" si="10"/>
        <v>1.2366666666666666</v>
      </c>
      <c r="AG44" s="446"/>
      <c r="AH44" s="446"/>
      <c r="AI44" s="446"/>
      <c r="AJ44" s="446"/>
      <c r="AK44" s="446"/>
      <c r="AL44" s="443"/>
      <c r="AM44" s="443"/>
      <c r="AN44" s="461"/>
      <c r="AO44" s="456">
        <f t="shared" si="11"/>
        <v>162.60108177553309</v>
      </c>
      <c r="AP44" s="460">
        <f t="shared" si="12"/>
        <v>3.9619354879047632</v>
      </c>
      <c r="AQ44" s="443" t="s">
        <v>1178</v>
      </c>
      <c r="AR44" s="462" t="s">
        <v>1100</v>
      </c>
      <c r="AV44" s="349"/>
      <c r="AW44" s="349"/>
      <c r="AX44" s="349"/>
    </row>
    <row r="45" spans="1:50" s="352" customFormat="1" ht="15.75">
      <c r="A45" s="442" t="s">
        <v>1096</v>
      </c>
      <c r="B45" s="443" t="s">
        <v>1179</v>
      </c>
      <c r="C45" s="444">
        <v>6</v>
      </c>
      <c r="D45" s="445" t="s">
        <v>1180</v>
      </c>
      <c r="E45" s="446">
        <v>1979</v>
      </c>
      <c r="F45" s="444">
        <v>1982</v>
      </c>
      <c r="G45" s="447"/>
      <c r="H45" s="448">
        <f t="shared" si="13"/>
        <v>218.45232695273521</v>
      </c>
      <c r="I45" s="449">
        <v>215</v>
      </c>
      <c r="J45" s="450">
        <f t="shared" si="2"/>
        <v>120.73344</v>
      </c>
      <c r="K45" s="450">
        <f t="shared" si="17"/>
        <v>36.799999999999997</v>
      </c>
      <c r="L45" s="450"/>
      <c r="M45" s="450">
        <v>36.799999999999997</v>
      </c>
      <c r="N45" s="450">
        <f t="shared" si="3"/>
        <v>24.934080000000002</v>
      </c>
      <c r="O45" s="450">
        <v>7.6</v>
      </c>
      <c r="P45" s="450">
        <f t="shared" si="3"/>
        <v>5.9054400000000005</v>
      </c>
      <c r="Q45" s="451">
        <v>1.8</v>
      </c>
      <c r="R45" s="452">
        <f t="shared" si="4"/>
        <v>4.8421052631578947</v>
      </c>
      <c r="S45" s="453">
        <f t="shared" si="5"/>
        <v>20.444444444444443</v>
      </c>
      <c r="T45" s="444">
        <v>22</v>
      </c>
      <c r="U45" s="454">
        <f t="shared" si="15"/>
        <v>8025</v>
      </c>
      <c r="V45" s="454">
        <v>8025</v>
      </c>
      <c r="W45" s="454"/>
      <c r="X45" s="455"/>
      <c r="Y45" s="456">
        <v>36</v>
      </c>
      <c r="Z45" s="457"/>
      <c r="AA45" s="458">
        <f t="shared" si="0"/>
        <v>2.4198393639787561</v>
      </c>
      <c r="AB45" s="459">
        <f t="shared" si="6"/>
        <v>5.8556225474611105</v>
      </c>
      <c r="AC45" s="459">
        <f t="shared" si="7"/>
        <v>0.97443139316665617</v>
      </c>
      <c r="AD45" s="459">
        <f t="shared" si="8"/>
        <v>0.94951653998871044</v>
      </c>
      <c r="AE45" s="459">
        <f t="shared" si="9"/>
        <v>122.16751360486808</v>
      </c>
      <c r="AF45" s="460">
        <f t="shared" si="10"/>
        <v>0.96448598130841123</v>
      </c>
      <c r="AG45" s="446"/>
      <c r="AH45" s="446"/>
      <c r="AI45" s="446"/>
      <c r="AJ45" s="446"/>
      <c r="AK45" s="446"/>
      <c r="AL45" s="443"/>
      <c r="AM45" s="443"/>
      <c r="AN45" s="461"/>
      <c r="AO45" s="456">
        <f t="shared" si="11"/>
        <v>208.65146314607483</v>
      </c>
      <c r="AP45" s="460">
        <f t="shared" si="12"/>
        <v>6.3154337139998464</v>
      </c>
      <c r="AQ45" s="443" t="s">
        <v>1181</v>
      </c>
      <c r="AR45" s="462" t="s">
        <v>1100</v>
      </c>
      <c r="AV45" s="349"/>
      <c r="AW45" s="349"/>
      <c r="AX45" s="349"/>
    </row>
    <row r="46" spans="1:50" s="352" customFormat="1" ht="15.75">
      <c r="A46" s="485" t="s">
        <v>1096</v>
      </c>
      <c r="B46" s="505" t="s">
        <v>1182</v>
      </c>
      <c r="C46" s="487"/>
      <c r="D46" s="488" t="s">
        <v>1154</v>
      </c>
      <c r="E46" s="489">
        <v>1969</v>
      </c>
      <c r="F46" s="487"/>
      <c r="G46" s="490" t="s">
        <v>1183</v>
      </c>
      <c r="H46" s="491">
        <f>I46*2240/2204.6</f>
        <v>228.61290029937405</v>
      </c>
      <c r="I46" s="492">
        <v>225</v>
      </c>
      <c r="J46" s="493">
        <f>K46*3.2808</f>
        <v>164.5</v>
      </c>
      <c r="K46" s="493">
        <f t="shared" si="17"/>
        <v>50.14020970495001</v>
      </c>
      <c r="L46" s="493">
        <v>50.14020970495001</v>
      </c>
      <c r="M46" s="493"/>
      <c r="N46" s="493">
        <f>O46*3.2808</f>
        <v>23.8</v>
      </c>
      <c r="O46" s="493">
        <v>7.2543282126310658</v>
      </c>
      <c r="P46" s="493">
        <f>Q46*3.2808</f>
        <v>9.5</v>
      </c>
      <c r="Q46" s="494">
        <v>2.8956352109241648</v>
      </c>
      <c r="R46" s="495">
        <f t="shared" si="4"/>
        <v>6.9117647058823524</v>
      </c>
      <c r="S46" s="496">
        <f t="shared" si="5"/>
        <v>17.315789473684209</v>
      </c>
      <c r="T46" s="487"/>
      <c r="U46" s="497">
        <f>IF(V46="",W46,V46)</f>
        <v>1450</v>
      </c>
      <c r="V46" s="497"/>
      <c r="W46" s="497">
        <v>1450</v>
      </c>
      <c r="X46" s="498"/>
      <c r="Y46" s="499">
        <v>16</v>
      </c>
      <c r="Z46" s="500"/>
      <c r="AA46" s="501">
        <f>Y46*1.6878/SQRT(32.174*(H46*2204.6/2240*35)^(1/3))</f>
        <v>1.0673659461753169</v>
      </c>
      <c r="AB46" s="502">
        <f>AA46^2</f>
        <v>1.1392700630547294</v>
      </c>
      <c r="AC46" s="502">
        <f>Y46*1.687/SQRT(32.174*J46)</f>
        <v>0.37102193438784314</v>
      </c>
      <c r="AD46" s="502">
        <f>AC46^2</f>
        <v>0.13765727579689699</v>
      </c>
      <c r="AE46" s="502">
        <f>I46/(0.01*J46)^3</f>
        <v>50.545769348590554</v>
      </c>
      <c r="AF46" s="503">
        <f>IF(U46="","",Y46*I46/U46)</f>
        <v>2.4827586206896552</v>
      </c>
      <c r="AG46" s="504"/>
      <c r="AH46" s="504"/>
      <c r="AI46" s="504"/>
      <c r="AJ46" s="504"/>
      <c r="AK46" s="489"/>
      <c r="AL46" s="505"/>
      <c r="AM46" s="505"/>
      <c r="AN46" s="506"/>
      <c r="AO46" s="499">
        <f>IF(U46="","",I46^(2/3)*Y46^3/U46)</f>
        <v>104.49935851507868</v>
      </c>
      <c r="AP46" s="503">
        <f>IF(U46="","",0.61*I46*Y46^3/(J46*U46))</f>
        <v>2.3568850225343256</v>
      </c>
      <c r="AQ46" s="505"/>
      <c r="AR46" s="507" t="s">
        <v>1149</v>
      </c>
      <c r="AV46" s="349"/>
      <c r="AW46" s="349"/>
      <c r="AX46" s="349"/>
    </row>
    <row r="47" spans="1:50" s="352" customFormat="1" ht="15.75">
      <c r="A47" s="464" t="s">
        <v>1096</v>
      </c>
      <c r="B47" s="465" t="s">
        <v>1184</v>
      </c>
      <c r="C47" s="466">
        <v>4</v>
      </c>
      <c r="D47" s="467" t="s">
        <v>1185</v>
      </c>
      <c r="E47" s="468">
        <v>1979</v>
      </c>
      <c r="F47" s="466" t="s">
        <v>567</v>
      </c>
      <c r="G47" s="469" t="s">
        <v>1186</v>
      </c>
      <c r="H47" s="470">
        <f t="shared" si="13"/>
        <v>243.85376031933231</v>
      </c>
      <c r="I47" s="471">
        <v>240</v>
      </c>
      <c r="J47" s="472">
        <f t="shared" si="2"/>
        <v>143.04288000000003</v>
      </c>
      <c r="K47" s="472">
        <f>IF(M47="",#REF!,M47)</f>
        <v>43.6</v>
      </c>
      <c r="L47" s="472">
        <v>43.465008534503774</v>
      </c>
      <c r="M47" s="472">
        <v>43.6</v>
      </c>
      <c r="N47" s="472">
        <f t="shared" si="3"/>
        <v>23.293679999999998</v>
      </c>
      <c r="O47" s="472">
        <v>7.1</v>
      </c>
      <c r="P47" s="472">
        <f t="shared" si="3"/>
        <v>7.87392</v>
      </c>
      <c r="Q47" s="473">
        <v>2.4</v>
      </c>
      <c r="R47" s="474">
        <f t="shared" si="4"/>
        <v>6.1408450704225368</v>
      </c>
      <c r="S47" s="475">
        <f t="shared" si="5"/>
        <v>18.166666666666671</v>
      </c>
      <c r="T47" s="466">
        <v>40</v>
      </c>
      <c r="U47" s="476">
        <f t="shared" si="15"/>
        <v>9180</v>
      </c>
      <c r="V47" s="476">
        <v>9180</v>
      </c>
      <c r="W47" s="476"/>
      <c r="X47" s="477"/>
      <c r="Y47" s="478">
        <v>34.5</v>
      </c>
      <c r="Z47" s="479"/>
      <c r="AA47" s="480">
        <f t="shared" si="0"/>
        <v>2.2768845030336466</v>
      </c>
      <c r="AB47" s="481">
        <f t="shared" si="6"/>
        <v>5.1842030401547756</v>
      </c>
      <c r="AC47" s="481">
        <f t="shared" si="7"/>
        <v>0.85792342510339847</v>
      </c>
      <c r="AD47" s="481">
        <f t="shared" si="8"/>
        <v>0.73603260334114662</v>
      </c>
      <c r="AE47" s="481">
        <f t="shared" si="9"/>
        <v>81.999745610967082</v>
      </c>
      <c r="AF47" s="482">
        <f t="shared" si="10"/>
        <v>0.90196078431372551</v>
      </c>
      <c r="AG47" s="479">
        <v>1850</v>
      </c>
      <c r="AH47" s="468">
        <v>14</v>
      </c>
      <c r="AI47" s="468"/>
      <c r="AJ47" s="468"/>
      <c r="AK47" s="468">
        <v>3</v>
      </c>
      <c r="AL47" s="465"/>
      <c r="AM47" s="465"/>
      <c r="AN47" s="483"/>
      <c r="AO47" s="478">
        <f t="shared" si="11"/>
        <v>172.75160797789255</v>
      </c>
      <c r="AP47" s="482">
        <f t="shared" si="12"/>
        <v>4.5781438569535311</v>
      </c>
      <c r="AQ47" s="465" t="s">
        <v>1187</v>
      </c>
      <c r="AR47" s="484" t="s">
        <v>1140</v>
      </c>
      <c r="AV47" s="349"/>
      <c r="AW47" s="349"/>
      <c r="AX47" s="349"/>
    </row>
    <row r="48" spans="1:50" s="352" customFormat="1" ht="15.75">
      <c r="A48" s="464" t="s">
        <v>1096</v>
      </c>
      <c r="B48" s="465" t="s">
        <v>1188</v>
      </c>
      <c r="C48" s="466">
        <v>6</v>
      </c>
      <c r="D48" s="467" t="s">
        <v>1189</v>
      </c>
      <c r="E48" s="468">
        <v>1976</v>
      </c>
      <c r="F48" s="466">
        <v>1977</v>
      </c>
      <c r="G48" s="469" t="s">
        <v>1190</v>
      </c>
      <c r="H48" s="470">
        <f t="shared" si="13"/>
        <v>247.91798965798785</v>
      </c>
      <c r="I48" s="471">
        <v>244</v>
      </c>
      <c r="J48" s="472">
        <f t="shared" si="2"/>
        <v>147.30792</v>
      </c>
      <c r="K48" s="472">
        <f>IF(M48="",#REF!,M48)</f>
        <v>44.9</v>
      </c>
      <c r="L48" s="472">
        <v>44.897585954645209</v>
      </c>
      <c r="M48" s="472">
        <v>44.9</v>
      </c>
      <c r="N48" s="472">
        <f t="shared" si="3"/>
        <v>22.965600000000002</v>
      </c>
      <c r="O48" s="472">
        <v>7</v>
      </c>
      <c r="P48" s="472">
        <f t="shared" si="3"/>
        <v>8.202</v>
      </c>
      <c r="Q48" s="473">
        <v>2.5</v>
      </c>
      <c r="R48" s="474">
        <f t="shared" si="4"/>
        <v>6.4142857142857137</v>
      </c>
      <c r="S48" s="475">
        <f t="shared" si="5"/>
        <v>17.96</v>
      </c>
      <c r="T48" s="466">
        <v>36</v>
      </c>
      <c r="U48" s="476">
        <f t="shared" si="15"/>
        <v>9000</v>
      </c>
      <c r="V48" s="476">
        <v>9000</v>
      </c>
      <c r="W48" s="476"/>
      <c r="X48" s="477"/>
      <c r="Y48" s="478">
        <v>32</v>
      </c>
      <c r="Z48" s="479"/>
      <c r="AA48" s="480">
        <f t="shared" si="0"/>
        <v>2.1060828598451677</v>
      </c>
      <c r="AB48" s="481">
        <f t="shared" si="6"/>
        <v>4.4355850125336005</v>
      </c>
      <c r="AC48" s="481">
        <f t="shared" si="7"/>
        <v>0.78415060799818581</v>
      </c>
      <c r="AD48" s="481">
        <f t="shared" si="8"/>
        <v>0.61489217602392443</v>
      </c>
      <c r="AE48" s="481">
        <f t="shared" si="9"/>
        <v>76.332859979555849</v>
      </c>
      <c r="AF48" s="482">
        <f t="shared" si="10"/>
        <v>0.86755555555555552</v>
      </c>
      <c r="AG48" s="479">
        <v>2000</v>
      </c>
      <c r="AH48" s="468">
        <v>14</v>
      </c>
      <c r="AI48" s="468"/>
      <c r="AJ48" s="468"/>
      <c r="AK48" s="468">
        <v>3</v>
      </c>
      <c r="AL48" s="465"/>
      <c r="AM48" s="465"/>
      <c r="AN48" s="483"/>
      <c r="AO48" s="478">
        <f t="shared" si="11"/>
        <v>142.16760364466623</v>
      </c>
      <c r="AP48" s="482">
        <f t="shared" si="12"/>
        <v>3.6787560520997258</v>
      </c>
      <c r="AQ48" s="465" t="s">
        <v>1191</v>
      </c>
      <c r="AR48" s="484" t="s">
        <v>1140</v>
      </c>
      <c r="AV48" s="349"/>
      <c r="AW48" s="349"/>
      <c r="AX48" s="349"/>
    </row>
    <row r="49" spans="1:50" s="352" customFormat="1" ht="15.75">
      <c r="A49" s="442" t="s">
        <v>1096</v>
      </c>
      <c r="B49" s="443" t="s">
        <v>1192</v>
      </c>
      <c r="C49" s="444">
        <v>1</v>
      </c>
      <c r="D49" s="445" t="s">
        <v>1193</v>
      </c>
      <c r="E49" s="446">
        <v>1969</v>
      </c>
      <c r="F49" s="444" t="s">
        <v>567</v>
      </c>
      <c r="G49" s="447"/>
      <c r="H49" s="448">
        <f t="shared" si="13"/>
        <v>248.93404699265173</v>
      </c>
      <c r="I49" s="449">
        <v>245</v>
      </c>
      <c r="J49" s="450">
        <f t="shared" si="2"/>
        <v>164.36808000000002</v>
      </c>
      <c r="K49" s="450">
        <f>IF(M49="",L49,M49)</f>
        <v>50.1</v>
      </c>
      <c r="L49" s="450"/>
      <c r="M49" s="450">
        <v>50.1</v>
      </c>
      <c r="N49" s="450">
        <f t="shared" si="3"/>
        <v>23.949840000000002</v>
      </c>
      <c r="O49" s="450">
        <v>7.3</v>
      </c>
      <c r="P49" s="450">
        <f t="shared" si="3"/>
        <v>9.5143199999999997</v>
      </c>
      <c r="Q49" s="451">
        <v>2.9</v>
      </c>
      <c r="R49" s="452">
        <f t="shared" si="4"/>
        <v>6.8630136986301373</v>
      </c>
      <c r="S49" s="453">
        <f t="shared" si="5"/>
        <v>17.27586206896552</v>
      </c>
      <c r="T49" s="444">
        <v>24</v>
      </c>
      <c r="U49" s="454">
        <f t="shared" si="15"/>
        <v>13300</v>
      </c>
      <c r="V49" s="454">
        <v>13300</v>
      </c>
      <c r="W49" s="454"/>
      <c r="X49" s="455"/>
      <c r="Y49" s="456">
        <v>40</v>
      </c>
      <c r="Z49" s="457"/>
      <c r="AA49" s="458">
        <f t="shared" si="0"/>
        <v>2.6308096346759702</v>
      </c>
      <c r="AB49" s="459">
        <f t="shared" si="6"/>
        <v>6.9211593339039119</v>
      </c>
      <c r="AC49" s="459">
        <f t="shared" si="7"/>
        <v>0.92792698393168416</v>
      </c>
      <c r="AD49" s="459">
        <f t="shared" si="8"/>
        <v>0.86104848750855201</v>
      </c>
      <c r="AE49" s="459">
        <f t="shared" si="9"/>
        <v>55.171353428562576</v>
      </c>
      <c r="AF49" s="460">
        <f t="shared" si="10"/>
        <v>0.73684210526315785</v>
      </c>
      <c r="AG49" s="446"/>
      <c r="AH49" s="446"/>
      <c r="AI49" s="446"/>
      <c r="AJ49" s="446"/>
      <c r="AK49" s="446"/>
      <c r="AL49" s="443"/>
      <c r="AM49" s="443"/>
      <c r="AN49" s="461"/>
      <c r="AO49" s="456">
        <f t="shared" si="11"/>
        <v>188.41076919265637</v>
      </c>
      <c r="AP49" s="460">
        <f t="shared" si="12"/>
        <v>4.3752892577247486</v>
      </c>
      <c r="AQ49" s="443" t="s">
        <v>1194</v>
      </c>
      <c r="AR49" s="462" t="s">
        <v>1100</v>
      </c>
      <c r="AV49" s="349"/>
      <c r="AW49" s="349"/>
      <c r="AX49" s="349"/>
    </row>
    <row r="50" spans="1:50" s="352" customFormat="1" ht="15.75">
      <c r="A50" s="464" t="s">
        <v>1096</v>
      </c>
      <c r="B50" s="465" t="s">
        <v>1195</v>
      </c>
      <c r="C50" s="466">
        <v>16</v>
      </c>
      <c r="D50" s="467" t="s">
        <v>1196</v>
      </c>
      <c r="E50" s="468">
        <v>1967</v>
      </c>
      <c r="F50" s="466">
        <v>1989</v>
      </c>
      <c r="G50" s="469" t="s">
        <v>1197</v>
      </c>
      <c r="H50" s="470">
        <f t="shared" si="13"/>
        <v>257.06250566996283</v>
      </c>
      <c r="I50" s="471">
        <v>253</v>
      </c>
      <c r="J50" s="472">
        <f t="shared" si="2"/>
        <v>129.26352</v>
      </c>
      <c r="K50" s="472">
        <f>IF(M50="",#REF!,M50)</f>
        <v>39.4</v>
      </c>
      <c r="L50" s="472">
        <v>39.411119239209953</v>
      </c>
      <c r="M50" s="472">
        <v>39.4</v>
      </c>
      <c r="N50" s="472">
        <f t="shared" si="3"/>
        <v>25.918320000000001</v>
      </c>
      <c r="O50" s="472">
        <v>7.9</v>
      </c>
      <c r="P50" s="472">
        <f t="shared" si="3"/>
        <v>8.202</v>
      </c>
      <c r="Q50" s="473">
        <v>2.5</v>
      </c>
      <c r="R50" s="474">
        <f t="shared" si="4"/>
        <v>4.9873417721518987</v>
      </c>
      <c r="S50" s="475">
        <f t="shared" si="5"/>
        <v>15.76</v>
      </c>
      <c r="T50" s="466">
        <v>25</v>
      </c>
      <c r="U50" s="476">
        <f t="shared" si="15"/>
        <v>14100</v>
      </c>
      <c r="V50" s="476">
        <v>14100</v>
      </c>
      <c r="W50" s="476"/>
      <c r="X50" s="477"/>
      <c r="Y50" s="478">
        <v>37</v>
      </c>
      <c r="Z50" s="479"/>
      <c r="AA50" s="480">
        <f t="shared" si="0"/>
        <v>2.4205018391001354</v>
      </c>
      <c r="AB50" s="481">
        <f t="shared" si="6"/>
        <v>5.8588291530871377</v>
      </c>
      <c r="AC50" s="481">
        <f t="shared" si="7"/>
        <v>0.96789063740464809</v>
      </c>
      <c r="AD50" s="481">
        <f t="shared" si="8"/>
        <v>0.93681228597557598</v>
      </c>
      <c r="AE50" s="481">
        <f t="shared" si="9"/>
        <v>117.13659266148193</v>
      </c>
      <c r="AF50" s="482">
        <f t="shared" si="10"/>
        <v>0.66390070921985811</v>
      </c>
      <c r="AG50" s="479">
        <v>2300</v>
      </c>
      <c r="AH50" s="468">
        <v>14</v>
      </c>
      <c r="AI50" s="468"/>
      <c r="AJ50" s="468"/>
      <c r="AK50" s="468">
        <v>3</v>
      </c>
      <c r="AL50" s="465"/>
      <c r="AM50" s="465"/>
      <c r="AN50" s="483"/>
      <c r="AO50" s="478">
        <f t="shared" si="11"/>
        <v>143.70318935627122</v>
      </c>
      <c r="AP50" s="482">
        <f t="shared" si="12"/>
        <v>4.2890433686349505</v>
      </c>
      <c r="AQ50" s="465" t="s">
        <v>1089</v>
      </c>
      <c r="AR50" s="484" t="s">
        <v>1140</v>
      </c>
      <c r="AV50" s="349"/>
      <c r="AW50" s="349"/>
      <c r="AX50" s="349"/>
    </row>
    <row r="51" spans="1:50" s="352" customFormat="1" ht="15.75">
      <c r="A51" s="464" t="s">
        <v>1096</v>
      </c>
      <c r="B51" s="465" t="s">
        <v>1198</v>
      </c>
      <c r="C51" s="466">
        <v>6</v>
      </c>
      <c r="D51" s="467" t="s">
        <v>1199</v>
      </c>
      <c r="E51" s="468">
        <v>1972</v>
      </c>
      <c r="F51" s="466">
        <v>1976</v>
      </c>
      <c r="G51" s="469" t="s">
        <v>1200</v>
      </c>
      <c r="H51" s="470">
        <f t="shared" si="13"/>
        <v>258.07856300462669</v>
      </c>
      <c r="I51" s="471">
        <v>254</v>
      </c>
      <c r="J51" s="472">
        <f t="shared" si="2"/>
        <v>147.30792</v>
      </c>
      <c r="K51" s="472">
        <f>IF(M51="",#REF!,M51)</f>
        <v>44.9</v>
      </c>
      <c r="L51" s="472">
        <v>44.897585954645209</v>
      </c>
      <c r="M51" s="472">
        <v>44.9</v>
      </c>
      <c r="N51" s="472">
        <f t="shared" si="3"/>
        <v>22.965600000000002</v>
      </c>
      <c r="O51" s="472">
        <v>7</v>
      </c>
      <c r="P51" s="472">
        <f t="shared" si="3"/>
        <v>8.202</v>
      </c>
      <c r="Q51" s="473">
        <v>2.5</v>
      </c>
      <c r="R51" s="474">
        <f t="shared" si="4"/>
        <v>6.4142857142857137</v>
      </c>
      <c r="S51" s="475">
        <f t="shared" si="5"/>
        <v>17.96</v>
      </c>
      <c r="T51" s="466">
        <v>41</v>
      </c>
      <c r="U51" s="476">
        <f t="shared" si="15"/>
        <v>13640</v>
      </c>
      <c r="V51" s="476">
        <v>13640</v>
      </c>
      <c r="W51" s="476">
        <v>13640</v>
      </c>
      <c r="X51" s="477"/>
      <c r="Y51" s="478">
        <v>35</v>
      </c>
      <c r="Z51" s="479"/>
      <c r="AA51" s="480">
        <f t="shared" si="0"/>
        <v>2.2881590271964689</v>
      </c>
      <c r="AB51" s="481">
        <f t="shared" si="6"/>
        <v>5.2356717337406913</v>
      </c>
      <c r="AC51" s="481">
        <f t="shared" si="7"/>
        <v>0.8576647274980157</v>
      </c>
      <c r="AD51" s="481">
        <f t="shared" si="8"/>
        <v>0.7355887847942455</v>
      </c>
      <c r="AE51" s="481">
        <f t="shared" si="9"/>
        <v>79.461255880357314</v>
      </c>
      <c r="AF51" s="482">
        <f t="shared" si="10"/>
        <v>0.65175953079178883</v>
      </c>
      <c r="AG51" s="479">
        <v>950</v>
      </c>
      <c r="AH51" s="468">
        <v>15</v>
      </c>
      <c r="AI51" s="468"/>
      <c r="AJ51" s="468"/>
      <c r="AK51" s="468">
        <v>4</v>
      </c>
      <c r="AL51" s="465"/>
      <c r="AM51" s="465"/>
      <c r="AN51" s="483"/>
      <c r="AO51" s="478">
        <f t="shared" si="11"/>
        <v>126.07014155651417</v>
      </c>
      <c r="AP51" s="482">
        <f t="shared" si="12"/>
        <v>3.3061855016632116</v>
      </c>
      <c r="AQ51" s="465" t="s">
        <v>1191</v>
      </c>
      <c r="AR51" s="484" t="s">
        <v>1140</v>
      </c>
      <c r="AV51" s="349"/>
      <c r="AW51" s="349"/>
      <c r="AX51" s="349"/>
    </row>
    <row r="52" spans="1:50" s="352" customFormat="1" ht="15.75">
      <c r="A52" s="464" t="s">
        <v>1096</v>
      </c>
      <c r="B52" s="465" t="s">
        <v>1201</v>
      </c>
      <c r="C52" s="466">
        <v>4</v>
      </c>
      <c r="D52" s="467" t="s">
        <v>1154</v>
      </c>
      <c r="E52" s="468">
        <v>1971</v>
      </c>
      <c r="F52" s="466">
        <v>1972</v>
      </c>
      <c r="G52" s="469" t="s">
        <v>1186</v>
      </c>
      <c r="H52" s="470">
        <f t="shared" si="13"/>
        <v>259.0946203392906</v>
      </c>
      <c r="I52" s="471">
        <v>255</v>
      </c>
      <c r="J52" s="472">
        <f t="shared" si="2"/>
        <v>154.19759999999999</v>
      </c>
      <c r="K52" s="472">
        <f>IF(M52="",#REF!,M52)</f>
        <v>47</v>
      </c>
      <c r="L52" s="472">
        <v>47.000731528895386</v>
      </c>
      <c r="M52" s="472">
        <v>47</v>
      </c>
      <c r="N52" s="472">
        <f t="shared" si="3"/>
        <v>23.293679999999998</v>
      </c>
      <c r="O52" s="472">
        <v>7.1</v>
      </c>
      <c r="P52" s="472">
        <f t="shared" si="3"/>
        <v>8.202</v>
      </c>
      <c r="Q52" s="473">
        <v>2.5</v>
      </c>
      <c r="R52" s="474">
        <f t="shared" si="4"/>
        <v>6.619718309859155</v>
      </c>
      <c r="S52" s="475">
        <f t="shared" si="5"/>
        <v>18.8</v>
      </c>
      <c r="T52" s="466">
        <v>40</v>
      </c>
      <c r="U52" s="476">
        <f t="shared" si="15"/>
        <v>12000</v>
      </c>
      <c r="V52" s="476">
        <v>12000</v>
      </c>
      <c r="W52" s="476">
        <v>12000</v>
      </c>
      <c r="X52" s="477"/>
      <c r="Y52" s="478">
        <v>36.5</v>
      </c>
      <c r="Z52" s="479"/>
      <c r="AA52" s="480">
        <f t="shared" si="0"/>
        <v>2.3846608081108682</v>
      </c>
      <c r="AB52" s="481">
        <f t="shared" si="6"/>
        <v>5.6866071697399789</v>
      </c>
      <c r="AC52" s="481">
        <f t="shared" si="7"/>
        <v>0.87421169321852277</v>
      </c>
      <c r="AD52" s="481">
        <f t="shared" si="8"/>
        <v>0.76424608455999654</v>
      </c>
      <c r="AE52" s="481">
        <f t="shared" si="9"/>
        <v>69.551634050259679</v>
      </c>
      <c r="AF52" s="482">
        <f t="shared" si="10"/>
        <v>0.77562500000000001</v>
      </c>
      <c r="AG52" s="479">
        <v>850</v>
      </c>
      <c r="AH52" s="468">
        <v>25</v>
      </c>
      <c r="AI52" s="468"/>
      <c r="AJ52" s="468"/>
      <c r="AK52" s="468">
        <v>4</v>
      </c>
      <c r="AL52" s="465"/>
      <c r="AM52" s="465"/>
      <c r="AN52" s="483"/>
      <c r="AO52" s="478">
        <f t="shared" si="11"/>
        <v>162.95116419781249</v>
      </c>
      <c r="AP52" s="482">
        <f t="shared" si="12"/>
        <v>4.0878010281126294</v>
      </c>
      <c r="AQ52" s="465" t="s">
        <v>1202</v>
      </c>
      <c r="AR52" s="484" t="s">
        <v>1140</v>
      </c>
      <c r="AV52" s="349"/>
      <c r="AW52" s="349"/>
      <c r="AX52" s="349"/>
    </row>
    <row r="53" spans="1:50" s="352" customFormat="1" ht="15.75">
      <c r="A53" s="442" t="s">
        <v>1096</v>
      </c>
      <c r="B53" s="443" t="s">
        <v>1203</v>
      </c>
      <c r="C53" s="444">
        <v>3</v>
      </c>
      <c r="D53" s="445" t="s">
        <v>1204</v>
      </c>
      <c r="E53" s="446">
        <v>1976</v>
      </c>
      <c r="F53" s="444">
        <v>1977</v>
      </c>
      <c r="G53" s="447"/>
      <c r="H53" s="448">
        <f t="shared" si="13"/>
        <v>259.0946203392906</v>
      </c>
      <c r="I53" s="449">
        <v>255</v>
      </c>
      <c r="J53" s="450">
        <f t="shared" si="2"/>
        <v>147.636</v>
      </c>
      <c r="K53" s="450">
        <f t="shared" ref="K53:K59" si="18">IF(M53="",L53,M53)</f>
        <v>45</v>
      </c>
      <c r="L53" s="450"/>
      <c r="M53" s="450">
        <v>45</v>
      </c>
      <c r="N53" s="450">
        <f t="shared" ref="N53:P119" si="19">O53*3.2808</f>
        <v>22.965600000000002</v>
      </c>
      <c r="O53" s="450">
        <v>7</v>
      </c>
      <c r="P53" s="450">
        <f t="shared" si="19"/>
        <v>8.202</v>
      </c>
      <c r="Q53" s="451">
        <v>2.5</v>
      </c>
      <c r="R53" s="452">
        <f t="shared" si="4"/>
        <v>6.4285714285714279</v>
      </c>
      <c r="S53" s="453">
        <f t="shared" si="5"/>
        <v>18</v>
      </c>
      <c r="T53" s="444">
        <v>35</v>
      </c>
      <c r="U53" s="454">
        <f t="shared" si="15"/>
        <v>13600</v>
      </c>
      <c r="V53" s="454">
        <v>13600</v>
      </c>
      <c r="W53" s="454"/>
      <c r="X53" s="455"/>
      <c r="Y53" s="456">
        <v>40</v>
      </c>
      <c r="Z53" s="457"/>
      <c r="AA53" s="458">
        <f t="shared" si="0"/>
        <v>2.6133269129982115</v>
      </c>
      <c r="AB53" s="459">
        <f t="shared" si="6"/>
        <v>6.8294775542007615</v>
      </c>
      <c r="AC53" s="459">
        <f t="shared" si="7"/>
        <v>0.97909855620336861</v>
      </c>
      <c r="AD53" s="459">
        <f t="shared" si="8"/>
        <v>0.95863398275952094</v>
      </c>
      <c r="AE53" s="459">
        <f t="shared" si="9"/>
        <v>79.243449130316733</v>
      </c>
      <c r="AF53" s="460">
        <f t="shared" si="10"/>
        <v>0.75</v>
      </c>
      <c r="AG53" s="446"/>
      <c r="AH53" s="446"/>
      <c r="AI53" s="446"/>
      <c r="AJ53" s="446"/>
      <c r="AK53" s="446"/>
      <c r="AL53" s="443"/>
      <c r="AM53" s="443"/>
      <c r="AN53" s="461"/>
      <c r="AO53" s="456">
        <f t="shared" si="11"/>
        <v>189.23487859659539</v>
      </c>
      <c r="AP53" s="460">
        <f t="shared" si="12"/>
        <v>4.9581402909859378</v>
      </c>
      <c r="AQ53" s="443" t="s">
        <v>1191</v>
      </c>
      <c r="AR53" s="462" t="s">
        <v>1100</v>
      </c>
      <c r="AV53" s="349"/>
      <c r="AW53" s="349"/>
      <c r="AX53" s="349"/>
    </row>
    <row r="54" spans="1:50" s="352" customFormat="1" ht="15.75">
      <c r="A54" s="442" t="s">
        <v>1096</v>
      </c>
      <c r="B54" s="443" t="s">
        <v>1205</v>
      </c>
      <c r="C54" s="444">
        <v>1</v>
      </c>
      <c r="D54" s="445" t="s">
        <v>1206</v>
      </c>
      <c r="E54" s="446">
        <v>1983</v>
      </c>
      <c r="F54" s="444">
        <v>1984</v>
      </c>
      <c r="G54" s="447"/>
      <c r="H54" s="448">
        <f t="shared" si="13"/>
        <v>259.0946203392906</v>
      </c>
      <c r="I54" s="449">
        <v>255</v>
      </c>
      <c r="J54" s="450">
        <f t="shared" si="2"/>
        <v>147.30792</v>
      </c>
      <c r="K54" s="450">
        <f t="shared" si="18"/>
        <v>44.9</v>
      </c>
      <c r="L54" s="450"/>
      <c r="M54" s="450">
        <v>44.9</v>
      </c>
      <c r="N54" s="450">
        <f t="shared" si="19"/>
        <v>22.965600000000002</v>
      </c>
      <c r="O54" s="450">
        <v>7</v>
      </c>
      <c r="P54" s="450">
        <f t="shared" si="19"/>
        <v>7.5458400000000001</v>
      </c>
      <c r="Q54" s="451">
        <v>2.2999999999999998</v>
      </c>
      <c r="R54" s="452">
        <f t="shared" si="4"/>
        <v>6.4142857142857137</v>
      </c>
      <c r="S54" s="453">
        <f t="shared" si="5"/>
        <v>19.521739130434781</v>
      </c>
      <c r="T54" s="444">
        <v>35</v>
      </c>
      <c r="U54" s="454">
        <f t="shared" si="15"/>
        <v>13640</v>
      </c>
      <c r="V54" s="454">
        <v>13640</v>
      </c>
      <c r="W54" s="454"/>
      <c r="X54" s="455"/>
      <c r="Y54" s="456">
        <v>41</v>
      </c>
      <c r="Z54" s="446"/>
      <c r="AA54" s="458">
        <f t="shared" si="0"/>
        <v>2.6786600858231666</v>
      </c>
      <c r="AB54" s="459">
        <f t="shared" si="6"/>
        <v>7.1752198553821742</v>
      </c>
      <c r="AC54" s="459">
        <f t="shared" si="7"/>
        <v>1.0046929664976756</v>
      </c>
      <c r="AD54" s="459">
        <f t="shared" si="8"/>
        <v>1.0094079569298995</v>
      </c>
      <c r="AE54" s="459">
        <f t="shared" si="9"/>
        <v>79.774095470437459</v>
      </c>
      <c r="AF54" s="460">
        <f t="shared" si="10"/>
        <v>0.76649560117302051</v>
      </c>
      <c r="AG54" s="446"/>
      <c r="AH54" s="446"/>
      <c r="AI54" s="446"/>
      <c r="AJ54" s="446"/>
      <c r="AK54" s="446"/>
      <c r="AL54" s="443"/>
      <c r="AM54" s="443"/>
      <c r="AN54" s="461"/>
      <c r="AO54" s="456">
        <f t="shared" si="11"/>
        <v>203.18765593094867</v>
      </c>
      <c r="AP54" s="460">
        <f t="shared" si="12"/>
        <v>5.3355736364944049</v>
      </c>
      <c r="AQ54" s="443" t="s">
        <v>1155</v>
      </c>
      <c r="AR54" s="462" t="s">
        <v>1100</v>
      </c>
      <c r="AV54" s="349"/>
      <c r="AW54" s="349"/>
      <c r="AX54" s="349"/>
    </row>
    <row r="55" spans="1:50" s="352" customFormat="1" ht="15.75">
      <c r="A55" s="442" t="s">
        <v>1096</v>
      </c>
      <c r="B55" s="443" t="s">
        <v>1207</v>
      </c>
      <c r="C55" s="444">
        <v>4</v>
      </c>
      <c r="D55" s="445" t="s">
        <v>1208</v>
      </c>
      <c r="E55" s="446">
        <v>1984</v>
      </c>
      <c r="F55" s="444">
        <v>1989</v>
      </c>
      <c r="G55" s="447"/>
      <c r="H55" s="448">
        <f t="shared" si="13"/>
        <v>263.15884967794614</v>
      </c>
      <c r="I55" s="449">
        <v>259</v>
      </c>
      <c r="J55" s="450">
        <f t="shared" si="2"/>
        <v>147.30792</v>
      </c>
      <c r="K55" s="450">
        <f t="shared" si="18"/>
        <v>44.9</v>
      </c>
      <c r="L55" s="450"/>
      <c r="M55" s="450">
        <v>44.9</v>
      </c>
      <c r="N55" s="450">
        <f t="shared" si="19"/>
        <v>22.965600000000002</v>
      </c>
      <c r="O55" s="450">
        <v>7</v>
      </c>
      <c r="P55" s="450">
        <f t="shared" si="19"/>
        <v>8.202</v>
      </c>
      <c r="Q55" s="451">
        <v>2.5</v>
      </c>
      <c r="R55" s="452">
        <f t="shared" si="4"/>
        <v>6.4142857142857137</v>
      </c>
      <c r="S55" s="453">
        <f t="shared" si="5"/>
        <v>17.96</v>
      </c>
      <c r="T55" s="444">
        <v>36</v>
      </c>
      <c r="U55" s="454">
        <f t="shared" si="15"/>
        <v>13640</v>
      </c>
      <c r="V55" s="454">
        <v>13640</v>
      </c>
      <c r="W55" s="454"/>
      <c r="X55" s="455"/>
      <c r="Y55" s="456">
        <v>40</v>
      </c>
      <c r="Z55" s="457"/>
      <c r="AA55" s="458">
        <f t="shared" si="0"/>
        <v>2.6065565033135569</v>
      </c>
      <c r="AB55" s="459">
        <f t="shared" si="6"/>
        <v>6.7941368049661968</v>
      </c>
      <c r="AC55" s="459">
        <f t="shared" si="7"/>
        <v>0.98018825999773229</v>
      </c>
      <c r="AD55" s="459">
        <f t="shared" si="8"/>
        <v>0.96076902503738204</v>
      </c>
      <c r="AE55" s="459">
        <f t="shared" si="9"/>
        <v>81.025453830758053</v>
      </c>
      <c r="AF55" s="460">
        <f t="shared" si="10"/>
        <v>0.7595307917888563</v>
      </c>
      <c r="AG55" s="446"/>
      <c r="AH55" s="446"/>
      <c r="AI55" s="446"/>
      <c r="AJ55" s="446"/>
      <c r="AK55" s="446"/>
      <c r="AL55" s="443"/>
      <c r="AM55" s="443"/>
      <c r="AN55" s="461"/>
      <c r="AO55" s="456">
        <f t="shared" si="11"/>
        <v>190.64793827892441</v>
      </c>
      <c r="AP55" s="460">
        <f t="shared" si="12"/>
        <v>5.0323299167208644</v>
      </c>
      <c r="AQ55" s="443" t="s">
        <v>1191</v>
      </c>
      <c r="AR55" s="462" t="s">
        <v>1100</v>
      </c>
      <c r="AV55" s="349"/>
      <c r="AW55" s="349"/>
      <c r="AX55" s="349"/>
    </row>
    <row r="56" spans="1:50" s="352" customFormat="1" ht="15.75">
      <c r="A56" s="442" t="s">
        <v>1096</v>
      </c>
      <c r="B56" s="443" t="s">
        <v>1209</v>
      </c>
      <c r="C56" s="444">
        <v>6</v>
      </c>
      <c r="D56" s="445" t="s">
        <v>1210</v>
      </c>
      <c r="E56" s="446">
        <v>1980</v>
      </c>
      <c r="F56" s="444">
        <v>1981</v>
      </c>
      <c r="G56" s="447"/>
      <c r="H56" s="448">
        <f t="shared" si="13"/>
        <v>264.17490701260999</v>
      </c>
      <c r="I56" s="449">
        <v>260</v>
      </c>
      <c r="J56" s="450">
        <f t="shared" si="2"/>
        <v>147.30792</v>
      </c>
      <c r="K56" s="450">
        <f t="shared" si="18"/>
        <v>44.9</v>
      </c>
      <c r="L56" s="450"/>
      <c r="M56" s="450">
        <v>44.9</v>
      </c>
      <c r="N56" s="450">
        <f t="shared" si="19"/>
        <v>22.965600000000002</v>
      </c>
      <c r="O56" s="450">
        <v>7</v>
      </c>
      <c r="P56" s="450">
        <f t="shared" si="19"/>
        <v>8.202</v>
      </c>
      <c r="Q56" s="451">
        <v>2.5</v>
      </c>
      <c r="R56" s="452">
        <f t="shared" si="4"/>
        <v>6.4142857142857137</v>
      </c>
      <c r="S56" s="453">
        <f t="shared" si="5"/>
        <v>17.96</v>
      </c>
      <c r="T56" s="444">
        <v>40</v>
      </c>
      <c r="U56" s="454">
        <f t="shared" si="15"/>
        <v>13640</v>
      </c>
      <c r="V56" s="454">
        <v>13640</v>
      </c>
      <c r="W56" s="454"/>
      <c r="X56" s="455"/>
      <c r="Y56" s="456">
        <v>40</v>
      </c>
      <c r="Z56" s="457"/>
      <c r="AA56" s="458">
        <f t="shared" si="0"/>
        <v>2.6048829497737058</v>
      </c>
      <c r="AB56" s="459">
        <f t="shared" si="6"/>
        <v>6.7854151820217625</v>
      </c>
      <c r="AC56" s="459">
        <f t="shared" si="7"/>
        <v>0.98018825999773229</v>
      </c>
      <c r="AD56" s="459">
        <f t="shared" si="8"/>
        <v>0.96076902503738204</v>
      </c>
      <c r="AE56" s="459">
        <f t="shared" si="9"/>
        <v>81.338293420838198</v>
      </c>
      <c r="AF56" s="460">
        <f t="shared" si="10"/>
        <v>0.76246334310850439</v>
      </c>
      <c r="AG56" s="446"/>
      <c r="AH56" s="446"/>
      <c r="AI56" s="446"/>
      <c r="AJ56" s="446"/>
      <c r="AK56" s="446"/>
      <c r="AL56" s="443"/>
      <c r="AM56" s="443"/>
      <c r="AN56" s="461"/>
      <c r="AO56" s="456">
        <f t="shared" si="11"/>
        <v>191.1383513194848</v>
      </c>
      <c r="AP56" s="460">
        <f t="shared" si="12"/>
        <v>5.0517597619591692</v>
      </c>
      <c r="AQ56" s="443" t="s">
        <v>1162</v>
      </c>
      <c r="AR56" s="462" t="s">
        <v>1100</v>
      </c>
      <c r="AV56" s="349"/>
      <c r="AW56" s="349"/>
      <c r="AX56" s="349"/>
    </row>
    <row r="57" spans="1:50" s="352" customFormat="1" ht="15.75">
      <c r="A57" s="442" t="s">
        <v>1096</v>
      </c>
      <c r="B57" s="443" t="s">
        <v>1211</v>
      </c>
      <c r="C57" s="444">
        <v>1</v>
      </c>
      <c r="D57" s="445" t="s">
        <v>1084</v>
      </c>
      <c r="E57" s="446">
        <v>1978</v>
      </c>
      <c r="F57" s="444" t="s">
        <v>567</v>
      </c>
      <c r="G57" s="447"/>
      <c r="H57" s="448">
        <f t="shared" si="13"/>
        <v>264.17490701260999</v>
      </c>
      <c r="I57" s="449">
        <v>260</v>
      </c>
      <c r="J57" s="450">
        <f t="shared" si="2"/>
        <v>147.636</v>
      </c>
      <c r="K57" s="450">
        <f t="shared" si="18"/>
        <v>45</v>
      </c>
      <c r="L57" s="450"/>
      <c r="M57" s="450">
        <v>45</v>
      </c>
      <c r="N57" s="450">
        <f t="shared" si="19"/>
        <v>27.558720000000001</v>
      </c>
      <c r="O57" s="450">
        <v>8.4</v>
      </c>
      <c r="P57" s="450">
        <f t="shared" si="19"/>
        <v>8.5300799999999999</v>
      </c>
      <c r="Q57" s="451">
        <v>2.6</v>
      </c>
      <c r="R57" s="452">
        <f t="shared" si="4"/>
        <v>5.3571428571428568</v>
      </c>
      <c r="S57" s="453">
        <f t="shared" si="5"/>
        <v>17.307692307692307</v>
      </c>
      <c r="T57" s="444">
        <v>30</v>
      </c>
      <c r="U57" s="454">
        <f t="shared" si="15"/>
        <v>14400</v>
      </c>
      <c r="V57" s="454">
        <v>14400</v>
      </c>
      <c r="W57" s="454"/>
      <c r="X57" s="455"/>
      <c r="Y57" s="456">
        <v>38</v>
      </c>
      <c r="Z57" s="457"/>
      <c r="AA57" s="458">
        <f t="shared" si="0"/>
        <v>2.4746388022850203</v>
      </c>
      <c r="AB57" s="459">
        <f t="shared" si="6"/>
        <v>6.1238372017746396</v>
      </c>
      <c r="AC57" s="459">
        <f t="shared" si="7"/>
        <v>0.93014362839320031</v>
      </c>
      <c r="AD57" s="459">
        <f t="shared" si="8"/>
        <v>0.8651671694404679</v>
      </c>
      <c r="AE57" s="459">
        <f t="shared" si="9"/>
        <v>80.79724225051902</v>
      </c>
      <c r="AF57" s="460">
        <f t="shared" si="10"/>
        <v>0.68611111111111112</v>
      </c>
      <c r="AG57" s="446"/>
      <c r="AH57" s="446"/>
      <c r="AI57" s="446"/>
      <c r="AJ57" s="446"/>
      <c r="AK57" s="446"/>
      <c r="AL57" s="443"/>
      <c r="AM57" s="443"/>
      <c r="AN57" s="461"/>
      <c r="AO57" s="456">
        <f t="shared" si="11"/>
        <v>155.22816719785348</v>
      </c>
      <c r="AP57" s="460">
        <f t="shared" si="12"/>
        <v>4.0935416233920661</v>
      </c>
      <c r="AQ57" s="443" t="s">
        <v>1212</v>
      </c>
      <c r="AR57" s="462" t="s">
        <v>1100</v>
      </c>
      <c r="AV57" s="349"/>
      <c r="AW57" s="349"/>
      <c r="AX57" s="349"/>
    </row>
    <row r="58" spans="1:50" s="352" customFormat="1" ht="15.75">
      <c r="A58" s="509" t="s">
        <v>1167</v>
      </c>
      <c r="B58" s="510" t="s">
        <v>1213</v>
      </c>
      <c r="C58" s="487"/>
      <c r="D58" s="511" t="s">
        <v>1214</v>
      </c>
      <c r="E58" s="512">
        <v>1990</v>
      </c>
      <c r="F58" s="513"/>
      <c r="G58" s="514" t="s">
        <v>1215</v>
      </c>
      <c r="H58" s="491">
        <f t="shared" si="13"/>
        <v>264.17490701260999</v>
      </c>
      <c r="I58" s="515">
        <v>260</v>
      </c>
      <c r="J58" s="493">
        <f t="shared" si="2"/>
        <v>147.30000000000001</v>
      </c>
      <c r="K58" s="493">
        <f t="shared" si="18"/>
        <v>44.897585954645209</v>
      </c>
      <c r="L58" s="493">
        <v>44.897585954645209</v>
      </c>
      <c r="M58" s="493"/>
      <c r="N58" s="493">
        <f t="shared" si="19"/>
        <v>23</v>
      </c>
      <c r="O58" s="493">
        <v>7.0104852475006094</v>
      </c>
      <c r="P58" s="493">
        <f t="shared" si="19"/>
        <v>7.2</v>
      </c>
      <c r="Q58" s="494">
        <v>2.1945866861741039</v>
      </c>
      <c r="R58" s="495">
        <f t="shared" si="4"/>
        <v>6.4043478260869566</v>
      </c>
      <c r="S58" s="496">
        <f t="shared" si="5"/>
        <v>20.458333333333336</v>
      </c>
      <c r="T58" s="487"/>
      <c r="U58" s="497">
        <f t="shared" si="15"/>
        <v>9370</v>
      </c>
      <c r="V58" s="497"/>
      <c r="W58" s="516">
        <v>9370</v>
      </c>
      <c r="X58" s="517"/>
      <c r="Y58" s="518">
        <v>40</v>
      </c>
      <c r="Z58" s="519" t="s">
        <v>1216</v>
      </c>
      <c r="AA58" s="520">
        <f t="shared" si="0"/>
        <v>2.6048829497737058</v>
      </c>
      <c r="AB58" s="502">
        <f t="shared" si="6"/>
        <v>6.7854151820217625</v>
      </c>
      <c r="AC58" s="502">
        <f t="shared" si="7"/>
        <v>0.98021461093687301</v>
      </c>
      <c r="AD58" s="502">
        <f t="shared" si="8"/>
        <v>0.9608206834941253</v>
      </c>
      <c r="AE58" s="502">
        <f t="shared" si="9"/>
        <v>81.351414274640732</v>
      </c>
      <c r="AF58" s="503">
        <f t="shared" si="10"/>
        <v>1.1099252934898614</v>
      </c>
      <c r="AG58" s="504">
        <v>500</v>
      </c>
      <c r="AH58" s="504">
        <v>38</v>
      </c>
      <c r="AI58" s="504"/>
      <c r="AJ58" s="504"/>
      <c r="AK58" s="512">
        <v>2</v>
      </c>
      <c r="AL58" s="510"/>
      <c r="AM58" s="505"/>
      <c r="AN58" s="506"/>
      <c r="AO58" s="518">
        <f t="shared" si="11"/>
        <v>278.2419543220675</v>
      </c>
      <c r="AP58" s="503">
        <f t="shared" si="12"/>
        <v>7.3542911503469419</v>
      </c>
      <c r="AQ58" s="505"/>
      <c r="AR58" s="507" t="s">
        <v>1149</v>
      </c>
      <c r="AV58" s="349"/>
      <c r="AW58" s="349"/>
      <c r="AX58" s="349"/>
    </row>
    <row r="59" spans="1:50" s="352" customFormat="1" ht="15.75">
      <c r="A59" s="442" t="s">
        <v>1096</v>
      </c>
      <c r="B59" s="443" t="s">
        <v>1217</v>
      </c>
      <c r="C59" s="444">
        <v>2</v>
      </c>
      <c r="D59" s="445" t="s">
        <v>1210</v>
      </c>
      <c r="E59" s="446">
        <v>1990</v>
      </c>
      <c r="F59" s="444" t="s">
        <v>567</v>
      </c>
      <c r="G59" s="447"/>
      <c r="H59" s="448">
        <f t="shared" si="13"/>
        <v>264.17490701260999</v>
      </c>
      <c r="I59" s="449">
        <v>260</v>
      </c>
      <c r="J59" s="450">
        <f t="shared" si="2"/>
        <v>147.30792</v>
      </c>
      <c r="K59" s="450">
        <f t="shared" si="18"/>
        <v>44.9</v>
      </c>
      <c r="L59" s="450"/>
      <c r="M59" s="450">
        <v>44.9</v>
      </c>
      <c r="N59" s="450">
        <f t="shared" si="19"/>
        <v>22.965600000000002</v>
      </c>
      <c r="O59" s="450">
        <v>7</v>
      </c>
      <c r="P59" s="450">
        <f t="shared" si="19"/>
        <v>7.2177600000000011</v>
      </c>
      <c r="Q59" s="451">
        <v>2.2000000000000002</v>
      </c>
      <c r="R59" s="452">
        <f t="shared" si="4"/>
        <v>6.4142857142857137</v>
      </c>
      <c r="S59" s="453">
        <f t="shared" si="5"/>
        <v>20.409090909090907</v>
      </c>
      <c r="T59" s="444">
        <v>40</v>
      </c>
      <c r="U59" s="454">
        <f t="shared" si="15"/>
        <v>9370</v>
      </c>
      <c r="V59" s="454">
        <v>9370</v>
      </c>
      <c r="W59" s="454"/>
      <c r="X59" s="455"/>
      <c r="Y59" s="456">
        <v>40</v>
      </c>
      <c r="Z59" s="457"/>
      <c r="AA59" s="458">
        <f t="shared" si="0"/>
        <v>2.6048829497737058</v>
      </c>
      <c r="AB59" s="459">
        <f t="shared" si="6"/>
        <v>6.7854151820217625</v>
      </c>
      <c r="AC59" s="459">
        <f t="shared" si="7"/>
        <v>0.98018825999773229</v>
      </c>
      <c r="AD59" s="459">
        <f t="shared" si="8"/>
        <v>0.96076902503738204</v>
      </c>
      <c r="AE59" s="459">
        <f t="shared" si="9"/>
        <v>81.338293420838198</v>
      </c>
      <c r="AF59" s="460">
        <f t="shared" si="10"/>
        <v>1.1099252934898614</v>
      </c>
      <c r="AG59" s="446"/>
      <c r="AH59" s="446"/>
      <c r="AI59" s="446"/>
      <c r="AJ59" s="446"/>
      <c r="AK59" s="446"/>
      <c r="AL59" s="443"/>
      <c r="AM59" s="443"/>
      <c r="AN59" s="461"/>
      <c r="AO59" s="456">
        <f t="shared" si="11"/>
        <v>278.2419543220675</v>
      </c>
      <c r="AP59" s="460">
        <f t="shared" si="12"/>
        <v>7.3538957473984059</v>
      </c>
      <c r="AQ59" s="443" t="s">
        <v>1162</v>
      </c>
      <c r="AR59" s="462" t="s">
        <v>1100</v>
      </c>
      <c r="AV59" s="349"/>
      <c r="AW59" s="349"/>
      <c r="AX59" s="349"/>
    </row>
    <row r="60" spans="1:50" s="352" customFormat="1" ht="15.75">
      <c r="A60" s="464" t="s">
        <v>1096</v>
      </c>
      <c r="B60" s="465" t="s">
        <v>1218</v>
      </c>
      <c r="C60" s="466">
        <v>4</v>
      </c>
      <c r="D60" s="467" t="s">
        <v>1185</v>
      </c>
      <c r="E60" s="468">
        <v>1972</v>
      </c>
      <c r="F60" s="466">
        <v>1973</v>
      </c>
      <c r="G60" s="469" t="s">
        <v>1186</v>
      </c>
      <c r="H60" s="470">
        <f t="shared" si="13"/>
        <v>269.25519368592944</v>
      </c>
      <c r="I60" s="471">
        <v>265</v>
      </c>
      <c r="J60" s="472">
        <f t="shared" si="2"/>
        <v>154.19759999999999</v>
      </c>
      <c r="K60" s="472">
        <f>IF(M60="",#REF!,M60)</f>
        <v>47</v>
      </c>
      <c r="L60" s="472">
        <v>47.000731528895386</v>
      </c>
      <c r="M60" s="472">
        <v>47</v>
      </c>
      <c r="N60" s="472">
        <f t="shared" si="19"/>
        <v>22.965600000000002</v>
      </c>
      <c r="O60" s="472">
        <v>7</v>
      </c>
      <c r="P60" s="472">
        <f t="shared" si="19"/>
        <v>12.795120000000001</v>
      </c>
      <c r="Q60" s="473">
        <v>3.9</v>
      </c>
      <c r="R60" s="474">
        <f t="shared" si="4"/>
        <v>6.7142857142857135</v>
      </c>
      <c r="S60" s="475">
        <f t="shared" si="5"/>
        <v>12.051282051282049</v>
      </c>
      <c r="T60" s="466">
        <v>30</v>
      </c>
      <c r="U60" s="476">
        <f t="shared" si="15"/>
        <v>14000</v>
      </c>
      <c r="V60" s="476">
        <v>14000</v>
      </c>
      <c r="W60" s="476"/>
      <c r="X60" s="477"/>
      <c r="Y60" s="478">
        <v>36.5</v>
      </c>
      <c r="Z60" s="479"/>
      <c r="AA60" s="480">
        <f t="shared" si="0"/>
        <v>2.3694215380899792</v>
      </c>
      <c r="AB60" s="481">
        <f t="shared" si="6"/>
        <v>5.6141584251646828</v>
      </c>
      <c r="AC60" s="481">
        <f t="shared" si="7"/>
        <v>0.87421169321852277</v>
      </c>
      <c r="AD60" s="481">
        <f t="shared" si="8"/>
        <v>0.76424608455999654</v>
      </c>
      <c r="AE60" s="481">
        <f t="shared" si="9"/>
        <v>72.279149111054181</v>
      </c>
      <c r="AF60" s="482">
        <f t="shared" si="10"/>
        <v>0.6908928571428572</v>
      </c>
      <c r="AG60" s="479">
        <v>800</v>
      </c>
      <c r="AH60" s="468">
        <v>25</v>
      </c>
      <c r="AI60" s="468">
        <v>1800</v>
      </c>
      <c r="AJ60" s="468">
        <v>15</v>
      </c>
      <c r="AK60" s="468">
        <v>4</v>
      </c>
      <c r="AL60" s="465"/>
      <c r="AM60" s="465"/>
      <c r="AN60" s="483"/>
      <c r="AO60" s="478">
        <f t="shared" si="11"/>
        <v>143.30053341011225</v>
      </c>
      <c r="AP60" s="482">
        <f t="shared" si="12"/>
        <v>3.6412345292431829</v>
      </c>
      <c r="AQ60" s="465" t="s">
        <v>1202</v>
      </c>
      <c r="AR60" s="484" t="s">
        <v>1100</v>
      </c>
      <c r="AV60" s="349"/>
      <c r="AW60" s="349"/>
      <c r="AX60" s="349"/>
    </row>
    <row r="61" spans="1:50" s="352" customFormat="1" ht="15.75">
      <c r="A61" s="442" t="s">
        <v>1096</v>
      </c>
      <c r="B61" s="443" t="s">
        <v>1219</v>
      </c>
      <c r="C61" s="444">
        <v>4</v>
      </c>
      <c r="D61" s="445" t="s">
        <v>1220</v>
      </c>
      <c r="E61" s="446">
        <v>1973</v>
      </c>
      <c r="F61" s="444">
        <v>1974</v>
      </c>
      <c r="G61" s="447"/>
      <c r="H61" s="448">
        <f t="shared" si="13"/>
        <v>269.25519368592944</v>
      </c>
      <c r="I61" s="449">
        <v>265</v>
      </c>
      <c r="J61" s="450">
        <f t="shared" si="2"/>
        <v>154.19759999999999</v>
      </c>
      <c r="K61" s="450">
        <f t="shared" ref="K61:K66" si="20">IF(M61="",L61,M61)</f>
        <v>47</v>
      </c>
      <c r="L61" s="450"/>
      <c r="M61" s="450">
        <v>47</v>
      </c>
      <c r="N61" s="450">
        <f t="shared" si="19"/>
        <v>22.965600000000002</v>
      </c>
      <c r="O61" s="450">
        <v>7</v>
      </c>
      <c r="P61" s="450">
        <f t="shared" si="19"/>
        <v>8.8581600000000016</v>
      </c>
      <c r="Q61" s="451">
        <v>2.7</v>
      </c>
      <c r="R61" s="452">
        <f t="shared" si="4"/>
        <v>6.7142857142857135</v>
      </c>
      <c r="S61" s="453">
        <f t="shared" si="5"/>
        <v>17.407407407407405</v>
      </c>
      <c r="T61" s="444">
        <v>30</v>
      </c>
      <c r="U61" s="454">
        <f t="shared" si="15"/>
        <v>13029</v>
      </c>
      <c r="V61" s="454">
        <v>13029</v>
      </c>
      <c r="W61" s="454"/>
      <c r="X61" s="455"/>
      <c r="Y61" s="456">
        <v>31</v>
      </c>
      <c r="Z61" s="457"/>
      <c r="AA61" s="458">
        <f t="shared" si="0"/>
        <v>2.0123854159120369</v>
      </c>
      <c r="AB61" s="459">
        <f t="shared" si="6"/>
        <v>4.0496950621754619</v>
      </c>
      <c r="AC61" s="459">
        <f t="shared" si="7"/>
        <v>0.74248116410340292</v>
      </c>
      <c r="AD61" s="459">
        <f t="shared" si="8"/>
        <v>0.55127827904834437</v>
      </c>
      <c r="AE61" s="459">
        <f t="shared" si="9"/>
        <v>72.279149111054181</v>
      </c>
      <c r="AF61" s="460">
        <f t="shared" si="10"/>
        <v>0.63051654002609558</v>
      </c>
      <c r="AG61" s="446"/>
      <c r="AH61" s="446"/>
      <c r="AI61" s="446"/>
      <c r="AJ61" s="446"/>
      <c r="AK61" s="446"/>
      <c r="AL61" s="443"/>
      <c r="AM61" s="443"/>
      <c r="AN61" s="461"/>
      <c r="AO61" s="456">
        <f t="shared" si="11"/>
        <v>94.334650921501137</v>
      </c>
      <c r="AP61" s="460">
        <f t="shared" si="12"/>
        <v>2.3970223980703822</v>
      </c>
      <c r="AQ61" s="443" t="s">
        <v>1221</v>
      </c>
      <c r="AR61" s="462" t="s">
        <v>1100</v>
      </c>
      <c r="AV61" s="349"/>
      <c r="AW61" s="349"/>
      <c r="AX61" s="349"/>
    </row>
    <row r="62" spans="1:50" s="352" customFormat="1" ht="15.75">
      <c r="A62" s="485" t="s">
        <v>1167</v>
      </c>
      <c r="B62" s="505" t="s">
        <v>1222</v>
      </c>
      <c r="C62" s="487"/>
      <c r="D62" s="488" t="s">
        <v>1220</v>
      </c>
      <c r="E62" s="489">
        <v>1973</v>
      </c>
      <c r="F62" s="487"/>
      <c r="G62" s="490" t="s">
        <v>1223</v>
      </c>
      <c r="H62" s="491">
        <f t="shared" si="13"/>
        <v>269.25519368592944</v>
      </c>
      <c r="I62" s="492">
        <v>265</v>
      </c>
      <c r="J62" s="493">
        <f t="shared" si="2"/>
        <v>154.19999999999999</v>
      </c>
      <c r="K62" s="493">
        <f t="shared" si="20"/>
        <v>47.000731528895386</v>
      </c>
      <c r="L62" s="493">
        <v>47.000731528895386</v>
      </c>
      <c r="M62" s="493"/>
      <c r="N62" s="493">
        <f t="shared" si="19"/>
        <v>23</v>
      </c>
      <c r="O62" s="493">
        <v>7.0104852475006094</v>
      </c>
      <c r="P62" s="493">
        <f t="shared" si="19"/>
        <v>8.9</v>
      </c>
      <c r="Q62" s="494">
        <v>2.712752987076323</v>
      </c>
      <c r="R62" s="495">
        <f t="shared" si="4"/>
        <v>6.7043478260869565</v>
      </c>
      <c r="S62" s="496">
        <f t="shared" si="5"/>
        <v>17.325842696629213</v>
      </c>
      <c r="T62" s="487"/>
      <c r="U62" s="497">
        <f t="shared" si="15"/>
        <v>13029</v>
      </c>
      <c r="V62" s="497"/>
      <c r="W62" s="497">
        <v>13029</v>
      </c>
      <c r="X62" s="498"/>
      <c r="Y62" s="499">
        <v>31</v>
      </c>
      <c r="Z62" s="500" t="s">
        <v>1224</v>
      </c>
      <c r="AA62" s="501">
        <f t="shared" si="0"/>
        <v>2.0123854159120369</v>
      </c>
      <c r="AB62" s="502">
        <f t="shared" si="6"/>
        <v>4.0496950621754619</v>
      </c>
      <c r="AC62" s="502">
        <f t="shared" si="7"/>
        <v>0.74247538601738627</v>
      </c>
      <c r="AD62" s="502">
        <f t="shared" si="8"/>
        <v>0.55126969884166677</v>
      </c>
      <c r="AE62" s="502">
        <f t="shared" si="9"/>
        <v>72.275774261677569</v>
      </c>
      <c r="AF62" s="503">
        <f t="shared" si="10"/>
        <v>0.63051654002609558</v>
      </c>
      <c r="AG62" s="504">
        <v>570</v>
      </c>
      <c r="AH62" s="504">
        <v>30</v>
      </c>
      <c r="AI62" s="504">
        <v>1600</v>
      </c>
      <c r="AJ62" s="504">
        <v>15</v>
      </c>
      <c r="AK62" s="489">
        <v>4</v>
      </c>
      <c r="AL62" s="505"/>
      <c r="AM62" s="505"/>
      <c r="AN62" s="506"/>
      <c r="AO62" s="499">
        <f t="shared" si="11"/>
        <v>94.334650921501137</v>
      </c>
      <c r="AP62" s="503">
        <f t="shared" si="12"/>
        <v>2.3969850903287782</v>
      </c>
      <c r="AQ62" s="505"/>
      <c r="AR62" s="507" t="s">
        <v>1149</v>
      </c>
      <c r="AV62" s="349"/>
      <c r="AW62" s="349"/>
      <c r="AX62" s="349"/>
    </row>
    <row r="63" spans="1:50" s="352" customFormat="1" ht="15.75">
      <c r="A63" s="464" t="s">
        <v>1167</v>
      </c>
      <c r="B63" s="465" t="s">
        <v>1225</v>
      </c>
      <c r="C63" s="466">
        <v>3</v>
      </c>
      <c r="D63" s="467" t="s">
        <v>1226</v>
      </c>
      <c r="E63" s="468">
        <v>1973</v>
      </c>
      <c r="F63" s="466">
        <v>1975</v>
      </c>
      <c r="G63" s="469" t="s">
        <v>1147</v>
      </c>
      <c r="H63" s="470">
        <f t="shared" si="13"/>
        <v>269.25519368592944</v>
      </c>
      <c r="I63" s="471">
        <v>265</v>
      </c>
      <c r="J63" s="472">
        <f t="shared" si="2"/>
        <v>154.19759999999999</v>
      </c>
      <c r="K63" s="472">
        <f t="shared" si="20"/>
        <v>47</v>
      </c>
      <c r="L63" s="472">
        <v>47.000731528895386</v>
      </c>
      <c r="M63" s="472">
        <v>47</v>
      </c>
      <c r="N63" s="472">
        <f t="shared" si="19"/>
        <v>22.965600000000002</v>
      </c>
      <c r="O63" s="472">
        <v>7</v>
      </c>
      <c r="P63" s="472">
        <f t="shared" si="19"/>
        <v>8.8581600000000016</v>
      </c>
      <c r="Q63" s="473">
        <v>2.7</v>
      </c>
      <c r="R63" s="474">
        <f t="shared" si="4"/>
        <v>6.7142857142857135</v>
      </c>
      <c r="S63" s="475">
        <f t="shared" si="5"/>
        <v>17.407407407407405</v>
      </c>
      <c r="T63" s="466">
        <v>30</v>
      </c>
      <c r="U63" s="476">
        <f t="shared" si="15"/>
        <v>12000</v>
      </c>
      <c r="V63" s="476">
        <v>12000</v>
      </c>
      <c r="W63" s="476">
        <v>12000</v>
      </c>
      <c r="X63" s="477"/>
      <c r="Y63" s="478">
        <v>36</v>
      </c>
      <c r="Z63" s="479"/>
      <c r="AA63" s="480">
        <f t="shared" si="0"/>
        <v>2.3369637088010751</v>
      </c>
      <c r="AB63" s="481">
        <f t="shared" si="6"/>
        <v>5.4613993762532758</v>
      </c>
      <c r="AC63" s="481">
        <f t="shared" si="7"/>
        <v>0.86223619057169365</v>
      </c>
      <c r="AD63" s="481">
        <f t="shared" si="8"/>
        <v>0.74345124833158605</v>
      </c>
      <c r="AE63" s="481">
        <f t="shared" si="9"/>
        <v>72.279149111054181</v>
      </c>
      <c r="AF63" s="482">
        <f t="shared" si="10"/>
        <v>0.79500000000000004</v>
      </c>
      <c r="AG63" s="479">
        <v>570</v>
      </c>
      <c r="AH63" s="468">
        <v>30</v>
      </c>
      <c r="AI63" s="468">
        <v>1600</v>
      </c>
      <c r="AJ63" s="468">
        <v>15</v>
      </c>
      <c r="AK63" s="468">
        <v>4</v>
      </c>
      <c r="AL63" s="465"/>
      <c r="AM63" s="465"/>
      <c r="AN63" s="483"/>
      <c r="AO63" s="478">
        <f t="shared" si="11"/>
        <v>160.40706981091787</v>
      </c>
      <c r="AP63" s="482">
        <f t="shared" si="12"/>
        <v>4.0759077962302914</v>
      </c>
      <c r="AQ63" s="465" t="s">
        <v>1202</v>
      </c>
      <c r="AR63" s="484" t="s">
        <v>1140</v>
      </c>
      <c r="AV63" s="349"/>
      <c r="AW63" s="349"/>
      <c r="AX63" s="349"/>
    </row>
    <row r="64" spans="1:50" s="352" customFormat="1" ht="15.75">
      <c r="A64" s="442" t="s">
        <v>1096</v>
      </c>
      <c r="B64" s="443" t="s">
        <v>1227</v>
      </c>
      <c r="C64" s="444">
        <v>6</v>
      </c>
      <c r="D64" s="445" t="s">
        <v>1154</v>
      </c>
      <c r="E64" s="446">
        <v>1973</v>
      </c>
      <c r="F64" s="444">
        <v>1974</v>
      </c>
      <c r="G64" s="447"/>
      <c r="H64" s="448">
        <f t="shared" si="13"/>
        <v>269.25519368592944</v>
      </c>
      <c r="I64" s="449">
        <v>265</v>
      </c>
      <c r="J64" s="450">
        <f t="shared" si="2"/>
        <v>154.19759999999999</v>
      </c>
      <c r="K64" s="450">
        <f t="shared" si="20"/>
        <v>47</v>
      </c>
      <c r="L64" s="450"/>
      <c r="M64" s="450">
        <v>47</v>
      </c>
      <c r="N64" s="450">
        <f t="shared" si="19"/>
        <v>22.965600000000002</v>
      </c>
      <c r="O64" s="450">
        <v>7</v>
      </c>
      <c r="P64" s="450">
        <f t="shared" si="19"/>
        <v>8.8581600000000016</v>
      </c>
      <c r="Q64" s="451">
        <v>2.7</v>
      </c>
      <c r="R64" s="452">
        <f t="shared" si="4"/>
        <v>6.7142857142857135</v>
      </c>
      <c r="S64" s="453">
        <f t="shared" si="5"/>
        <v>17.407407407407405</v>
      </c>
      <c r="T64" s="444">
        <v>30</v>
      </c>
      <c r="U64" s="454">
        <f t="shared" si="15"/>
        <v>12000</v>
      </c>
      <c r="V64" s="454">
        <v>12000</v>
      </c>
      <c r="W64" s="454"/>
      <c r="X64" s="455"/>
      <c r="Y64" s="456">
        <v>36</v>
      </c>
      <c r="Z64" s="457"/>
      <c r="AA64" s="458">
        <f t="shared" si="0"/>
        <v>2.3369637088010751</v>
      </c>
      <c r="AB64" s="459">
        <f t="shared" si="6"/>
        <v>5.4613993762532758</v>
      </c>
      <c r="AC64" s="459">
        <f t="shared" si="7"/>
        <v>0.86223619057169365</v>
      </c>
      <c r="AD64" s="459">
        <f t="shared" si="8"/>
        <v>0.74345124833158605</v>
      </c>
      <c r="AE64" s="459">
        <f t="shared" si="9"/>
        <v>72.279149111054181</v>
      </c>
      <c r="AF64" s="460">
        <f t="shared" si="10"/>
        <v>0.79500000000000004</v>
      </c>
      <c r="AG64" s="446"/>
      <c r="AH64" s="446"/>
      <c r="AI64" s="446"/>
      <c r="AJ64" s="446"/>
      <c r="AK64" s="446"/>
      <c r="AL64" s="443"/>
      <c r="AM64" s="443"/>
      <c r="AN64" s="461"/>
      <c r="AO64" s="456">
        <f t="shared" si="11"/>
        <v>160.40706981091787</v>
      </c>
      <c r="AP64" s="460">
        <f t="shared" si="12"/>
        <v>4.0759077962302914</v>
      </c>
      <c r="AQ64" s="443" t="s">
        <v>1202</v>
      </c>
      <c r="AR64" s="462" t="s">
        <v>1100</v>
      </c>
      <c r="AV64" s="349"/>
      <c r="AW64" s="349"/>
      <c r="AX64" s="349"/>
    </row>
    <row r="65" spans="1:50" s="352" customFormat="1" ht="15.75">
      <c r="A65" s="442" t="s">
        <v>1096</v>
      </c>
      <c r="B65" s="443" t="s">
        <v>1228</v>
      </c>
      <c r="C65" s="444">
        <v>2</v>
      </c>
      <c r="D65" s="445" t="s">
        <v>1229</v>
      </c>
      <c r="E65" s="446">
        <v>1973</v>
      </c>
      <c r="F65" s="444">
        <v>1974</v>
      </c>
      <c r="G65" s="447"/>
      <c r="H65" s="448">
        <f t="shared" si="13"/>
        <v>272.30336568992107</v>
      </c>
      <c r="I65" s="449">
        <v>268</v>
      </c>
      <c r="J65" s="450">
        <f t="shared" si="2"/>
        <v>147.30792</v>
      </c>
      <c r="K65" s="450">
        <f t="shared" si="20"/>
        <v>44.9</v>
      </c>
      <c r="L65" s="450"/>
      <c r="M65" s="450">
        <v>44.9</v>
      </c>
      <c r="N65" s="450">
        <f t="shared" si="19"/>
        <v>24.277920000000002</v>
      </c>
      <c r="O65" s="450">
        <v>7.4</v>
      </c>
      <c r="P65" s="450">
        <f t="shared" si="19"/>
        <v>7.87392</v>
      </c>
      <c r="Q65" s="451">
        <v>2.4</v>
      </c>
      <c r="R65" s="452">
        <f t="shared" si="4"/>
        <v>6.0675675675675667</v>
      </c>
      <c r="S65" s="453">
        <f t="shared" si="5"/>
        <v>18.708333333333332</v>
      </c>
      <c r="T65" s="444">
        <v>39</v>
      </c>
      <c r="U65" s="454">
        <f t="shared" si="15"/>
        <v>12000</v>
      </c>
      <c r="V65" s="454">
        <v>12000</v>
      </c>
      <c r="W65" s="454"/>
      <c r="X65" s="455"/>
      <c r="Y65" s="456">
        <v>38</v>
      </c>
      <c r="Z65" s="457"/>
      <c r="AA65" s="458">
        <f t="shared" si="0"/>
        <v>2.4621711827915069</v>
      </c>
      <c r="AB65" s="459">
        <f t="shared" si="6"/>
        <v>6.0622869333689282</v>
      </c>
      <c r="AC65" s="459">
        <f t="shared" si="7"/>
        <v>0.9311788469978457</v>
      </c>
      <c r="AD65" s="459">
        <f t="shared" si="8"/>
        <v>0.86709404509623733</v>
      </c>
      <c r="AE65" s="459">
        <f t="shared" si="9"/>
        <v>83.841010141479373</v>
      </c>
      <c r="AF65" s="460">
        <f t="shared" si="10"/>
        <v>0.84866666666666668</v>
      </c>
      <c r="AG65" s="446"/>
      <c r="AH65" s="446"/>
      <c r="AI65" s="446"/>
      <c r="AJ65" s="446"/>
      <c r="AK65" s="446"/>
      <c r="AL65" s="443"/>
      <c r="AM65" s="443"/>
      <c r="AN65" s="461"/>
      <c r="AO65" s="456">
        <f t="shared" si="11"/>
        <v>190.07547005005438</v>
      </c>
      <c r="AP65" s="460">
        <f t="shared" si="12"/>
        <v>5.0746731517671728</v>
      </c>
      <c r="AQ65" s="443" t="s">
        <v>1191</v>
      </c>
      <c r="AR65" s="462" t="s">
        <v>1100</v>
      </c>
      <c r="AV65" s="349"/>
      <c r="AW65" s="349"/>
      <c r="AX65" s="349"/>
    </row>
    <row r="66" spans="1:50" s="352" customFormat="1" ht="15.75">
      <c r="A66" s="442" t="s">
        <v>1096</v>
      </c>
      <c r="B66" s="443" t="s">
        <v>1230</v>
      </c>
      <c r="C66" s="444">
        <v>5</v>
      </c>
      <c r="D66" s="445" t="s">
        <v>1129</v>
      </c>
      <c r="E66" s="446">
        <v>1976</v>
      </c>
      <c r="F66" s="444">
        <v>1978</v>
      </c>
      <c r="G66" s="447"/>
      <c r="H66" s="448">
        <f t="shared" si="13"/>
        <v>272.30336568992107</v>
      </c>
      <c r="I66" s="449">
        <v>268</v>
      </c>
      <c r="J66" s="450">
        <f t="shared" si="2"/>
        <v>176.17896000000002</v>
      </c>
      <c r="K66" s="450">
        <f t="shared" si="20"/>
        <v>53.7</v>
      </c>
      <c r="L66" s="450"/>
      <c r="M66" s="450">
        <v>53.7</v>
      </c>
      <c r="N66" s="450">
        <f t="shared" si="19"/>
        <v>23.949840000000002</v>
      </c>
      <c r="O66" s="450">
        <v>7.3</v>
      </c>
      <c r="P66" s="450">
        <f t="shared" si="19"/>
        <v>9.5143199999999997</v>
      </c>
      <c r="Q66" s="451">
        <v>2.9</v>
      </c>
      <c r="R66" s="452">
        <f t="shared" si="4"/>
        <v>7.3561643835616444</v>
      </c>
      <c r="S66" s="453">
        <f t="shared" si="5"/>
        <v>18.517241379310349</v>
      </c>
      <c r="T66" s="444">
        <v>32</v>
      </c>
      <c r="U66" s="454">
        <f t="shared" si="15"/>
        <v>16800</v>
      </c>
      <c r="V66" s="454">
        <v>16800</v>
      </c>
      <c r="W66" s="454"/>
      <c r="X66" s="455"/>
      <c r="Y66" s="456">
        <v>40</v>
      </c>
      <c r="Z66" s="463"/>
      <c r="AA66" s="458">
        <f t="shared" si="0"/>
        <v>2.5917591397805335</v>
      </c>
      <c r="AB66" s="459">
        <f t="shared" si="6"/>
        <v>6.7172154386359315</v>
      </c>
      <c r="AC66" s="459">
        <f t="shared" si="7"/>
        <v>0.8962837533718091</v>
      </c>
      <c r="AD66" s="459">
        <f t="shared" si="8"/>
        <v>0.8033245665582579</v>
      </c>
      <c r="AE66" s="459">
        <f t="shared" si="9"/>
        <v>49.008641938095366</v>
      </c>
      <c r="AF66" s="460">
        <f t="shared" si="10"/>
        <v>0.63809523809523805</v>
      </c>
      <c r="AG66" s="446"/>
      <c r="AH66" s="446"/>
      <c r="AI66" s="446"/>
      <c r="AJ66" s="446"/>
      <c r="AK66" s="446"/>
      <c r="AL66" s="443"/>
      <c r="AM66" s="443"/>
      <c r="AN66" s="461"/>
      <c r="AO66" s="456">
        <f t="shared" si="11"/>
        <v>158.35333767942379</v>
      </c>
      <c r="AP66" s="460">
        <f t="shared" si="12"/>
        <v>3.5349337536159386</v>
      </c>
      <c r="AQ66" s="443" t="s">
        <v>1231</v>
      </c>
      <c r="AR66" s="462" t="s">
        <v>1100</v>
      </c>
    </row>
    <row r="67" spans="1:50" s="352" customFormat="1" ht="15.75">
      <c r="A67" s="464" t="s">
        <v>1096</v>
      </c>
      <c r="B67" s="465" t="s">
        <v>1232</v>
      </c>
      <c r="C67" s="466">
        <v>3</v>
      </c>
      <c r="D67" s="467" t="s">
        <v>1233</v>
      </c>
      <c r="E67" s="468">
        <v>1976</v>
      </c>
      <c r="F67" s="466">
        <v>1977</v>
      </c>
      <c r="G67" s="469" t="s">
        <v>1166</v>
      </c>
      <c r="H67" s="470">
        <f t="shared" si="13"/>
        <v>272.30336568992107</v>
      </c>
      <c r="I67" s="471">
        <v>268</v>
      </c>
      <c r="J67" s="472">
        <f t="shared" si="2"/>
        <v>148.94832</v>
      </c>
      <c r="K67" s="472">
        <f>IF(M67="",#REF!,M67)</f>
        <v>45.4</v>
      </c>
      <c r="L67" s="472">
        <v>45.415752255547424</v>
      </c>
      <c r="M67" s="472">
        <v>45.4</v>
      </c>
      <c r="N67" s="472">
        <f t="shared" si="19"/>
        <v>24.277920000000002</v>
      </c>
      <c r="O67" s="472">
        <v>7.4</v>
      </c>
      <c r="P67" s="472">
        <f t="shared" si="19"/>
        <v>7.5458400000000001</v>
      </c>
      <c r="Q67" s="473">
        <v>2.2999999999999998</v>
      </c>
      <c r="R67" s="474">
        <f t="shared" si="4"/>
        <v>6.1351351351351342</v>
      </c>
      <c r="S67" s="475">
        <f t="shared" si="5"/>
        <v>19.739130434782609</v>
      </c>
      <c r="T67" s="466">
        <v>41</v>
      </c>
      <c r="U67" s="476">
        <f t="shared" si="15"/>
        <v>13640</v>
      </c>
      <c r="V67" s="476">
        <v>13640</v>
      </c>
      <c r="W67" s="476">
        <v>13640</v>
      </c>
      <c r="X67" s="477"/>
      <c r="Y67" s="478">
        <v>40</v>
      </c>
      <c r="Z67" s="479"/>
      <c r="AA67" s="480">
        <f t="shared" si="0"/>
        <v>2.5917591397805335</v>
      </c>
      <c r="AB67" s="481">
        <f t="shared" si="6"/>
        <v>6.7172154386359315</v>
      </c>
      <c r="AC67" s="481">
        <f t="shared" si="7"/>
        <v>0.97477580415907672</v>
      </c>
      <c r="AD67" s="481">
        <f t="shared" si="8"/>
        <v>0.95018786837397473</v>
      </c>
      <c r="AE67" s="481">
        <f t="shared" si="9"/>
        <v>81.101328179470457</v>
      </c>
      <c r="AF67" s="482">
        <f t="shared" si="10"/>
        <v>0.78592375366568912</v>
      </c>
      <c r="AG67" s="479">
        <v>2000</v>
      </c>
      <c r="AH67" s="468">
        <v>15</v>
      </c>
      <c r="AI67" s="468">
        <v>750</v>
      </c>
      <c r="AJ67" s="468">
        <v>37</v>
      </c>
      <c r="AK67" s="468">
        <v>4</v>
      </c>
      <c r="AL67" s="465"/>
      <c r="AM67" s="465"/>
      <c r="AN67" s="483"/>
      <c r="AO67" s="478">
        <f t="shared" si="11"/>
        <v>195.03930154063929</v>
      </c>
      <c r="AP67" s="482">
        <f t="shared" si="12"/>
        <v>5.1498505225014464</v>
      </c>
      <c r="AQ67" s="465" t="s">
        <v>1234</v>
      </c>
      <c r="AR67" s="484" t="s">
        <v>1100</v>
      </c>
      <c r="AV67" s="349"/>
      <c r="AW67" s="349"/>
      <c r="AX67" s="349"/>
    </row>
    <row r="68" spans="1:50" s="352" customFormat="1" ht="15.75">
      <c r="A68" s="464" t="s">
        <v>1096</v>
      </c>
      <c r="B68" s="465" t="s">
        <v>1203</v>
      </c>
      <c r="C68" s="466">
        <v>2</v>
      </c>
      <c r="D68" s="467" t="s">
        <v>1235</v>
      </c>
      <c r="E68" s="468">
        <v>1980</v>
      </c>
      <c r="F68" s="466" t="s">
        <v>567</v>
      </c>
      <c r="G68" s="469" t="s">
        <v>1236</v>
      </c>
      <c r="H68" s="470">
        <f t="shared" si="13"/>
        <v>273.31942302458498</v>
      </c>
      <c r="I68" s="471">
        <v>269</v>
      </c>
      <c r="J68" s="472">
        <f t="shared" si="2"/>
        <v>147.30792</v>
      </c>
      <c r="K68" s="472">
        <f>IF(M68="",#REF!,M68)</f>
        <v>44.9</v>
      </c>
      <c r="L68" s="472">
        <v>44.897585954645209</v>
      </c>
      <c r="M68" s="472">
        <v>44.9</v>
      </c>
      <c r="N68" s="472">
        <f t="shared" si="19"/>
        <v>22.965600000000002</v>
      </c>
      <c r="O68" s="472">
        <v>7</v>
      </c>
      <c r="P68" s="472">
        <f t="shared" si="19"/>
        <v>8.8581600000000016</v>
      </c>
      <c r="Q68" s="473">
        <v>2.7</v>
      </c>
      <c r="R68" s="474">
        <f t="shared" si="4"/>
        <v>6.4142857142857137</v>
      </c>
      <c r="S68" s="475">
        <f t="shared" si="5"/>
        <v>16.629629629629626</v>
      </c>
      <c r="T68" s="466">
        <v>45</v>
      </c>
      <c r="U68" s="476">
        <f t="shared" si="15"/>
        <v>6140</v>
      </c>
      <c r="V68" s="476">
        <v>6140</v>
      </c>
      <c r="W68" s="476"/>
      <c r="X68" s="477"/>
      <c r="Y68" s="478">
        <v>27</v>
      </c>
      <c r="Z68" s="479"/>
      <c r="AA68" s="480">
        <f t="shared" si="0"/>
        <v>1.7483518224639953</v>
      </c>
      <c r="AB68" s="481">
        <f t="shared" si="6"/>
        <v>3.0567340951131738</v>
      </c>
      <c r="AC68" s="481">
        <f t="shared" si="7"/>
        <v>0.66162707549846922</v>
      </c>
      <c r="AD68" s="481">
        <f t="shared" si="8"/>
        <v>0.43775038703265706</v>
      </c>
      <c r="AE68" s="481">
        <f t="shared" si="9"/>
        <v>84.153849731559518</v>
      </c>
      <c r="AF68" s="482">
        <f t="shared" si="10"/>
        <v>1.182899022801303</v>
      </c>
      <c r="AG68" s="479">
        <v>1800</v>
      </c>
      <c r="AH68" s="468">
        <v>16</v>
      </c>
      <c r="AI68" s="468"/>
      <c r="AJ68" s="468"/>
      <c r="AK68" s="468">
        <v>2</v>
      </c>
      <c r="AL68" s="465"/>
      <c r="AM68" s="465"/>
      <c r="AN68" s="483"/>
      <c r="AO68" s="478">
        <f t="shared" si="11"/>
        <v>133.58502456934841</v>
      </c>
      <c r="AP68" s="482">
        <f t="shared" si="12"/>
        <v>3.5709102840465841</v>
      </c>
      <c r="AQ68" s="465" t="s">
        <v>1155</v>
      </c>
      <c r="AR68" s="484" t="s">
        <v>1140</v>
      </c>
      <c r="AV68" s="349"/>
      <c r="AW68" s="349"/>
      <c r="AX68" s="349"/>
    </row>
    <row r="69" spans="1:50" s="352" customFormat="1" ht="15.75">
      <c r="A69" s="442" t="s">
        <v>1096</v>
      </c>
      <c r="B69" s="443" t="s">
        <v>1237</v>
      </c>
      <c r="C69" s="444">
        <v>4</v>
      </c>
      <c r="D69" s="445" t="s">
        <v>1238</v>
      </c>
      <c r="E69" s="446">
        <v>1979</v>
      </c>
      <c r="F69" s="444">
        <v>1980</v>
      </c>
      <c r="G69" s="447"/>
      <c r="H69" s="448">
        <f t="shared" si="13"/>
        <v>274.33548035924883</v>
      </c>
      <c r="I69" s="449">
        <v>270</v>
      </c>
      <c r="J69" s="450">
        <f t="shared" si="2"/>
        <v>164.69616000000002</v>
      </c>
      <c r="K69" s="450">
        <f t="shared" ref="K69:K74" si="21">IF(M69="",L69,M69)</f>
        <v>50.2</v>
      </c>
      <c r="L69" s="450"/>
      <c r="M69" s="450">
        <v>50.2</v>
      </c>
      <c r="N69" s="450">
        <f t="shared" si="19"/>
        <v>23.949840000000002</v>
      </c>
      <c r="O69" s="450">
        <v>7.3</v>
      </c>
      <c r="P69" s="450">
        <f t="shared" si="19"/>
        <v>7.5458400000000001</v>
      </c>
      <c r="Q69" s="451">
        <v>2.2999999999999998</v>
      </c>
      <c r="R69" s="452">
        <f t="shared" si="4"/>
        <v>6.8767123287671232</v>
      </c>
      <c r="S69" s="453">
        <f t="shared" si="5"/>
        <v>21.826086956521742</v>
      </c>
      <c r="T69" s="444">
        <v>43</v>
      </c>
      <c r="U69" s="454">
        <f t="shared" si="15"/>
        <v>23000</v>
      </c>
      <c r="V69" s="454">
        <v>23000</v>
      </c>
      <c r="W69" s="454"/>
      <c r="X69" s="455"/>
      <c r="Y69" s="456">
        <v>41</v>
      </c>
      <c r="Z69" s="457"/>
      <c r="AA69" s="458">
        <f t="shared" ref="AA69:AA135" si="22">Y69*1.6878/SQRT(32.174*(H69*2204.6/2240*35)^(1/3))</f>
        <v>2.6532632544873387</v>
      </c>
      <c r="AB69" s="459">
        <f t="shared" si="6"/>
        <v>7.0398058976127444</v>
      </c>
      <c r="AC69" s="459">
        <f t="shared" si="7"/>
        <v>0.95017735046343565</v>
      </c>
      <c r="AD69" s="459">
        <f t="shared" si="8"/>
        <v>0.90283699733371459</v>
      </c>
      <c r="AE69" s="459">
        <f t="shared" si="9"/>
        <v>60.438453612696463</v>
      </c>
      <c r="AF69" s="460">
        <f t="shared" si="10"/>
        <v>0.48130434782608694</v>
      </c>
      <c r="AG69" s="446"/>
      <c r="AH69" s="446"/>
      <c r="AI69" s="446"/>
      <c r="AJ69" s="446"/>
      <c r="AK69" s="446"/>
      <c r="AL69" s="443"/>
      <c r="AM69" s="443"/>
      <c r="AN69" s="461"/>
      <c r="AO69" s="456">
        <f t="shared" si="11"/>
        <v>125.17941287012333</v>
      </c>
      <c r="AP69" s="460">
        <f t="shared" si="12"/>
        <v>2.9966350842930867</v>
      </c>
      <c r="AQ69" s="443" t="s">
        <v>1231</v>
      </c>
      <c r="AR69" s="462" t="s">
        <v>1100</v>
      </c>
      <c r="AV69" s="349"/>
      <c r="AW69" s="349"/>
      <c r="AX69" s="349"/>
    </row>
    <row r="70" spans="1:50" s="352" customFormat="1" ht="15.75">
      <c r="A70" s="442" t="s">
        <v>1096</v>
      </c>
      <c r="B70" s="443" t="s">
        <v>1239</v>
      </c>
      <c r="C70" s="444">
        <v>12</v>
      </c>
      <c r="D70" s="445" t="s">
        <v>1240</v>
      </c>
      <c r="E70" s="446">
        <v>1978</v>
      </c>
      <c r="F70" s="444">
        <v>1981</v>
      </c>
      <c r="G70" s="447"/>
      <c r="H70" s="448">
        <f t="shared" si="13"/>
        <v>274.33548035924883</v>
      </c>
      <c r="I70" s="449">
        <v>270</v>
      </c>
      <c r="J70" s="450">
        <f t="shared" ref="J70:J136" si="23">K70*3.2808</f>
        <v>164.69616000000002</v>
      </c>
      <c r="K70" s="450">
        <f t="shared" si="21"/>
        <v>50.2</v>
      </c>
      <c r="L70" s="450"/>
      <c r="M70" s="450">
        <v>50.2</v>
      </c>
      <c r="N70" s="450">
        <f t="shared" si="19"/>
        <v>23.949840000000002</v>
      </c>
      <c r="O70" s="450">
        <v>7.3</v>
      </c>
      <c r="P70" s="450">
        <f t="shared" si="19"/>
        <v>9.5143199999999997</v>
      </c>
      <c r="Q70" s="451">
        <v>2.9</v>
      </c>
      <c r="R70" s="452">
        <f t="shared" ref="R70:R133" si="24">J70/N70</f>
        <v>6.8767123287671232</v>
      </c>
      <c r="S70" s="453">
        <f t="shared" ref="S70:S133" si="25">J70/P70</f>
        <v>17.31034482758621</v>
      </c>
      <c r="T70" s="444">
        <v>38</v>
      </c>
      <c r="U70" s="454">
        <f t="shared" si="15"/>
        <v>12000</v>
      </c>
      <c r="V70" s="454">
        <v>12000</v>
      </c>
      <c r="W70" s="454"/>
      <c r="X70" s="455"/>
      <c r="Y70" s="456">
        <v>38</v>
      </c>
      <c r="Z70" s="457"/>
      <c r="AA70" s="458">
        <f t="shared" si="22"/>
        <v>2.4591220407443628</v>
      </c>
      <c r="AB70" s="459">
        <f t="shared" ref="AB70:AB137" si="26">AA70^2</f>
        <v>6.0472812112747194</v>
      </c>
      <c r="AC70" s="459">
        <f t="shared" ref="AC70:AC137" si="27">Y70*1.687/SQRT(32.174*J70)</f>
        <v>0.88065217847830624</v>
      </c>
      <c r="AD70" s="459">
        <f t="shared" ref="AD70:AD137" si="28">AC70^2</f>
        <v>0.77554825945858652</v>
      </c>
      <c r="AE70" s="459">
        <f t="shared" ref="AE70:AE137" si="29">I70/(0.01*J70)^3</f>
        <v>60.438453612696463</v>
      </c>
      <c r="AF70" s="460">
        <f t="shared" si="10"/>
        <v>0.85499999999999998</v>
      </c>
      <c r="AG70" s="446"/>
      <c r="AH70" s="446"/>
      <c r="AI70" s="446"/>
      <c r="AJ70" s="446"/>
      <c r="AK70" s="446"/>
      <c r="AL70" s="443"/>
      <c r="AM70" s="443"/>
      <c r="AN70" s="461"/>
      <c r="AO70" s="456">
        <f t="shared" si="11"/>
        <v>191.01994685850028</v>
      </c>
      <c r="AP70" s="460">
        <f t="shared" si="12"/>
        <v>4.5727732814171249</v>
      </c>
      <c r="AQ70" s="443" t="s">
        <v>1194</v>
      </c>
      <c r="AR70" s="462" t="s">
        <v>1100</v>
      </c>
      <c r="AV70" s="349"/>
      <c r="AW70" s="349"/>
      <c r="AX70" s="349"/>
    </row>
    <row r="71" spans="1:50" s="352" customFormat="1" ht="15.75">
      <c r="A71" s="442" t="s">
        <v>1096</v>
      </c>
      <c r="B71" s="443" t="s">
        <v>1241</v>
      </c>
      <c r="C71" s="444">
        <v>3</v>
      </c>
      <c r="D71" s="445" t="s">
        <v>1233</v>
      </c>
      <c r="E71" s="446">
        <v>1979</v>
      </c>
      <c r="F71" s="444">
        <v>1980</v>
      </c>
      <c r="G71" s="447"/>
      <c r="H71" s="448">
        <f t="shared" si="13"/>
        <v>274.33548035924883</v>
      </c>
      <c r="I71" s="449">
        <v>270</v>
      </c>
      <c r="J71" s="450">
        <f t="shared" si="23"/>
        <v>163.38383999999999</v>
      </c>
      <c r="K71" s="450">
        <f t="shared" si="21"/>
        <v>49.8</v>
      </c>
      <c r="L71" s="450"/>
      <c r="M71" s="450">
        <v>49.8</v>
      </c>
      <c r="N71" s="450">
        <f t="shared" si="19"/>
        <v>24.606000000000002</v>
      </c>
      <c r="O71" s="450">
        <v>7.5</v>
      </c>
      <c r="P71" s="450">
        <f t="shared" si="19"/>
        <v>7.5458400000000001</v>
      </c>
      <c r="Q71" s="451">
        <v>2.2999999999999998</v>
      </c>
      <c r="R71" s="452">
        <f t="shared" si="24"/>
        <v>6.64</v>
      </c>
      <c r="S71" s="453">
        <f t="shared" si="25"/>
        <v>21.652173913043477</v>
      </c>
      <c r="T71" s="444">
        <v>45</v>
      </c>
      <c r="U71" s="454">
        <f t="shared" si="15"/>
        <v>11520</v>
      </c>
      <c r="V71" s="454">
        <v>11520</v>
      </c>
      <c r="W71" s="454"/>
      <c r="X71" s="455"/>
      <c r="Y71" s="456">
        <v>37</v>
      </c>
      <c r="Z71" s="457"/>
      <c r="AA71" s="458">
        <f t="shared" si="22"/>
        <v>2.3944083028300378</v>
      </c>
      <c r="AB71" s="459">
        <f t="shared" si="26"/>
        <v>5.7331911206614219</v>
      </c>
      <c r="AC71" s="459">
        <f t="shared" si="27"/>
        <v>0.86091391697341479</v>
      </c>
      <c r="AD71" s="459">
        <f t="shared" si="28"/>
        <v>0.74117277243850777</v>
      </c>
      <c r="AE71" s="459">
        <f t="shared" si="29"/>
        <v>61.90653078787799</v>
      </c>
      <c r="AF71" s="460">
        <f t="shared" ref="AF71:AF138" si="30">IF(U71="","",Y71*I71/U71)</f>
        <v>0.8671875</v>
      </c>
      <c r="AG71" s="446"/>
      <c r="AH71" s="446"/>
      <c r="AI71" s="446"/>
      <c r="AJ71" s="446"/>
      <c r="AK71" s="446"/>
      <c r="AL71" s="443"/>
      <c r="AM71" s="443"/>
      <c r="AN71" s="461"/>
      <c r="AO71" s="456">
        <f t="shared" ref="AO71:AO138" si="31">IF(U71="","",I71^(2/3)*Y71^3/U71)</f>
        <v>183.67999936639691</v>
      </c>
      <c r="AP71" s="460">
        <f t="shared" ref="AP71:AP138" si="32">IF(U71="","",0.61*I71*Y71^3/(J71*U71))</f>
        <v>4.4323821093628357</v>
      </c>
      <c r="AQ71" s="443" t="s">
        <v>1242</v>
      </c>
      <c r="AR71" s="462" t="s">
        <v>1100</v>
      </c>
    </row>
    <row r="72" spans="1:50" s="352" customFormat="1" ht="15.75">
      <c r="A72" s="442" t="s">
        <v>1096</v>
      </c>
      <c r="B72" s="443" t="s">
        <v>1243</v>
      </c>
      <c r="C72" s="444">
        <v>10</v>
      </c>
      <c r="D72" s="445" t="s">
        <v>1146</v>
      </c>
      <c r="E72" s="446">
        <v>1977</v>
      </c>
      <c r="F72" s="444">
        <v>1981</v>
      </c>
      <c r="G72" s="447"/>
      <c r="H72" s="448">
        <f t="shared" si="13"/>
        <v>279.41576703256828</v>
      </c>
      <c r="I72" s="449">
        <v>275</v>
      </c>
      <c r="J72" s="450">
        <f t="shared" si="23"/>
        <v>154.19759999999999</v>
      </c>
      <c r="K72" s="450">
        <f t="shared" si="21"/>
        <v>47</v>
      </c>
      <c r="L72" s="450"/>
      <c r="M72" s="450">
        <v>47</v>
      </c>
      <c r="N72" s="450">
        <f t="shared" si="19"/>
        <v>23.293679999999998</v>
      </c>
      <c r="O72" s="450">
        <v>7.1</v>
      </c>
      <c r="P72" s="450">
        <f t="shared" si="19"/>
        <v>6.2335200000000004</v>
      </c>
      <c r="Q72" s="451">
        <v>1.9</v>
      </c>
      <c r="R72" s="452">
        <f t="shared" si="24"/>
        <v>6.619718309859155</v>
      </c>
      <c r="S72" s="453">
        <f t="shared" si="25"/>
        <v>24.736842105263154</v>
      </c>
      <c r="T72" s="444">
        <v>31</v>
      </c>
      <c r="U72" s="454">
        <f t="shared" si="15"/>
        <v>12280</v>
      </c>
      <c r="V72" s="454">
        <v>12280</v>
      </c>
      <c r="W72" s="454"/>
      <c r="X72" s="455"/>
      <c r="Y72" s="456">
        <v>37.5</v>
      </c>
      <c r="Z72" s="457"/>
      <c r="AA72" s="458">
        <f t="shared" si="22"/>
        <v>2.4193549999763144</v>
      </c>
      <c r="AB72" s="459">
        <f t="shared" si="26"/>
        <v>5.8532786159103924</v>
      </c>
      <c r="AC72" s="459">
        <f t="shared" si="27"/>
        <v>0.89816269851218089</v>
      </c>
      <c r="AD72" s="459">
        <f t="shared" si="28"/>
        <v>0.80669623299868276</v>
      </c>
      <c r="AE72" s="459">
        <f t="shared" si="29"/>
        <v>75.006664171848669</v>
      </c>
      <c r="AF72" s="460">
        <f t="shared" si="30"/>
        <v>0.83978013029315957</v>
      </c>
      <c r="AG72" s="446"/>
      <c r="AH72" s="446"/>
      <c r="AI72" s="446"/>
      <c r="AJ72" s="446"/>
      <c r="AK72" s="446"/>
      <c r="AL72" s="443"/>
      <c r="AM72" s="443"/>
      <c r="AN72" s="461"/>
      <c r="AO72" s="456">
        <f t="shared" si="31"/>
        <v>181.60058042572948</v>
      </c>
      <c r="AP72" s="460">
        <f t="shared" si="32"/>
        <v>4.6717581403154202</v>
      </c>
      <c r="AQ72" s="443" t="s">
        <v>1202</v>
      </c>
      <c r="AR72" s="462" t="s">
        <v>1100</v>
      </c>
      <c r="AV72" s="349"/>
      <c r="AW72" s="349"/>
      <c r="AX72" s="349"/>
    </row>
    <row r="73" spans="1:50" s="352" customFormat="1" ht="15.75">
      <c r="A73" s="442" t="s">
        <v>1096</v>
      </c>
      <c r="B73" s="443" t="s">
        <v>1244</v>
      </c>
      <c r="C73" s="444">
        <v>7</v>
      </c>
      <c r="D73" s="445" t="s">
        <v>1245</v>
      </c>
      <c r="E73" s="446">
        <v>1982</v>
      </c>
      <c r="F73" s="444">
        <v>1983</v>
      </c>
      <c r="G73" s="447"/>
      <c r="H73" s="448">
        <f t="shared" si="13"/>
        <v>315.99383108046811</v>
      </c>
      <c r="I73" s="449">
        <v>311</v>
      </c>
      <c r="J73" s="450">
        <f t="shared" si="23"/>
        <v>160.75920000000002</v>
      </c>
      <c r="K73" s="450">
        <f t="shared" si="21"/>
        <v>49</v>
      </c>
      <c r="L73" s="450"/>
      <c r="M73" s="450">
        <v>49</v>
      </c>
      <c r="N73" s="450">
        <f t="shared" si="19"/>
        <v>23.293679999999998</v>
      </c>
      <c r="O73" s="450">
        <v>7.1</v>
      </c>
      <c r="P73" s="450">
        <f t="shared" si="19"/>
        <v>6.5616000000000003</v>
      </c>
      <c r="Q73" s="451">
        <v>2</v>
      </c>
      <c r="R73" s="452">
        <f t="shared" si="24"/>
        <v>6.9014084507042268</v>
      </c>
      <c r="S73" s="453">
        <f t="shared" si="25"/>
        <v>24.500000000000004</v>
      </c>
      <c r="T73" s="444">
        <v>27</v>
      </c>
      <c r="U73" s="454">
        <f t="shared" si="15"/>
        <v>15360</v>
      </c>
      <c r="V73" s="454">
        <v>15360</v>
      </c>
      <c r="W73" s="454"/>
      <c r="X73" s="455"/>
      <c r="Y73" s="456">
        <v>39</v>
      </c>
      <c r="Z73" s="463"/>
      <c r="AA73" s="458">
        <f t="shared" si="22"/>
        <v>2.4650646962888745</v>
      </c>
      <c r="AB73" s="459">
        <f t="shared" si="26"/>
        <v>6.0765439568897612</v>
      </c>
      <c r="AC73" s="459">
        <f t="shared" si="27"/>
        <v>0.91482756648602792</v>
      </c>
      <c r="AD73" s="459">
        <f t="shared" si="28"/>
        <v>0.83690947640274782</v>
      </c>
      <c r="AE73" s="459">
        <f t="shared" si="29"/>
        <v>74.857079622253991</v>
      </c>
      <c r="AF73" s="460">
        <f t="shared" si="30"/>
        <v>0.78964843750000002</v>
      </c>
      <c r="AG73" s="446"/>
      <c r="AH73" s="446"/>
      <c r="AI73" s="446"/>
      <c r="AJ73" s="446"/>
      <c r="AK73" s="446"/>
      <c r="AL73" s="443"/>
      <c r="AM73" s="443"/>
      <c r="AN73" s="461"/>
      <c r="AO73" s="456">
        <f t="shared" si="31"/>
        <v>177.27311036789752</v>
      </c>
      <c r="AP73" s="460">
        <f t="shared" si="32"/>
        <v>4.5573983746925517</v>
      </c>
      <c r="AQ73" s="443" t="s">
        <v>1202</v>
      </c>
      <c r="AR73" s="462" t="s">
        <v>1100</v>
      </c>
      <c r="AV73" s="349"/>
      <c r="AW73" s="349"/>
      <c r="AX73" s="349"/>
    </row>
    <row r="74" spans="1:50" s="352" customFormat="1" ht="15.75">
      <c r="A74" s="442" t="s">
        <v>1096</v>
      </c>
      <c r="B74" s="443" t="s">
        <v>1246</v>
      </c>
      <c r="C74" s="444">
        <v>1</v>
      </c>
      <c r="D74" s="445" t="s">
        <v>1193</v>
      </c>
      <c r="E74" s="446">
        <v>1989</v>
      </c>
      <c r="F74" s="444" t="s">
        <v>567</v>
      </c>
      <c r="G74" s="447"/>
      <c r="H74" s="448">
        <f t="shared" si="13"/>
        <v>363.7485258096707</v>
      </c>
      <c r="I74" s="449">
        <v>358</v>
      </c>
      <c r="J74" s="450">
        <f t="shared" si="23"/>
        <v>185.69328000000002</v>
      </c>
      <c r="K74" s="450">
        <f t="shared" si="21"/>
        <v>56.6</v>
      </c>
      <c r="L74" s="450"/>
      <c r="M74" s="450">
        <v>56.6</v>
      </c>
      <c r="N74" s="450">
        <f t="shared" si="19"/>
        <v>24.606000000000002</v>
      </c>
      <c r="O74" s="450">
        <v>7.5</v>
      </c>
      <c r="P74" s="450">
        <f t="shared" si="19"/>
        <v>6.5616000000000003</v>
      </c>
      <c r="Q74" s="451">
        <v>2</v>
      </c>
      <c r="R74" s="452">
        <f t="shared" si="24"/>
        <v>7.5466666666666669</v>
      </c>
      <c r="S74" s="453">
        <f t="shared" si="25"/>
        <v>28.3</v>
      </c>
      <c r="T74" s="444">
        <v>31</v>
      </c>
      <c r="U74" s="454">
        <f t="shared" si="15"/>
        <v>11250</v>
      </c>
      <c r="V74" s="454">
        <v>11250</v>
      </c>
      <c r="W74" s="454"/>
      <c r="X74" s="455"/>
      <c r="Y74" s="456">
        <v>32</v>
      </c>
      <c r="Z74" s="457"/>
      <c r="AA74" s="458">
        <f t="shared" si="22"/>
        <v>1.9757254171590406</v>
      </c>
      <c r="AB74" s="459">
        <f t="shared" si="26"/>
        <v>3.9034909240082651</v>
      </c>
      <c r="AC74" s="459">
        <f t="shared" si="27"/>
        <v>0.69841641551489553</v>
      </c>
      <c r="AD74" s="459">
        <f t="shared" si="28"/>
        <v>0.48778548946067518</v>
      </c>
      <c r="AE74" s="459">
        <f t="shared" si="29"/>
        <v>55.910640084371678</v>
      </c>
      <c r="AF74" s="460">
        <f t="shared" si="30"/>
        <v>1.0183111111111112</v>
      </c>
      <c r="AG74" s="446"/>
      <c r="AH74" s="446"/>
      <c r="AI74" s="446"/>
      <c r="AJ74" s="446"/>
      <c r="AK74" s="446"/>
      <c r="AL74" s="443"/>
      <c r="AM74" s="443"/>
      <c r="AN74" s="461"/>
      <c r="AO74" s="456">
        <f t="shared" si="31"/>
        <v>146.85410706852366</v>
      </c>
      <c r="AP74" s="460">
        <f t="shared" si="32"/>
        <v>3.4254220316666517</v>
      </c>
      <c r="AQ74" s="443" t="s">
        <v>1247</v>
      </c>
      <c r="AR74" s="462" t="s">
        <v>1100</v>
      </c>
      <c r="AV74" s="349"/>
      <c r="AW74" s="349"/>
      <c r="AX74" s="349"/>
    </row>
    <row r="75" spans="1:50" s="352" customFormat="1" ht="15.75">
      <c r="A75" s="464" t="s">
        <v>1096</v>
      </c>
      <c r="B75" s="465" t="s">
        <v>1248</v>
      </c>
      <c r="C75" s="466">
        <v>20</v>
      </c>
      <c r="D75" s="467" t="s">
        <v>1088</v>
      </c>
      <c r="E75" s="468">
        <v>1989</v>
      </c>
      <c r="F75" s="466">
        <v>2000</v>
      </c>
      <c r="G75" s="469" t="s">
        <v>1183</v>
      </c>
      <c r="H75" s="470">
        <f t="shared" si="13"/>
        <v>381.02150049895675</v>
      </c>
      <c r="I75" s="471">
        <v>375</v>
      </c>
      <c r="J75" s="472">
        <f t="shared" si="23"/>
        <v>159.11880000000002</v>
      </c>
      <c r="K75" s="472">
        <f>IF(M75="",#REF!,M75)</f>
        <v>48.5</v>
      </c>
      <c r="L75" s="472">
        <v>48.494269690319427</v>
      </c>
      <c r="M75" s="472">
        <v>48.5</v>
      </c>
      <c r="N75" s="472">
        <f t="shared" si="19"/>
        <v>30.18336</v>
      </c>
      <c r="O75" s="472">
        <v>9.1999999999999993</v>
      </c>
      <c r="P75" s="472">
        <f t="shared" si="19"/>
        <v>11.482800000000001</v>
      </c>
      <c r="Q75" s="473">
        <v>3.5</v>
      </c>
      <c r="R75" s="474">
        <f t="shared" si="24"/>
        <v>5.2717391304347831</v>
      </c>
      <c r="S75" s="475">
        <f t="shared" si="25"/>
        <v>13.857142857142858</v>
      </c>
      <c r="T75" s="466">
        <v>36</v>
      </c>
      <c r="U75" s="476">
        <f t="shared" si="15"/>
        <v>14400</v>
      </c>
      <c r="V75" s="476">
        <v>14400</v>
      </c>
      <c r="W75" s="476">
        <v>14400</v>
      </c>
      <c r="X75" s="477"/>
      <c r="Y75" s="478">
        <v>31</v>
      </c>
      <c r="Z75" s="479"/>
      <c r="AA75" s="480">
        <f t="shared" si="22"/>
        <v>1.8992418100053081</v>
      </c>
      <c r="AB75" s="481">
        <f t="shared" si="26"/>
        <v>3.6071194528722388</v>
      </c>
      <c r="AC75" s="481">
        <f t="shared" si="27"/>
        <v>0.73090932089174832</v>
      </c>
      <c r="AD75" s="481">
        <f t="shared" si="28"/>
        <v>0.53422843536643672</v>
      </c>
      <c r="AE75" s="481">
        <f t="shared" si="29"/>
        <v>93.08223081767521</v>
      </c>
      <c r="AF75" s="482">
        <f t="shared" si="30"/>
        <v>0.80729166666666663</v>
      </c>
      <c r="AG75" s="479">
        <v>2100</v>
      </c>
      <c r="AH75" s="468">
        <v>13</v>
      </c>
      <c r="AI75" s="468"/>
      <c r="AJ75" s="468"/>
      <c r="AK75" s="468">
        <v>3</v>
      </c>
      <c r="AL75" s="465"/>
      <c r="AM75" s="465"/>
      <c r="AN75" s="483"/>
      <c r="AO75" s="478">
        <f t="shared" si="31"/>
        <v>107.58294648010288</v>
      </c>
      <c r="AP75" s="482">
        <f t="shared" si="32"/>
        <v>2.9741454052988496</v>
      </c>
      <c r="AQ75" s="465" t="s">
        <v>1089</v>
      </c>
      <c r="AR75" s="484" t="s">
        <v>1140</v>
      </c>
      <c r="AV75" s="349"/>
      <c r="AW75" s="349"/>
      <c r="AX75" s="349"/>
    </row>
    <row r="76" spans="1:50" s="352" customFormat="1" ht="15.75">
      <c r="A76" s="442" t="s">
        <v>1096</v>
      </c>
      <c r="B76" s="443" t="s">
        <v>1249</v>
      </c>
      <c r="C76" s="444">
        <v>2</v>
      </c>
      <c r="D76" s="445" t="s">
        <v>1235</v>
      </c>
      <c r="E76" s="446">
        <v>1981</v>
      </c>
      <c r="F76" s="444" t="s">
        <v>567</v>
      </c>
      <c r="G76" s="447"/>
      <c r="H76" s="448">
        <f t="shared" si="13"/>
        <v>395.24630318425113</v>
      </c>
      <c r="I76" s="449">
        <v>389</v>
      </c>
      <c r="J76" s="450">
        <f t="shared" si="23"/>
        <v>190.61448000000001</v>
      </c>
      <c r="K76" s="450">
        <f t="shared" ref="K76:K82" si="33">IF(M76="",L76,M76)</f>
        <v>58.1</v>
      </c>
      <c r="L76" s="450"/>
      <c r="M76" s="450">
        <v>58.1</v>
      </c>
      <c r="N76" s="450">
        <f t="shared" si="19"/>
        <v>24.934080000000002</v>
      </c>
      <c r="O76" s="450">
        <v>7.6</v>
      </c>
      <c r="P76" s="450">
        <f t="shared" si="19"/>
        <v>9.1862399999999997</v>
      </c>
      <c r="Q76" s="451">
        <v>2.8</v>
      </c>
      <c r="R76" s="452">
        <f t="shared" si="24"/>
        <v>7.6447368421052628</v>
      </c>
      <c r="S76" s="453">
        <f t="shared" si="25"/>
        <v>20.750000000000004</v>
      </c>
      <c r="T76" s="444">
        <v>55</v>
      </c>
      <c r="U76" s="454">
        <f t="shared" si="15"/>
        <v>9210</v>
      </c>
      <c r="V76" s="454">
        <v>9210</v>
      </c>
      <c r="W76" s="454"/>
      <c r="X76" s="455"/>
      <c r="Y76" s="456">
        <v>30</v>
      </c>
      <c r="Z76" s="463"/>
      <c r="AA76" s="458">
        <f t="shared" si="22"/>
        <v>1.8267821846579544</v>
      </c>
      <c r="AB76" s="459">
        <f t="shared" si="26"/>
        <v>3.3371331501836887</v>
      </c>
      <c r="AC76" s="459">
        <f t="shared" si="27"/>
        <v>0.64625789879019313</v>
      </c>
      <c r="AD76" s="459">
        <f t="shared" si="28"/>
        <v>0.41764927174871552</v>
      </c>
      <c r="AE76" s="459">
        <f t="shared" si="29"/>
        <v>56.167091490342926</v>
      </c>
      <c r="AF76" s="460">
        <f t="shared" si="30"/>
        <v>1.267100977198697</v>
      </c>
      <c r="AG76" s="446"/>
      <c r="AH76" s="446"/>
      <c r="AI76" s="446"/>
      <c r="AJ76" s="446"/>
      <c r="AK76" s="446"/>
      <c r="AL76" s="443"/>
      <c r="AM76" s="443"/>
      <c r="AN76" s="461"/>
      <c r="AO76" s="456">
        <f t="shared" si="31"/>
        <v>156.2202043307789</v>
      </c>
      <c r="AP76" s="460">
        <f t="shared" si="32"/>
        <v>3.6494522162329148</v>
      </c>
      <c r="AQ76" s="443" t="s">
        <v>1155</v>
      </c>
      <c r="AR76" s="462" t="s">
        <v>1100</v>
      </c>
      <c r="AV76" s="349"/>
      <c r="AW76" s="349"/>
      <c r="AX76" s="349"/>
    </row>
    <row r="77" spans="1:50" s="352" customFormat="1" ht="15.75">
      <c r="A77" s="421" t="s">
        <v>1096</v>
      </c>
      <c r="B77" s="422" t="s">
        <v>1250</v>
      </c>
      <c r="C77" s="423">
        <v>10</v>
      </c>
      <c r="D77" s="424" t="s">
        <v>1095</v>
      </c>
      <c r="E77" s="425">
        <v>1982</v>
      </c>
      <c r="F77" s="423">
        <v>1984</v>
      </c>
      <c r="G77" s="426"/>
      <c r="H77" s="427">
        <f t="shared" ref="H77:H138" si="34">I77*2240/2204.6</f>
        <v>397.2784178535789</v>
      </c>
      <c r="I77" s="428">
        <v>391</v>
      </c>
      <c r="J77" s="429">
        <f t="shared" si="23"/>
        <v>188.97408000000001</v>
      </c>
      <c r="K77" s="429">
        <f t="shared" si="33"/>
        <v>57.6</v>
      </c>
      <c r="L77" s="429"/>
      <c r="M77" s="429">
        <v>57.6</v>
      </c>
      <c r="N77" s="429">
        <f t="shared" si="19"/>
        <v>25.590240000000001</v>
      </c>
      <c r="O77" s="429">
        <v>7.8</v>
      </c>
      <c r="P77" s="429">
        <f t="shared" si="19"/>
        <v>8.5300799999999999</v>
      </c>
      <c r="Q77" s="430">
        <v>2.6</v>
      </c>
      <c r="R77" s="431">
        <f t="shared" si="24"/>
        <v>7.384615384615385</v>
      </c>
      <c r="S77" s="432">
        <f t="shared" si="25"/>
        <v>22.153846153846157</v>
      </c>
      <c r="T77" s="423">
        <v>34</v>
      </c>
      <c r="U77" s="433">
        <f t="shared" si="15"/>
        <v>13200</v>
      </c>
      <c r="V77" s="433">
        <v>13200</v>
      </c>
      <c r="W77" s="433">
        <f>X77/0.7457</f>
        <v>13007.912028966071</v>
      </c>
      <c r="X77" s="434">
        <v>9700</v>
      </c>
      <c r="Y77" s="435">
        <v>40</v>
      </c>
      <c r="Z77" s="436"/>
      <c r="AA77" s="437">
        <f t="shared" si="22"/>
        <v>2.4336286613320408</v>
      </c>
      <c r="AB77" s="438">
        <f t="shared" si="26"/>
        <v>5.9225484612567811</v>
      </c>
      <c r="AC77" s="438">
        <f t="shared" si="27"/>
        <v>0.86540903567670002</v>
      </c>
      <c r="AD77" s="438">
        <f t="shared" si="28"/>
        <v>0.74893279903087584</v>
      </c>
      <c r="AE77" s="438">
        <f t="shared" si="29"/>
        <v>57.938872337254963</v>
      </c>
      <c r="AF77" s="439">
        <f t="shared" si="30"/>
        <v>1.1848484848484848</v>
      </c>
      <c r="AG77" s="436">
        <v>2600</v>
      </c>
      <c r="AH77" s="425"/>
      <c r="AI77" s="425"/>
      <c r="AJ77" s="425"/>
      <c r="AK77" s="425">
        <v>4</v>
      </c>
      <c r="AL77" s="422" t="s">
        <v>1080</v>
      </c>
      <c r="AM77" s="422">
        <v>4</v>
      </c>
      <c r="AN77" s="440"/>
      <c r="AO77" s="435">
        <f t="shared" si="31"/>
        <v>259.25305397813662</v>
      </c>
      <c r="AP77" s="439">
        <f t="shared" si="32"/>
        <v>6.1194218869176193</v>
      </c>
      <c r="AQ77" s="422" t="s">
        <v>1251</v>
      </c>
      <c r="AR77" s="441" t="s">
        <v>1090</v>
      </c>
      <c r="AV77" s="349"/>
      <c r="AW77" s="349"/>
      <c r="AX77" s="349"/>
    </row>
    <row r="78" spans="1:50" s="352" customFormat="1" ht="15.75">
      <c r="A78" s="442" t="s">
        <v>1096</v>
      </c>
      <c r="B78" s="443" t="s">
        <v>1252</v>
      </c>
      <c r="C78" s="444">
        <v>8</v>
      </c>
      <c r="D78" s="445" t="s">
        <v>1109</v>
      </c>
      <c r="E78" s="446">
        <v>1983</v>
      </c>
      <c r="F78" s="444">
        <v>1984</v>
      </c>
      <c r="G78" s="447"/>
      <c r="H78" s="448">
        <f t="shared" si="34"/>
        <v>398.29447518824276</v>
      </c>
      <c r="I78" s="449">
        <v>392</v>
      </c>
      <c r="J78" s="450">
        <f t="shared" si="23"/>
        <v>192.91104000000001</v>
      </c>
      <c r="K78" s="450">
        <f t="shared" si="33"/>
        <v>58.8</v>
      </c>
      <c r="L78" s="450"/>
      <c r="M78" s="450">
        <v>58.8</v>
      </c>
      <c r="N78" s="450">
        <f t="shared" si="19"/>
        <v>23.621760000000002</v>
      </c>
      <c r="O78" s="450">
        <v>7.2</v>
      </c>
      <c r="P78" s="450">
        <f t="shared" si="19"/>
        <v>7.2177600000000011</v>
      </c>
      <c r="Q78" s="451">
        <v>2.2000000000000002</v>
      </c>
      <c r="R78" s="452">
        <f t="shared" si="24"/>
        <v>8.1666666666666661</v>
      </c>
      <c r="S78" s="453">
        <f t="shared" si="25"/>
        <v>26.727272727272727</v>
      </c>
      <c r="T78" s="444">
        <v>69</v>
      </c>
      <c r="U78" s="454">
        <f t="shared" si="15"/>
        <v>4000</v>
      </c>
      <c r="V78" s="454">
        <v>4000</v>
      </c>
      <c r="W78" s="454"/>
      <c r="X78" s="455"/>
      <c r="Y78" s="456">
        <v>30.5</v>
      </c>
      <c r="Z78" s="457"/>
      <c r="AA78" s="458">
        <f t="shared" si="22"/>
        <v>1.8548520509735185</v>
      </c>
      <c r="AB78" s="459">
        <f t="shared" si="26"/>
        <v>3.440476131000668</v>
      </c>
      <c r="AC78" s="459">
        <f t="shared" si="27"/>
        <v>0.65310626833139374</v>
      </c>
      <c r="AD78" s="459">
        <f t="shared" si="28"/>
        <v>0.42654779773375845</v>
      </c>
      <c r="AE78" s="459">
        <f t="shared" si="29"/>
        <v>54.602788220353212</v>
      </c>
      <c r="AF78" s="460">
        <f t="shared" si="30"/>
        <v>2.9889999999999999</v>
      </c>
      <c r="AG78" s="446"/>
      <c r="AH78" s="446"/>
      <c r="AI78" s="446"/>
      <c r="AJ78" s="446"/>
      <c r="AK78" s="446"/>
      <c r="AL78" s="443"/>
      <c r="AM78" s="443"/>
      <c r="AN78" s="461"/>
      <c r="AO78" s="456">
        <f t="shared" si="31"/>
        <v>379.92415369725211</v>
      </c>
      <c r="AP78" s="460">
        <f t="shared" si="32"/>
        <v>8.7922159483459321</v>
      </c>
      <c r="AQ78" s="443" t="s">
        <v>1117</v>
      </c>
      <c r="AR78" s="462" t="s">
        <v>1100</v>
      </c>
      <c r="AV78" s="349"/>
      <c r="AW78" s="349"/>
      <c r="AX78" s="349"/>
    </row>
    <row r="79" spans="1:50" s="352" customFormat="1" ht="15.75">
      <c r="A79" s="442" t="s">
        <v>1096</v>
      </c>
      <c r="B79" s="443" t="s">
        <v>1253</v>
      </c>
      <c r="C79" s="444">
        <v>2</v>
      </c>
      <c r="D79" s="445" t="s">
        <v>1193</v>
      </c>
      <c r="E79" s="446">
        <v>1976</v>
      </c>
      <c r="F79" s="444">
        <v>1977</v>
      </c>
      <c r="G79" s="447"/>
      <c r="H79" s="448">
        <f t="shared" si="34"/>
        <v>399.31053252290667</v>
      </c>
      <c r="I79" s="449">
        <v>393</v>
      </c>
      <c r="J79" s="450">
        <f t="shared" si="23"/>
        <v>190.61448000000001</v>
      </c>
      <c r="K79" s="450">
        <f t="shared" si="33"/>
        <v>58.1</v>
      </c>
      <c r="L79" s="450"/>
      <c r="M79" s="450">
        <v>58.1</v>
      </c>
      <c r="N79" s="450">
        <f t="shared" si="19"/>
        <v>24.934080000000002</v>
      </c>
      <c r="O79" s="450">
        <v>7.6</v>
      </c>
      <c r="P79" s="450">
        <f t="shared" si="19"/>
        <v>8.5300799999999999</v>
      </c>
      <c r="Q79" s="451">
        <v>2.6</v>
      </c>
      <c r="R79" s="452">
        <f t="shared" si="24"/>
        <v>7.6447368421052628</v>
      </c>
      <c r="S79" s="453">
        <f t="shared" si="25"/>
        <v>22.346153846153847</v>
      </c>
      <c r="T79" s="444">
        <v>40</v>
      </c>
      <c r="U79" s="454">
        <f t="shared" si="15"/>
        <v>7500</v>
      </c>
      <c r="V79" s="454">
        <v>7500</v>
      </c>
      <c r="W79" s="454"/>
      <c r="X79" s="455"/>
      <c r="Y79" s="456">
        <v>26</v>
      </c>
      <c r="Z79" s="457"/>
      <c r="AA79" s="458">
        <f t="shared" si="22"/>
        <v>1.5805140808096707</v>
      </c>
      <c r="AB79" s="459">
        <f t="shared" si="26"/>
        <v>2.4980247596376381</v>
      </c>
      <c r="AC79" s="459">
        <f t="shared" si="27"/>
        <v>0.56009017895150071</v>
      </c>
      <c r="AD79" s="459">
        <f t="shared" si="28"/>
        <v>0.3137010085579241</v>
      </c>
      <c r="AE79" s="459">
        <f t="shared" si="29"/>
        <v>56.744645130346456</v>
      </c>
      <c r="AF79" s="460">
        <f t="shared" si="30"/>
        <v>1.3624000000000001</v>
      </c>
      <c r="AG79" s="446"/>
      <c r="AH79" s="446"/>
      <c r="AI79" s="446"/>
      <c r="AJ79" s="446"/>
      <c r="AK79" s="446"/>
      <c r="AL79" s="443"/>
      <c r="AM79" s="443"/>
      <c r="AN79" s="461"/>
      <c r="AO79" s="456">
        <f t="shared" si="31"/>
        <v>125.73431326440648</v>
      </c>
      <c r="AP79" s="460">
        <f t="shared" si="32"/>
        <v>2.9473063326563644</v>
      </c>
      <c r="AQ79" s="443" t="s">
        <v>1247</v>
      </c>
      <c r="AR79" s="462" t="s">
        <v>1100</v>
      </c>
      <c r="AV79" s="349"/>
      <c r="AW79" s="349"/>
      <c r="AX79" s="349"/>
    </row>
    <row r="80" spans="1:50" s="352" customFormat="1" ht="15.75">
      <c r="A80" s="442" t="s">
        <v>1096</v>
      </c>
      <c r="B80" s="443" t="s">
        <v>1254</v>
      </c>
      <c r="C80" s="444">
        <v>4</v>
      </c>
      <c r="D80" s="445" t="s">
        <v>1255</v>
      </c>
      <c r="E80" s="446">
        <v>1982</v>
      </c>
      <c r="F80" s="444">
        <v>1989</v>
      </c>
      <c r="G80" s="447"/>
      <c r="H80" s="448">
        <f t="shared" si="34"/>
        <v>400.32658985757053</v>
      </c>
      <c r="I80" s="449">
        <v>394</v>
      </c>
      <c r="J80" s="450">
        <f t="shared" si="23"/>
        <v>186.02136000000002</v>
      </c>
      <c r="K80" s="450">
        <f t="shared" si="33"/>
        <v>56.7</v>
      </c>
      <c r="L80" s="450"/>
      <c r="M80" s="450">
        <v>56.7</v>
      </c>
      <c r="N80" s="450">
        <f t="shared" si="19"/>
        <v>26.902559999999998</v>
      </c>
      <c r="O80" s="450">
        <v>8.1999999999999993</v>
      </c>
      <c r="P80" s="450">
        <f t="shared" si="19"/>
        <v>7.87392</v>
      </c>
      <c r="Q80" s="451">
        <v>2.4</v>
      </c>
      <c r="R80" s="452">
        <f t="shared" si="24"/>
        <v>6.9146341463414647</v>
      </c>
      <c r="S80" s="453">
        <f t="shared" si="25"/>
        <v>23.625000000000004</v>
      </c>
      <c r="T80" s="444">
        <v>45</v>
      </c>
      <c r="U80" s="454">
        <f t="shared" si="15"/>
        <v>15000</v>
      </c>
      <c r="V80" s="454">
        <v>15000</v>
      </c>
      <c r="W80" s="454"/>
      <c r="X80" s="455"/>
      <c r="Y80" s="456">
        <v>38</v>
      </c>
      <c r="Z80" s="457"/>
      <c r="AA80" s="458">
        <f t="shared" si="22"/>
        <v>2.3090039333397643</v>
      </c>
      <c r="AB80" s="459">
        <f t="shared" si="26"/>
        <v>5.3314991641785028</v>
      </c>
      <c r="AC80" s="459">
        <f t="shared" si="27"/>
        <v>0.82863780427098421</v>
      </c>
      <c r="AD80" s="459">
        <f t="shared" si="28"/>
        <v>0.68664061066703796</v>
      </c>
      <c r="AE80" s="459">
        <f t="shared" si="29"/>
        <v>61.207941842903679</v>
      </c>
      <c r="AF80" s="460">
        <f t="shared" si="30"/>
        <v>0.99813333333333332</v>
      </c>
      <c r="AG80" s="446"/>
      <c r="AH80" s="446"/>
      <c r="AI80" s="446"/>
      <c r="AJ80" s="446"/>
      <c r="AK80" s="446"/>
      <c r="AL80" s="443"/>
      <c r="AM80" s="443"/>
      <c r="AN80" s="461"/>
      <c r="AO80" s="456">
        <f t="shared" si="31"/>
        <v>196.60309272195903</v>
      </c>
      <c r="AP80" s="460">
        <f t="shared" si="32"/>
        <v>4.7263161893523051</v>
      </c>
      <c r="AQ80" s="443" t="s">
        <v>1172</v>
      </c>
      <c r="AR80" s="462" t="s">
        <v>1100</v>
      </c>
      <c r="AV80" s="349"/>
      <c r="AW80" s="349"/>
      <c r="AX80" s="349"/>
    </row>
    <row r="81" spans="1:50" s="352" customFormat="1" ht="15.75">
      <c r="A81" s="442" t="s">
        <v>1096</v>
      </c>
      <c r="B81" s="443" t="s">
        <v>1256</v>
      </c>
      <c r="C81" s="444">
        <v>3</v>
      </c>
      <c r="D81" s="445" t="s">
        <v>1257</v>
      </c>
      <c r="E81" s="446">
        <v>1982</v>
      </c>
      <c r="F81" s="444">
        <v>1983</v>
      </c>
      <c r="G81" s="447"/>
      <c r="H81" s="448">
        <f t="shared" si="34"/>
        <v>401.34264719223444</v>
      </c>
      <c r="I81" s="449">
        <v>395</v>
      </c>
      <c r="J81" s="450">
        <f t="shared" si="23"/>
        <v>183.72480000000002</v>
      </c>
      <c r="K81" s="450">
        <f t="shared" si="33"/>
        <v>56</v>
      </c>
      <c r="L81" s="450"/>
      <c r="M81" s="450">
        <v>56</v>
      </c>
      <c r="N81" s="450">
        <f t="shared" si="19"/>
        <v>26.902559999999998</v>
      </c>
      <c r="O81" s="450">
        <v>8.1999999999999993</v>
      </c>
      <c r="P81" s="450">
        <f t="shared" si="19"/>
        <v>7.2177600000000011</v>
      </c>
      <c r="Q81" s="451">
        <v>2.2000000000000002</v>
      </c>
      <c r="R81" s="452">
        <f t="shared" si="24"/>
        <v>6.8292682926829285</v>
      </c>
      <c r="S81" s="453">
        <f t="shared" si="25"/>
        <v>25.454545454545453</v>
      </c>
      <c r="T81" s="444">
        <v>41</v>
      </c>
      <c r="U81" s="454">
        <f t="shared" si="15"/>
        <v>18740</v>
      </c>
      <c r="V81" s="454">
        <v>18740</v>
      </c>
      <c r="W81" s="454"/>
      <c r="X81" s="455"/>
      <c r="Y81" s="456">
        <v>38.5</v>
      </c>
      <c r="Z81" s="457"/>
      <c r="AA81" s="458">
        <f t="shared" si="22"/>
        <v>2.3383974386850541</v>
      </c>
      <c r="AB81" s="459">
        <f t="shared" si="26"/>
        <v>5.4681025812488215</v>
      </c>
      <c r="AC81" s="459">
        <f t="shared" si="27"/>
        <v>0.84477176851297864</v>
      </c>
      <c r="AD81" s="459">
        <f t="shared" si="28"/>
        <v>0.71363934087654557</v>
      </c>
      <c r="AE81" s="459">
        <f t="shared" si="29"/>
        <v>63.693299290476084</v>
      </c>
      <c r="AF81" s="460">
        <f t="shared" si="30"/>
        <v>0.81149946638207049</v>
      </c>
      <c r="AG81" s="446"/>
      <c r="AH81" s="446"/>
      <c r="AI81" s="446"/>
      <c r="AJ81" s="446"/>
      <c r="AK81" s="446"/>
      <c r="AL81" s="443"/>
      <c r="AM81" s="443"/>
      <c r="AN81" s="461"/>
      <c r="AO81" s="456">
        <f t="shared" si="31"/>
        <v>163.93713175238196</v>
      </c>
      <c r="AP81" s="460">
        <f t="shared" si="32"/>
        <v>3.9936660770203178</v>
      </c>
      <c r="AQ81" s="443" t="s">
        <v>1221</v>
      </c>
      <c r="AR81" s="462" t="s">
        <v>1100</v>
      </c>
      <c r="AV81" s="349"/>
      <c r="AW81" s="349"/>
      <c r="AX81" s="349"/>
    </row>
    <row r="82" spans="1:50" s="352" customFormat="1" ht="15.75">
      <c r="A82" s="421" t="s">
        <v>1096</v>
      </c>
      <c r="B82" s="422" t="s">
        <v>1258</v>
      </c>
      <c r="C82" s="423">
        <v>3</v>
      </c>
      <c r="D82" s="424" t="s">
        <v>1259</v>
      </c>
      <c r="E82" s="425">
        <v>1985</v>
      </c>
      <c r="F82" s="423" t="s">
        <v>567</v>
      </c>
      <c r="G82" s="426"/>
      <c r="H82" s="427">
        <f t="shared" si="34"/>
        <v>431.82436723215096</v>
      </c>
      <c r="I82" s="428">
        <v>425</v>
      </c>
      <c r="J82" s="429">
        <f t="shared" si="23"/>
        <v>183.72480000000002</v>
      </c>
      <c r="K82" s="429">
        <f t="shared" si="33"/>
        <v>56</v>
      </c>
      <c r="L82" s="429"/>
      <c r="M82" s="429">
        <v>56</v>
      </c>
      <c r="N82" s="429">
        <f t="shared" si="19"/>
        <v>26.902559999999998</v>
      </c>
      <c r="O82" s="429">
        <v>8.1999999999999993</v>
      </c>
      <c r="P82" s="429">
        <f t="shared" si="19"/>
        <v>7.2177600000000011</v>
      </c>
      <c r="Q82" s="430">
        <v>2.2000000000000002</v>
      </c>
      <c r="R82" s="431">
        <f t="shared" si="24"/>
        <v>6.8292682926829285</v>
      </c>
      <c r="S82" s="432">
        <f t="shared" si="25"/>
        <v>25.454545454545453</v>
      </c>
      <c r="T82" s="423">
        <v>35</v>
      </c>
      <c r="U82" s="433">
        <f t="shared" si="15"/>
        <v>18740</v>
      </c>
      <c r="V82" s="433">
        <v>18740</v>
      </c>
      <c r="W82" s="433"/>
      <c r="X82" s="434"/>
      <c r="Y82" s="435">
        <v>38.5</v>
      </c>
      <c r="Z82" s="436"/>
      <c r="AA82" s="437">
        <f t="shared" si="22"/>
        <v>2.3100409973553808</v>
      </c>
      <c r="AB82" s="438">
        <f t="shared" si="26"/>
        <v>5.3362894094626423</v>
      </c>
      <c r="AC82" s="438">
        <f t="shared" si="27"/>
        <v>0.84477176851297864</v>
      </c>
      <c r="AD82" s="438">
        <f t="shared" si="28"/>
        <v>0.71363934087654557</v>
      </c>
      <c r="AE82" s="438">
        <f t="shared" si="29"/>
        <v>68.530765059372996</v>
      </c>
      <c r="AF82" s="439">
        <f t="shared" si="30"/>
        <v>0.8731323372465315</v>
      </c>
      <c r="AG82" s="436">
        <v>2700</v>
      </c>
      <c r="AH82" s="425"/>
      <c r="AI82" s="425"/>
      <c r="AJ82" s="425"/>
      <c r="AK82" s="425"/>
      <c r="AL82" s="422"/>
      <c r="AM82" s="422"/>
      <c r="AN82" s="440"/>
      <c r="AO82" s="435">
        <f t="shared" si="31"/>
        <v>172.1360720654281</v>
      </c>
      <c r="AP82" s="439">
        <f t="shared" si="32"/>
        <v>4.2969824879332537</v>
      </c>
      <c r="AQ82" s="422" t="s">
        <v>1221</v>
      </c>
      <c r="AR82" s="441" t="s">
        <v>1090</v>
      </c>
      <c r="AV82" s="349"/>
      <c r="AW82" s="349"/>
      <c r="AX82" s="349"/>
    </row>
    <row r="83" spans="1:50" s="352" customFormat="1" ht="15.75">
      <c r="A83" s="464" t="s">
        <v>1096</v>
      </c>
      <c r="B83" s="465" t="s">
        <v>1260</v>
      </c>
      <c r="C83" s="466">
        <v>9</v>
      </c>
      <c r="D83" s="467" t="s">
        <v>1154</v>
      </c>
      <c r="E83" s="468">
        <v>1977</v>
      </c>
      <c r="F83" s="466">
        <v>1981</v>
      </c>
      <c r="G83" s="469" t="s">
        <v>1261</v>
      </c>
      <c r="H83" s="470">
        <f t="shared" si="34"/>
        <v>431.82436723215096</v>
      </c>
      <c r="I83" s="471">
        <v>425</v>
      </c>
      <c r="J83" s="472">
        <f t="shared" si="23"/>
        <v>184.38096000000002</v>
      </c>
      <c r="K83" s="472">
        <f>IF(M83="",#REF!,M83)</f>
        <v>56.2</v>
      </c>
      <c r="L83" s="472">
        <v>56.083881980004875</v>
      </c>
      <c r="M83" s="472">
        <v>56.2</v>
      </c>
      <c r="N83" s="472">
        <f t="shared" si="19"/>
        <v>26.246400000000001</v>
      </c>
      <c r="O83" s="472">
        <v>8</v>
      </c>
      <c r="P83" s="472">
        <f t="shared" si="19"/>
        <v>6.8896800000000002</v>
      </c>
      <c r="Q83" s="473">
        <v>2.1</v>
      </c>
      <c r="R83" s="474">
        <f t="shared" si="24"/>
        <v>7.0250000000000004</v>
      </c>
      <c r="S83" s="475">
        <f t="shared" si="25"/>
        <v>26.761904761904763</v>
      </c>
      <c r="T83" s="466">
        <v>42</v>
      </c>
      <c r="U83" s="476">
        <f t="shared" si="15"/>
        <v>17060</v>
      </c>
      <c r="V83" s="476">
        <v>17060</v>
      </c>
      <c r="W83" s="476">
        <v>15360</v>
      </c>
      <c r="X83" s="477"/>
      <c r="Y83" s="478">
        <v>36</v>
      </c>
      <c r="Z83" s="479"/>
      <c r="AA83" s="480">
        <f t="shared" si="22"/>
        <v>2.160038335189447</v>
      </c>
      <c r="AB83" s="481">
        <f t="shared" si="26"/>
        <v>4.6657656094879973</v>
      </c>
      <c r="AC83" s="481">
        <f t="shared" si="27"/>
        <v>0.78850966085363294</v>
      </c>
      <c r="AD83" s="481">
        <f t="shared" si="28"/>
        <v>0.62174748525951129</v>
      </c>
      <c r="AE83" s="481">
        <f t="shared" si="29"/>
        <v>67.801720511664655</v>
      </c>
      <c r="AF83" s="482">
        <f t="shared" si="30"/>
        <v>0.89683470105509966</v>
      </c>
      <c r="AG83" s="479">
        <v>700</v>
      </c>
      <c r="AH83" s="468">
        <v>32</v>
      </c>
      <c r="AI83" s="468">
        <v>2700</v>
      </c>
      <c r="AJ83" s="468">
        <v>15</v>
      </c>
      <c r="AK83" s="468">
        <v>4</v>
      </c>
      <c r="AL83" s="465"/>
      <c r="AM83" s="465"/>
      <c r="AN83" s="483"/>
      <c r="AO83" s="478">
        <f t="shared" si="31"/>
        <v>154.59226567692897</v>
      </c>
      <c r="AP83" s="482">
        <f t="shared" si="32"/>
        <v>3.8453083293747876</v>
      </c>
      <c r="AQ83" s="465" t="s">
        <v>1202</v>
      </c>
      <c r="AR83" s="484" t="s">
        <v>1140</v>
      </c>
      <c r="AV83" s="349"/>
      <c r="AW83" s="349"/>
      <c r="AX83" s="349"/>
    </row>
    <row r="84" spans="1:50" s="352" customFormat="1" ht="15.75">
      <c r="A84" s="442" t="s">
        <v>1096</v>
      </c>
      <c r="B84" s="443" t="s">
        <v>1262</v>
      </c>
      <c r="C84" s="444">
        <v>4</v>
      </c>
      <c r="D84" s="445" t="s">
        <v>1263</v>
      </c>
      <c r="E84" s="446">
        <v>1981</v>
      </c>
      <c r="F84" s="444">
        <v>1982</v>
      </c>
      <c r="G84" s="447"/>
      <c r="H84" s="448">
        <f t="shared" si="34"/>
        <v>431.82436723215096</v>
      </c>
      <c r="I84" s="449">
        <v>425</v>
      </c>
      <c r="J84" s="450">
        <f t="shared" si="23"/>
        <v>190.61448000000001</v>
      </c>
      <c r="K84" s="450">
        <f>IF(M84="",L84,M84)</f>
        <v>58.1</v>
      </c>
      <c r="L84" s="450"/>
      <c r="M84" s="450">
        <v>58.1</v>
      </c>
      <c r="N84" s="450">
        <f t="shared" si="19"/>
        <v>24.934080000000002</v>
      </c>
      <c r="O84" s="450">
        <v>7.6</v>
      </c>
      <c r="P84" s="450">
        <f t="shared" si="19"/>
        <v>8.8581600000000016</v>
      </c>
      <c r="Q84" s="451">
        <v>2.7</v>
      </c>
      <c r="R84" s="452">
        <f t="shared" si="24"/>
        <v>7.6447368421052628</v>
      </c>
      <c r="S84" s="453">
        <f t="shared" si="25"/>
        <v>21.518518518518515</v>
      </c>
      <c r="T84" s="444">
        <v>41</v>
      </c>
      <c r="U84" s="454">
        <f t="shared" si="15"/>
        <v>7500</v>
      </c>
      <c r="V84" s="454">
        <v>7500</v>
      </c>
      <c r="W84" s="454"/>
      <c r="X84" s="455"/>
      <c r="Y84" s="456">
        <v>30</v>
      </c>
      <c r="Z84" s="457"/>
      <c r="AA84" s="458">
        <f t="shared" si="22"/>
        <v>1.800031945991206</v>
      </c>
      <c r="AB84" s="459">
        <f t="shared" si="26"/>
        <v>3.240115006588888</v>
      </c>
      <c r="AC84" s="459">
        <f t="shared" si="27"/>
        <v>0.64625789879019313</v>
      </c>
      <c r="AD84" s="459">
        <f t="shared" si="28"/>
        <v>0.41764927174871552</v>
      </c>
      <c r="AE84" s="459">
        <f t="shared" si="29"/>
        <v>61.365074250374661</v>
      </c>
      <c r="AF84" s="460">
        <f t="shared" si="30"/>
        <v>1.7</v>
      </c>
      <c r="AG84" s="446"/>
      <c r="AH84" s="446"/>
      <c r="AI84" s="446"/>
      <c r="AJ84" s="446"/>
      <c r="AK84" s="446"/>
      <c r="AL84" s="443"/>
      <c r="AM84" s="443"/>
      <c r="AN84" s="461"/>
      <c r="AO84" s="456">
        <f t="shared" si="31"/>
        <v>203.49876947904383</v>
      </c>
      <c r="AP84" s="460">
        <f t="shared" si="32"/>
        <v>4.8962702099022062</v>
      </c>
      <c r="AQ84" s="443" t="s">
        <v>1247</v>
      </c>
      <c r="AR84" s="462" t="s">
        <v>1100</v>
      </c>
      <c r="AV84" s="349"/>
      <c r="AW84" s="349"/>
      <c r="AX84" s="349"/>
    </row>
    <row r="85" spans="1:50" s="352" customFormat="1" ht="15.75">
      <c r="A85" s="442" t="s">
        <v>1096</v>
      </c>
      <c r="B85" s="443" t="s">
        <v>1264</v>
      </c>
      <c r="C85" s="444">
        <v>3</v>
      </c>
      <c r="D85" s="445" t="s">
        <v>1265</v>
      </c>
      <c r="E85" s="446">
        <v>1981</v>
      </c>
      <c r="F85" s="444" t="s">
        <v>567</v>
      </c>
      <c r="G85" s="447"/>
      <c r="H85" s="448">
        <f t="shared" si="34"/>
        <v>436.90465390547041</v>
      </c>
      <c r="I85" s="449">
        <v>430</v>
      </c>
      <c r="J85" s="450">
        <f t="shared" si="23"/>
        <v>184.38096000000002</v>
      </c>
      <c r="K85" s="450">
        <f>IF(M85="",L85,M85)</f>
        <v>56.2</v>
      </c>
      <c r="L85" s="450"/>
      <c r="M85" s="450">
        <v>56.2</v>
      </c>
      <c r="N85" s="450">
        <f t="shared" si="19"/>
        <v>24.934080000000002</v>
      </c>
      <c r="O85" s="450">
        <v>7.6</v>
      </c>
      <c r="P85" s="450">
        <f t="shared" si="19"/>
        <v>6.8896800000000002</v>
      </c>
      <c r="Q85" s="451">
        <v>2.1</v>
      </c>
      <c r="R85" s="452">
        <f t="shared" si="24"/>
        <v>7.3947368421052637</v>
      </c>
      <c r="S85" s="453">
        <f t="shared" si="25"/>
        <v>26.761904761904763</v>
      </c>
      <c r="T85" s="444">
        <v>42</v>
      </c>
      <c r="U85" s="454">
        <f t="shared" si="15"/>
        <v>17700</v>
      </c>
      <c r="V85" s="454">
        <v>17700</v>
      </c>
      <c r="W85" s="454"/>
      <c r="X85" s="455"/>
      <c r="Y85" s="456">
        <v>38</v>
      </c>
      <c r="Z85" s="457"/>
      <c r="AA85" s="458">
        <f t="shared" si="22"/>
        <v>2.2756002201116634</v>
      </c>
      <c r="AB85" s="459">
        <f t="shared" si="26"/>
        <v>5.1783563617722512</v>
      </c>
      <c r="AC85" s="459">
        <f t="shared" si="27"/>
        <v>0.83231575312327943</v>
      </c>
      <c r="AD85" s="459">
        <f t="shared" si="28"/>
        <v>0.69274951289717179</v>
      </c>
      <c r="AE85" s="459">
        <f t="shared" si="29"/>
        <v>68.599387811801876</v>
      </c>
      <c r="AF85" s="460">
        <f t="shared" si="30"/>
        <v>0.92316384180790956</v>
      </c>
      <c r="AG85" s="446"/>
      <c r="AH85" s="446"/>
      <c r="AI85" s="446"/>
      <c r="AJ85" s="446"/>
      <c r="AK85" s="446"/>
      <c r="AL85" s="443"/>
      <c r="AM85" s="443"/>
      <c r="AN85" s="461"/>
      <c r="AO85" s="456">
        <f t="shared" si="31"/>
        <v>176.61320044368793</v>
      </c>
      <c r="AP85" s="460">
        <f t="shared" si="32"/>
        <v>4.4102147988495082</v>
      </c>
      <c r="AQ85" s="443" t="s">
        <v>1221</v>
      </c>
      <c r="AR85" s="462" t="s">
        <v>1100</v>
      </c>
      <c r="AV85" s="349"/>
      <c r="AW85" s="349"/>
      <c r="AX85" s="349"/>
    </row>
    <row r="86" spans="1:50" s="352" customFormat="1" ht="15.75">
      <c r="A86" s="442" t="s">
        <v>1096</v>
      </c>
      <c r="B86" s="443" t="s">
        <v>1266</v>
      </c>
      <c r="C86" s="444">
        <v>2</v>
      </c>
      <c r="D86" s="445" t="s">
        <v>1267</v>
      </c>
      <c r="E86" s="446">
        <v>1987</v>
      </c>
      <c r="F86" s="444" t="s">
        <v>567</v>
      </c>
      <c r="G86" s="447"/>
      <c r="H86" s="448">
        <f t="shared" si="34"/>
        <v>436.90465390547041</v>
      </c>
      <c r="I86" s="449">
        <v>430</v>
      </c>
      <c r="J86" s="450">
        <f t="shared" si="23"/>
        <v>186.02136000000002</v>
      </c>
      <c r="K86" s="450">
        <f>IF(M86="",L86,M86)</f>
        <v>56.7</v>
      </c>
      <c r="L86" s="450"/>
      <c r="M86" s="450">
        <v>56.7</v>
      </c>
      <c r="N86" s="450">
        <f t="shared" si="19"/>
        <v>26.902559999999998</v>
      </c>
      <c r="O86" s="450">
        <v>8.1999999999999993</v>
      </c>
      <c r="P86" s="450">
        <f t="shared" si="19"/>
        <v>7.87392</v>
      </c>
      <c r="Q86" s="451">
        <v>2.4</v>
      </c>
      <c r="R86" s="452">
        <f t="shared" si="24"/>
        <v>6.9146341463414647</v>
      </c>
      <c r="S86" s="453">
        <f t="shared" si="25"/>
        <v>23.625000000000004</v>
      </c>
      <c r="T86" s="444">
        <v>40</v>
      </c>
      <c r="U86" s="454">
        <f t="shared" si="15"/>
        <v>15000</v>
      </c>
      <c r="V86" s="454">
        <v>15000</v>
      </c>
      <c r="W86" s="454"/>
      <c r="X86" s="455"/>
      <c r="Y86" s="456">
        <v>40</v>
      </c>
      <c r="Z86" s="457"/>
      <c r="AA86" s="458">
        <f t="shared" si="22"/>
        <v>2.3953686527491196</v>
      </c>
      <c r="AB86" s="459">
        <f t="shared" si="26"/>
        <v>5.7377909825731326</v>
      </c>
      <c r="AC86" s="459">
        <f t="shared" si="27"/>
        <v>0.87225032028524641</v>
      </c>
      <c r="AD86" s="459">
        <f t="shared" si="28"/>
        <v>0.76082062123771499</v>
      </c>
      <c r="AE86" s="459">
        <f t="shared" si="29"/>
        <v>66.800545666113152</v>
      </c>
      <c r="AF86" s="460">
        <f t="shared" si="30"/>
        <v>1.1466666666666667</v>
      </c>
      <c r="AG86" s="446"/>
      <c r="AH86" s="446"/>
      <c r="AI86" s="446"/>
      <c r="AJ86" s="446"/>
      <c r="AK86" s="446"/>
      <c r="AL86" s="443"/>
      <c r="AM86" s="443"/>
      <c r="AN86" s="461"/>
      <c r="AO86" s="456">
        <f t="shared" si="31"/>
        <v>243.07167403242659</v>
      </c>
      <c r="AP86" s="460">
        <f t="shared" si="32"/>
        <v>6.0162266670164462</v>
      </c>
      <c r="AQ86" s="443" t="s">
        <v>1115</v>
      </c>
      <c r="AR86" s="462" t="s">
        <v>1100</v>
      </c>
      <c r="AV86" s="349"/>
      <c r="AW86" s="349"/>
      <c r="AX86" s="349"/>
    </row>
    <row r="87" spans="1:50" s="352" customFormat="1" ht="15.75">
      <c r="A87" s="442" t="s">
        <v>1096</v>
      </c>
      <c r="B87" s="443" t="s">
        <v>1268</v>
      </c>
      <c r="C87" s="444">
        <v>5</v>
      </c>
      <c r="D87" s="445" t="s">
        <v>1269</v>
      </c>
      <c r="E87" s="446">
        <v>1978</v>
      </c>
      <c r="F87" s="444">
        <v>1986</v>
      </c>
      <c r="G87" s="447"/>
      <c r="H87" s="448">
        <f t="shared" si="34"/>
        <v>436.90465390547041</v>
      </c>
      <c r="I87" s="449">
        <v>430</v>
      </c>
      <c r="J87" s="450">
        <f t="shared" si="23"/>
        <v>204.06576000000001</v>
      </c>
      <c r="K87" s="450">
        <f>IF(M87="",L87,M87)</f>
        <v>62.2</v>
      </c>
      <c r="L87" s="450"/>
      <c r="M87" s="450">
        <v>62.2</v>
      </c>
      <c r="N87" s="450">
        <f t="shared" si="19"/>
        <v>25.590240000000001</v>
      </c>
      <c r="O87" s="450">
        <v>7.8</v>
      </c>
      <c r="P87" s="450">
        <f t="shared" si="19"/>
        <v>7.87392</v>
      </c>
      <c r="Q87" s="451">
        <v>2.4</v>
      </c>
      <c r="R87" s="452">
        <f t="shared" si="24"/>
        <v>7.9743589743589745</v>
      </c>
      <c r="S87" s="453">
        <f t="shared" si="25"/>
        <v>25.916666666666668</v>
      </c>
      <c r="T87" s="444">
        <v>52</v>
      </c>
      <c r="U87" s="454">
        <f t="shared" ref="U87:U97" si="35">IF(V87="",W87,V87)</f>
        <v>15000</v>
      </c>
      <c r="V87" s="454">
        <v>15000</v>
      </c>
      <c r="W87" s="454"/>
      <c r="X87" s="455"/>
      <c r="Y87" s="456">
        <v>32</v>
      </c>
      <c r="Z87" s="457"/>
      <c r="AA87" s="458">
        <f t="shared" si="22"/>
        <v>1.9162949221992955</v>
      </c>
      <c r="AB87" s="459">
        <f t="shared" si="26"/>
        <v>3.6721862288468041</v>
      </c>
      <c r="AC87" s="459">
        <f t="shared" si="27"/>
        <v>0.66623502683987679</v>
      </c>
      <c r="AD87" s="459">
        <f t="shared" si="28"/>
        <v>0.44386911098833132</v>
      </c>
      <c r="AE87" s="459">
        <f t="shared" si="29"/>
        <v>50.600875682874907</v>
      </c>
      <c r="AF87" s="460">
        <f t="shared" si="30"/>
        <v>0.91733333333333333</v>
      </c>
      <c r="AG87" s="446"/>
      <c r="AH87" s="446"/>
      <c r="AI87" s="446"/>
      <c r="AJ87" s="446"/>
      <c r="AK87" s="446"/>
      <c r="AL87" s="443"/>
      <c r="AM87" s="443"/>
      <c r="AN87" s="461"/>
      <c r="AO87" s="456">
        <f t="shared" si="31"/>
        <v>124.45269710460242</v>
      </c>
      <c r="AP87" s="460">
        <f t="shared" si="32"/>
        <v>2.8079335471728979</v>
      </c>
      <c r="AQ87" s="443" t="s">
        <v>1270</v>
      </c>
      <c r="AR87" s="462" t="s">
        <v>1100</v>
      </c>
      <c r="AV87" s="349"/>
      <c r="AW87" s="349"/>
      <c r="AX87" s="349"/>
    </row>
    <row r="88" spans="1:50" s="352" customFormat="1" ht="15.75">
      <c r="A88" s="442" t="s">
        <v>1096</v>
      </c>
      <c r="B88" s="443" t="s">
        <v>1271</v>
      </c>
      <c r="C88" s="444">
        <v>2</v>
      </c>
      <c r="D88" s="445" t="s">
        <v>1272</v>
      </c>
      <c r="E88" s="446">
        <v>1996</v>
      </c>
      <c r="F88" s="444" t="s">
        <v>567</v>
      </c>
      <c r="G88" s="447"/>
      <c r="H88" s="448">
        <f t="shared" si="34"/>
        <v>439.95282590946204</v>
      </c>
      <c r="I88" s="449">
        <v>433</v>
      </c>
      <c r="J88" s="450">
        <f t="shared" si="23"/>
        <v>189.63023999999999</v>
      </c>
      <c r="K88" s="450">
        <f t="shared" ref="K88:K102" si="36">IF(M88="",L88,M88)</f>
        <v>57.8</v>
      </c>
      <c r="L88" s="450"/>
      <c r="M88" s="450">
        <v>57.8</v>
      </c>
      <c r="N88" s="450">
        <f t="shared" si="19"/>
        <v>24.934080000000002</v>
      </c>
      <c r="O88" s="450">
        <v>7.6</v>
      </c>
      <c r="P88" s="450">
        <f t="shared" si="19"/>
        <v>8.8581600000000016</v>
      </c>
      <c r="Q88" s="451">
        <v>2.7</v>
      </c>
      <c r="R88" s="452">
        <f t="shared" si="24"/>
        <v>7.6052631578947354</v>
      </c>
      <c r="S88" s="453">
        <f t="shared" si="25"/>
        <v>21.407407407407401</v>
      </c>
      <c r="T88" s="444">
        <v>45</v>
      </c>
      <c r="U88" s="454">
        <f t="shared" si="35"/>
        <v>15120</v>
      </c>
      <c r="V88" s="454">
        <v>15120</v>
      </c>
      <c r="W88" s="454"/>
      <c r="X88" s="455"/>
      <c r="Y88" s="456">
        <v>38</v>
      </c>
      <c r="Z88" s="457"/>
      <c r="AA88" s="458">
        <f t="shared" si="22"/>
        <v>2.2729648881756734</v>
      </c>
      <c r="AB88" s="459">
        <f t="shared" si="26"/>
        <v>5.1663693828794512</v>
      </c>
      <c r="AC88" s="459">
        <f t="shared" si="27"/>
        <v>0.82071496622929452</v>
      </c>
      <c r="AD88" s="459">
        <f t="shared" si="28"/>
        <v>0.67357305579275206</v>
      </c>
      <c r="AE88" s="459">
        <f t="shared" si="29"/>
        <v>63.498740664357847</v>
      </c>
      <c r="AF88" s="460">
        <f t="shared" si="30"/>
        <v>1.0882275132275132</v>
      </c>
      <c r="AG88" s="446"/>
      <c r="AH88" s="446"/>
      <c r="AI88" s="446"/>
      <c r="AJ88" s="446"/>
      <c r="AK88" s="446"/>
      <c r="AL88" s="443"/>
      <c r="AM88" s="443"/>
      <c r="AN88" s="461"/>
      <c r="AO88" s="456">
        <f t="shared" si="31"/>
        <v>207.71009112086188</v>
      </c>
      <c r="AP88" s="460">
        <f t="shared" si="32"/>
        <v>5.0548600410531721</v>
      </c>
      <c r="AQ88" s="443" t="s">
        <v>1273</v>
      </c>
      <c r="AR88" s="462" t="s">
        <v>1100</v>
      </c>
      <c r="AV88" s="349"/>
      <c r="AW88" s="349"/>
      <c r="AX88" s="349"/>
    </row>
    <row r="89" spans="1:50" s="352" customFormat="1" ht="15.75">
      <c r="A89" s="442" t="s">
        <v>1096</v>
      </c>
      <c r="B89" s="443" t="s">
        <v>1274</v>
      </c>
      <c r="C89" s="444">
        <v>8</v>
      </c>
      <c r="D89" s="445" t="s">
        <v>1161</v>
      </c>
      <c r="E89" s="446">
        <v>1977</v>
      </c>
      <c r="F89" s="444">
        <v>1988</v>
      </c>
      <c r="G89" s="447"/>
      <c r="H89" s="448">
        <f t="shared" si="34"/>
        <v>443.00099791345372</v>
      </c>
      <c r="I89" s="449">
        <v>436</v>
      </c>
      <c r="J89" s="450">
        <f t="shared" si="23"/>
        <v>190.61448000000001</v>
      </c>
      <c r="K89" s="450">
        <f t="shared" si="36"/>
        <v>58.1</v>
      </c>
      <c r="L89" s="450"/>
      <c r="M89" s="450">
        <v>58.1</v>
      </c>
      <c r="N89" s="450">
        <f t="shared" si="19"/>
        <v>24.934080000000002</v>
      </c>
      <c r="O89" s="450">
        <v>7.6</v>
      </c>
      <c r="P89" s="450">
        <f t="shared" si="19"/>
        <v>8.8581600000000016</v>
      </c>
      <c r="Q89" s="451">
        <v>2.7</v>
      </c>
      <c r="R89" s="452">
        <f t="shared" si="24"/>
        <v>7.6447368421052628</v>
      </c>
      <c r="S89" s="453">
        <f t="shared" si="25"/>
        <v>21.518518518518515</v>
      </c>
      <c r="T89" s="444">
        <v>40</v>
      </c>
      <c r="U89" s="454">
        <f t="shared" si="35"/>
        <v>17700</v>
      </c>
      <c r="V89" s="454">
        <v>17700</v>
      </c>
      <c r="W89" s="454"/>
      <c r="X89" s="455"/>
      <c r="Y89" s="456">
        <v>38</v>
      </c>
      <c r="Z89" s="457"/>
      <c r="AA89" s="458">
        <f t="shared" si="22"/>
        <v>2.2703507724055916</v>
      </c>
      <c r="AB89" s="459">
        <f t="shared" si="26"/>
        <v>5.1544926297626663</v>
      </c>
      <c r="AC89" s="459">
        <f t="shared" si="27"/>
        <v>0.81859333846757809</v>
      </c>
      <c r="AD89" s="459">
        <f t="shared" si="28"/>
        <v>0.67009505378349488</v>
      </c>
      <c r="AE89" s="459">
        <f t="shared" si="29"/>
        <v>62.953346760384363</v>
      </c>
      <c r="AF89" s="460">
        <f t="shared" si="30"/>
        <v>0.93604519774011297</v>
      </c>
      <c r="AG89" s="446"/>
      <c r="AH89" s="446"/>
      <c r="AI89" s="446"/>
      <c r="AJ89" s="446"/>
      <c r="AK89" s="446"/>
      <c r="AL89" s="443"/>
      <c r="AM89" s="443"/>
      <c r="AN89" s="461"/>
      <c r="AO89" s="456">
        <f t="shared" si="31"/>
        <v>178.25231671049326</v>
      </c>
      <c r="AP89" s="460">
        <f t="shared" si="32"/>
        <v>4.3255163614925847</v>
      </c>
      <c r="AQ89" s="443" t="s">
        <v>1275</v>
      </c>
      <c r="AR89" s="462" t="s">
        <v>1100</v>
      </c>
      <c r="AV89" s="349"/>
      <c r="AW89" s="349"/>
      <c r="AX89" s="349"/>
    </row>
    <row r="90" spans="1:50" s="352" customFormat="1" ht="15.75">
      <c r="A90" s="442" t="s">
        <v>1096</v>
      </c>
      <c r="B90" s="443" t="s">
        <v>1276</v>
      </c>
      <c r="C90" s="444">
        <v>3</v>
      </c>
      <c r="D90" s="445" t="s">
        <v>1220</v>
      </c>
      <c r="E90" s="446">
        <v>1973</v>
      </c>
      <c r="F90" s="444">
        <v>1974</v>
      </c>
      <c r="G90" s="447"/>
      <c r="H90" s="448">
        <f t="shared" si="34"/>
        <v>457.22580059874809</v>
      </c>
      <c r="I90" s="449">
        <v>450</v>
      </c>
      <c r="J90" s="450">
        <f t="shared" si="23"/>
        <v>190.28640000000001</v>
      </c>
      <c r="K90" s="450">
        <f t="shared" si="36"/>
        <v>58</v>
      </c>
      <c r="L90" s="450"/>
      <c r="M90" s="450">
        <v>58</v>
      </c>
      <c r="N90" s="450">
        <f t="shared" si="19"/>
        <v>25.590240000000001</v>
      </c>
      <c r="O90" s="450">
        <v>7.8</v>
      </c>
      <c r="P90" s="450">
        <f t="shared" si="19"/>
        <v>7.87392</v>
      </c>
      <c r="Q90" s="451">
        <v>2.4</v>
      </c>
      <c r="R90" s="452">
        <f t="shared" si="24"/>
        <v>7.4358974358974361</v>
      </c>
      <c r="S90" s="453">
        <f t="shared" si="25"/>
        <v>24.166666666666668</v>
      </c>
      <c r="T90" s="444">
        <v>51</v>
      </c>
      <c r="U90" s="454">
        <f t="shared" si="35"/>
        <v>13029</v>
      </c>
      <c r="V90" s="454">
        <v>13029</v>
      </c>
      <c r="W90" s="454"/>
      <c r="X90" s="455"/>
      <c r="Y90" s="456">
        <v>32</v>
      </c>
      <c r="Z90" s="457"/>
      <c r="AA90" s="458">
        <f t="shared" si="22"/>
        <v>1.9018299064684803</v>
      </c>
      <c r="AB90" s="459">
        <f t="shared" si="26"/>
        <v>3.6169569931379084</v>
      </c>
      <c r="AC90" s="459">
        <f t="shared" si="27"/>
        <v>0.68993576292032566</v>
      </c>
      <c r="AD90" s="459">
        <f t="shared" si="28"/>
        <v>0.4760113569564518</v>
      </c>
      <c r="AE90" s="459">
        <f t="shared" si="29"/>
        <v>65.311440747155572</v>
      </c>
      <c r="AF90" s="460">
        <f t="shared" si="30"/>
        <v>1.1052268017499425</v>
      </c>
      <c r="AG90" s="446"/>
      <c r="AH90" s="446"/>
      <c r="AI90" s="446"/>
      <c r="AJ90" s="446"/>
      <c r="AK90" s="446"/>
      <c r="AL90" s="443"/>
      <c r="AM90" s="443"/>
      <c r="AN90" s="461"/>
      <c r="AO90" s="456">
        <f t="shared" si="31"/>
        <v>147.68867472463879</v>
      </c>
      <c r="AP90" s="460">
        <f t="shared" si="32"/>
        <v>3.6280515551562487</v>
      </c>
      <c r="AQ90" s="443" t="s">
        <v>1277</v>
      </c>
      <c r="AR90" s="462" t="s">
        <v>1100</v>
      </c>
      <c r="AV90" s="349"/>
      <c r="AW90" s="349"/>
      <c r="AX90" s="349"/>
    </row>
    <row r="91" spans="1:50" s="352" customFormat="1" ht="15.75">
      <c r="A91" s="442" t="s">
        <v>1096</v>
      </c>
      <c r="B91" s="443" t="s">
        <v>1278</v>
      </c>
      <c r="C91" s="444">
        <v>3</v>
      </c>
      <c r="D91" s="445" t="s">
        <v>1233</v>
      </c>
      <c r="E91" s="446">
        <v>1983</v>
      </c>
      <c r="F91" s="444">
        <v>1984</v>
      </c>
      <c r="G91" s="447"/>
      <c r="H91" s="448">
        <f t="shared" si="34"/>
        <v>457.22580059874809</v>
      </c>
      <c r="I91" s="449">
        <v>450</v>
      </c>
      <c r="J91" s="450">
        <f t="shared" si="23"/>
        <v>198.16032000000001</v>
      </c>
      <c r="K91" s="450">
        <f t="shared" si="36"/>
        <v>60.4</v>
      </c>
      <c r="L91" s="450"/>
      <c r="M91" s="450">
        <v>60.4</v>
      </c>
      <c r="N91" s="450">
        <f t="shared" si="19"/>
        <v>28.871040000000004</v>
      </c>
      <c r="O91" s="450">
        <v>8.8000000000000007</v>
      </c>
      <c r="P91" s="450">
        <f t="shared" si="19"/>
        <v>14.7636</v>
      </c>
      <c r="Q91" s="451">
        <v>4.5</v>
      </c>
      <c r="R91" s="452">
        <f t="shared" si="24"/>
        <v>6.8636363636363633</v>
      </c>
      <c r="S91" s="453">
        <f t="shared" si="25"/>
        <v>13.422222222222222</v>
      </c>
      <c r="T91" s="444">
        <v>41</v>
      </c>
      <c r="U91" s="454">
        <f t="shared" si="35"/>
        <v>12795</v>
      </c>
      <c r="V91" s="454">
        <v>12795</v>
      </c>
      <c r="W91" s="454"/>
      <c r="X91" s="455"/>
      <c r="Y91" s="456">
        <v>30</v>
      </c>
      <c r="Z91" s="457"/>
      <c r="AA91" s="458">
        <f t="shared" si="22"/>
        <v>1.7829655373142002</v>
      </c>
      <c r="AB91" s="459">
        <f t="shared" si="26"/>
        <v>3.1789661072501145</v>
      </c>
      <c r="AC91" s="459">
        <f t="shared" si="27"/>
        <v>0.63383389681497926</v>
      </c>
      <c r="AD91" s="459">
        <f t="shared" si="28"/>
        <v>0.40174540875166176</v>
      </c>
      <c r="AE91" s="459">
        <f t="shared" si="29"/>
        <v>57.831229967489271</v>
      </c>
      <c r="AF91" s="460">
        <f t="shared" si="30"/>
        <v>1.0550996483001172</v>
      </c>
      <c r="AG91" s="446"/>
      <c r="AH91" s="446"/>
      <c r="AI91" s="446"/>
      <c r="AJ91" s="446"/>
      <c r="AK91" s="446"/>
      <c r="AL91" s="443"/>
      <c r="AM91" s="443"/>
      <c r="AN91" s="461"/>
      <c r="AO91" s="456">
        <f t="shared" si="31"/>
        <v>123.91726414016325</v>
      </c>
      <c r="AP91" s="460">
        <f t="shared" si="32"/>
        <v>2.9231367153462631</v>
      </c>
      <c r="AQ91" s="443" t="s">
        <v>1242</v>
      </c>
      <c r="AR91" s="462" t="s">
        <v>1100</v>
      </c>
      <c r="AV91" s="349"/>
      <c r="AW91" s="349"/>
      <c r="AX91" s="349"/>
    </row>
    <row r="92" spans="1:50" s="352" customFormat="1" ht="15.75">
      <c r="A92" s="442" t="s">
        <v>1096</v>
      </c>
      <c r="B92" s="443" t="s">
        <v>1279</v>
      </c>
      <c r="C92" s="444">
        <v>21</v>
      </c>
      <c r="D92" s="445" t="s">
        <v>1280</v>
      </c>
      <c r="E92" s="446">
        <v>1993</v>
      </c>
      <c r="F92" s="444">
        <v>1996</v>
      </c>
      <c r="G92" s="447"/>
      <c r="H92" s="448">
        <f t="shared" si="34"/>
        <v>485.67540596933685</v>
      </c>
      <c r="I92" s="449">
        <v>478</v>
      </c>
      <c r="J92" s="450">
        <f t="shared" si="23"/>
        <v>206.03424000000001</v>
      </c>
      <c r="K92" s="450">
        <f t="shared" si="36"/>
        <v>62.8</v>
      </c>
      <c r="L92" s="450"/>
      <c r="M92" s="450">
        <v>62.8</v>
      </c>
      <c r="N92" s="450">
        <f t="shared" si="19"/>
        <v>23.621760000000002</v>
      </c>
      <c r="O92" s="450">
        <v>7.2</v>
      </c>
      <c r="P92" s="450">
        <f t="shared" si="19"/>
        <v>7.87392</v>
      </c>
      <c r="Q92" s="451">
        <v>2.4</v>
      </c>
      <c r="R92" s="452">
        <f t="shared" si="24"/>
        <v>8.7222222222222214</v>
      </c>
      <c r="S92" s="453">
        <f t="shared" si="25"/>
        <v>26.166666666666668</v>
      </c>
      <c r="T92" s="444">
        <v>71</v>
      </c>
      <c r="U92" s="454">
        <f t="shared" si="35"/>
        <v>4000</v>
      </c>
      <c r="V92" s="454">
        <v>4000</v>
      </c>
      <c r="W92" s="454"/>
      <c r="X92" s="455"/>
      <c r="Y92" s="456">
        <v>28</v>
      </c>
      <c r="Z92" s="457"/>
      <c r="AA92" s="458">
        <f t="shared" si="22"/>
        <v>1.6474433704258884</v>
      </c>
      <c r="AB92" s="459">
        <f t="shared" si="26"/>
        <v>2.7140696587602111</v>
      </c>
      <c r="AC92" s="459">
        <f t="shared" si="27"/>
        <v>0.58016414490161139</v>
      </c>
      <c r="AD92" s="459">
        <f t="shared" si="28"/>
        <v>0.33659043502941793</v>
      </c>
      <c r="AE92" s="459">
        <f t="shared" si="29"/>
        <v>54.65245767251448</v>
      </c>
      <c r="AF92" s="460">
        <f t="shared" si="30"/>
        <v>3.3460000000000001</v>
      </c>
      <c r="AG92" s="446"/>
      <c r="AH92" s="446"/>
      <c r="AI92" s="446"/>
      <c r="AJ92" s="446"/>
      <c r="AK92" s="446"/>
      <c r="AL92" s="443"/>
      <c r="AM92" s="443"/>
      <c r="AN92" s="461"/>
      <c r="AO92" s="456">
        <f t="shared" si="31"/>
        <v>335.50528606987314</v>
      </c>
      <c r="AP92" s="460">
        <f t="shared" si="32"/>
        <v>7.7666267509710991</v>
      </c>
      <c r="AQ92" s="443" t="s">
        <v>1281</v>
      </c>
      <c r="AR92" s="462" t="s">
        <v>1100</v>
      </c>
      <c r="AV92" s="349"/>
      <c r="AW92" s="349"/>
      <c r="AX92" s="349"/>
    </row>
    <row r="93" spans="1:50" s="352" customFormat="1" ht="15.75">
      <c r="A93" s="442" t="s">
        <v>1096</v>
      </c>
      <c r="B93" s="443" t="s">
        <v>1282</v>
      </c>
      <c r="C93" s="444">
        <v>22</v>
      </c>
      <c r="D93" s="445" t="s">
        <v>1283</v>
      </c>
      <c r="E93" s="446">
        <v>1991</v>
      </c>
      <c r="F93" s="444">
        <v>1997</v>
      </c>
      <c r="G93" s="447"/>
      <c r="H93" s="448">
        <f t="shared" si="34"/>
        <v>485.67540596933685</v>
      </c>
      <c r="I93" s="449">
        <v>478</v>
      </c>
      <c r="J93" s="450">
        <f t="shared" si="23"/>
        <v>206.03424000000001</v>
      </c>
      <c r="K93" s="450">
        <f t="shared" si="36"/>
        <v>62.8</v>
      </c>
      <c r="L93" s="450"/>
      <c r="M93" s="450">
        <v>62.8</v>
      </c>
      <c r="N93" s="450">
        <f t="shared" si="19"/>
        <v>23.621760000000002</v>
      </c>
      <c r="O93" s="450">
        <v>7.2</v>
      </c>
      <c r="P93" s="450">
        <f t="shared" si="19"/>
        <v>7.87392</v>
      </c>
      <c r="Q93" s="451">
        <v>2.4</v>
      </c>
      <c r="R93" s="452">
        <f t="shared" si="24"/>
        <v>8.7222222222222214</v>
      </c>
      <c r="S93" s="453">
        <f t="shared" si="25"/>
        <v>26.166666666666668</v>
      </c>
      <c r="T93" s="444">
        <v>71</v>
      </c>
      <c r="U93" s="454">
        <f t="shared" si="35"/>
        <v>4000</v>
      </c>
      <c r="V93" s="454">
        <v>4000</v>
      </c>
      <c r="W93" s="454"/>
      <c r="X93" s="455"/>
      <c r="Y93" s="456">
        <v>28</v>
      </c>
      <c r="Z93" s="457"/>
      <c r="AA93" s="458">
        <f t="shared" si="22"/>
        <v>1.6474433704258884</v>
      </c>
      <c r="AB93" s="459">
        <f t="shared" si="26"/>
        <v>2.7140696587602111</v>
      </c>
      <c r="AC93" s="459">
        <f t="shared" si="27"/>
        <v>0.58016414490161139</v>
      </c>
      <c r="AD93" s="459">
        <f t="shared" si="28"/>
        <v>0.33659043502941793</v>
      </c>
      <c r="AE93" s="459">
        <f t="shared" si="29"/>
        <v>54.65245767251448</v>
      </c>
      <c r="AF93" s="460">
        <f t="shared" si="30"/>
        <v>3.3460000000000001</v>
      </c>
      <c r="AG93" s="446"/>
      <c r="AH93" s="446"/>
      <c r="AI93" s="446"/>
      <c r="AJ93" s="446"/>
      <c r="AK93" s="446"/>
      <c r="AL93" s="443"/>
      <c r="AM93" s="443"/>
      <c r="AN93" s="461"/>
      <c r="AO93" s="456">
        <f t="shared" si="31"/>
        <v>335.50528606987314</v>
      </c>
      <c r="AP93" s="460">
        <f t="shared" si="32"/>
        <v>7.7666267509710991</v>
      </c>
      <c r="AQ93" s="443" t="s">
        <v>1089</v>
      </c>
      <c r="AR93" s="462" t="s">
        <v>1100</v>
      </c>
      <c r="AV93" s="349"/>
      <c r="AW93" s="349"/>
      <c r="AX93" s="349"/>
    </row>
    <row r="94" spans="1:50" s="352" customFormat="1" ht="15.75">
      <c r="A94" s="421" t="s">
        <v>1096</v>
      </c>
      <c r="B94" s="422" t="s">
        <v>1282</v>
      </c>
      <c r="C94" s="423">
        <v>16</v>
      </c>
      <c r="D94" s="424" t="s">
        <v>1107</v>
      </c>
      <c r="E94" s="425">
        <v>1991</v>
      </c>
      <c r="F94" s="423" t="s">
        <v>567</v>
      </c>
      <c r="G94" s="426"/>
      <c r="H94" s="427">
        <f t="shared" si="34"/>
        <v>485.67540596933685</v>
      </c>
      <c r="I94" s="428">
        <v>478</v>
      </c>
      <c r="J94" s="429">
        <f t="shared" si="23"/>
        <v>206.03424000000001</v>
      </c>
      <c r="K94" s="429">
        <f t="shared" si="36"/>
        <v>62.8</v>
      </c>
      <c r="L94" s="429"/>
      <c r="M94" s="429">
        <v>62.8</v>
      </c>
      <c r="N94" s="429">
        <f t="shared" si="19"/>
        <v>23.621760000000002</v>
      </c>
      <c r="O94" s="429">
        <v>7.2</v>
      </c>
      <c r="P94" s="429">
        <f t="shared" si="19"/>
        <v>7.87392</v>
      </c>
      <c r="Q94" s="430">
        <v>2.4</v>
      </c>
      <c r="R94" s="431">
        <f t="shared" si="24"/>
        <v>8.7222222222222214</v>
      </c>
      <c r="S94" s="432">
        <f t="shared" si="25"/>
        <v>26.166666666666668</v>
      </c>
      <c r="T94" s="423">
        <v>71</v>
      </c>
      <c r="U94" s="433">
        <f t="shared" si="35"/>
        <v>4000</v>
      </c>
      <c r="V94" s="433">
        <v>4000</v>
      </c>
      <c r="W94" s="433">
        <f>X94/0.7457</f>
        <v>3942.6042644495105</v>
      </c>
      <c r="X94" s="434">
        <v>2940</v>
      </c>
      <c r="Y94" s="435">
        <v>28</v>
      </c>
      <c r="Z94" s="436"/>
      <c r="AA94" s="437">
        <f t="shared" si="22"/>
        <v>1.6474433704258884</v>
      </c>
      <c r="AB94" s="438">
        <f t="shared" si="26"/>
        <v>2.7140696587602111</v>
      </c>
      <c r="AC94" s="438">
        <f t="shared" si="27"/>
        <v>0.58016414490161139</v>
      </c>
      <c r="AD94" s="438">
        <f t="shared" si="28"/>
        <v>0.33659043502941793</v>
      </c>
      <c r="AE94" s="438">
        <f t="shared" si="29"/>
        <v>54.65245767251448</v>
      </c>
      <c r="AF94" s="439">
        <f t="shared" si="30"/>
        <v>3.3460000000000001</v>
      </c>
      <c r="AG94" s="436">
        <v>1300</v>
      </c>
      <c r="AH94" s="425"/>
      <c r="AI94" s="425"/>
      <c r="AJ94" s="425"/>
      <c r="AK94" s="425">
        <v>4</v>
      </c>
      <c r="AL94" s="422" t="s">
        <v>1080</v>
      </c>
      <c r="AM94" s="422">
        <v>4</v>
      </c>
      <c r="AN94" s="440"/>
      <c r="AO94" s="435">
        <f t="shared" si="31"/>
        <v>335.50528606987314</v>
      </c>
      <c r="AP94" s="439">
        <f t="shared" si="32"/>
        <v>7.7666267509710991</v>
      </c>
      <c r="AQ94" s="422" t="s">
        <v>1284</v>
      </c>
      <c r="AR94" s="441" t="s">
        <v>1090</v>
      </c>
      <c r="AV94" s="349"/>
      <c r="AW94" s="349"/>
      <c r="AX94" s="349"/>
    </row>
    <row r="95" spans="1:50" s="352" customFormat="1" ht="15.75">
      <c r="A95" s="442" t="s">
        <v>1096</v>
      </c>
      <c r="B95" s="443" t="s">
        <v>1285</v>
      </c>
      <c r="C95" s="444">
        <v>6</v>
      </c>
      <c r="D95" s="445" t="s">
        <v>1286</v>
      </c>
      <c r="E95" s="446">
        <v>1981</v>
      </c>
      <c r="F95" s="444">
        <v>1995</v>
      </c>
      <c r="G95" s="447"/>
      <c r="H95" s="448">
        <f t="shared" si="34"/>
        <v>495.83597931597569</v>
      </c>
      <c r="I95" s="449">
        <v>488</v>
      </c>
      <c r="J95" s="450">
        <f t="shared" si="23"/>
        <v>202.42536000000001</v>
      </c>
      <c r="K95" s="450">
        <f t="shared" si="36"/>
        <v>61.7</v>
      </c>
      <c r="L95" s="450"/>
      <c r="M95" s="450">
        <v>61.7</v>
      </c>
      <c r="N95" s="450">
        <f t="shared" si="19"/>
        <v>24.934080000000002</v>
      </c>
      <c r="O95" s="450">
        <v>7.6</v>
      </c>
      <c r="P95" s="450">
        <f t="shared" si="19"/>
        <v>8.202</v>
      </c>
      <c r="Q95" s="451">
        <v>2.5</v>
      </c>
      <c r="R95" s="452">
        <f t="shared" si="24"/>
        <v>8.1184210526315788</v>
      </c>
      <c r="S95" s="453">
        <f t="shared" si="25"/>
        <v>24.680000000000003</v>
      </c>
      <c r="T95" s="444">
        <v>53</v>
      </c>
      <c r="U95" s="454">
        <f t="shared" si="35"/>
        <v>16600</v>
      </c>
      <c r="V95" s="454">
        <v>16600</v>
      </c>
      <c r="W95" s="454"/>
      <c r="X95" s="455"/>
      <c r="Y95" s="456">
        <v>31</v>
      </c>
      <c r="Z95" s="457"/>
      <c r="AA95" s="458">
        <f t="shared" si="22"/>
        <v>1.8176719413792313</v>
      </c>
      <c r="AB95" s="459">
        <f t="shared" si="26"/>
        <v>3.3039312864773436</v>
      </c>
      <c r="AC95" s="459">
        <f t="shared" si="27"/>
        <v>0.64802503997571714</v>
      </c>
      <c r="AD95" s="459">
        <f t="shared" si="28"/>
        <v>0.41993645243552979</v>
      </c>
      <c r="AE95" s="459">
        <f t="shared" si="29"/>
        <v>58.833550904757047</v>
      </c>
      <c r="AF95" s="460">
        <f t="shared" si="30"/>
        <v>0.91132530120481925</v>
      </c>
      <c r="AG95" s="446"/>
      <c r="AH95" s="446"/>
      <c r="AI95" s="446"/>
      <c r="AJ95" s="446"/>
      <c r="AK95" s="446"/>
      <c r="AL95" s="443"/>
      <c r="AM95" s="443"/>
      <c r="AN95" s="461"/>
      <c r="AO95" s="456">
        <f t="shared" si="31"/>
        <v>111.23894845107783</v>
      </c>
      <c r="AP95" s="460">
        <f t="shared" si="32"/>
        <v>2.6391357526511356</v>
      </c>
      <c r="AQ95" s="443" t="s">
        <v>1287</v>
      </c>
      <c r="AR95" s="462" t="s">
        <v>1100</v>
      </c>
      <c r="AV95" s="349"/>
      <c r="AW95" s="349"/>
      <c r="AX95" s="349"/>
    </row>
    <row r="96" spans="1:50" s="352" customFormat="1" ht="15.75">
      <c r="A96" s="442" t="s">
        <v>1096</v>
      </c>
      <c r="B96" s="443" t="s">
        <v>1288</v>
      </c>
      <c r="C96" s="444">
        <v>2</v>
      </c>
      <c r="D96" s="445" t="s">
        <v>1286</v>
      </c>
      <c r="E96" s="446">
        <v>1980</v>
      </c>
      <c r="F96" s="444" t="s">
        <v>567</v>
      </c>
      <c r="G96" s="447"/>
      <c r="H96" s="448">
        <f t="shared" si="34"/>
        <v>505.99655266261453</v>
      </c>
      <c r="I96" s="449">
        <v>498</v>
      </c>
      <c r="J96" s="450">
        <f t="shared" si="23"/>
        <v>202.42536000000001</v>
      </c>
      <c r="K96" s="450">
        <f t="shared" si="36"/>
        <v>61.7</v>
      </c>
      <c r="L96" s="450"/>
      <c r="M96" s="450">
        <v>61.7</v>
      </c>
      <c r="N96" s="450">
        <f t="shared" si="19"/>
        <v>24.934080000000002</v>
      </c>
      <c r="O96" s="450">
        <v>7.6</v>
      </c>
      <c r="P96" s="450">
        <f t="shared" si="19"/>
        <v>8.202</v>
      </c>
      <c r="Q96" s="451">
        <v>2.5</v>
      </c>
      <c r="R96" s="452">
        <f t="shared" si="24"/>
        <v>8.1184210526315788</v>
      </c>
      <c r="S96" s="453">
        <f t="shared" si="25"/>
        <v>24.680000000000003</v>
      </c>
      <c r="T96" s="444">
        <v>53</v>
      </c>
      <c r="U96" s="454">
        <f t="shared" si="35"/>
        <v>15000</v>
      </c>
      <c r="V96" s="454">
        <v>15000</v>
      </c>
      <c r="W96" s="454"/>
      <c r="X96" s="455"/>
      <c r="Y96" s="456">
        <v>31</v>
      </c>
      <c r="Z96" s="457"/>
      <c r="AA96" s="458">
        <f t="shared" si="22"/>
        <v>1.8115371711008192</v>
      </c>
      <c r="AB96" s="459">
        <f t="shared" si="26"/>
        <v>3.281666922279959</v>
      </c>
      <c r="AC96" s="459">
        <f t="shared" si="27"/>
        <v>0.64802503997571714</v>
      </c>
      <c r="AD96" s="459">
        <f t="shared" si="28"/>
        <v>0.41993645243552979</v>
      </c>
      <c r="AE96" s="459">
        <f t="shared" si="29"/>
        <v>60.039156456084037</v>
      </c>
      <c r="AF96" s="460">
        <f t="shared" si="30"/>
        <v>1.0291999999999999</v>
      </c>
      <c r="AG96" s="446"/>
      <c r="AH96" s="446"/>
      <c r="AI96" s="446"/>
      <c r="AJ96" s="446"/>
      <c r="AK96" s="446"/>
      <c r="AL96" s="443"/>
      <c r="AM96" s="443"/>
      <c r="AN96" s="461"/>
      <c r="AO96" s="456">
        <f t="shared" si="31"/>
        <v>124.78049887620632</v>
      </c>
      <c r="AP96" s="460">
        <f t="shared" si="32"/>
        <v>2.9804928196743719</v>
      </c>
      <c r="AQ96" s="443" t="s">
        <v>1287</v>
      </c>
      <c r="AR96" s="462" t="s">
        <v>1100</v>
      </c>
      <c r="AV96" s="349"/>
      <c r="AW96" s="349"/>
      <c r="AX96" s="349"/>
    </row>
    <row r="97" spans="1:50" s="352" customFormat="1" ht="15.75">
      <c r="A97" s="442" t="s">
        <v>1096</v>
      </c>
      <c r="B97" s="443" t="s">
        <v>1289</v>
      </c>
      <c r="C97" s="444">
        <v>3</v>
      </c>
      <c r="D97" s="445" t="s">
        <v>1272</v>
      </c>
      <c r="E97" s="446">
        <v>1998</v>
      </c>
      <c r="F97" s="444">
        <v>2003</v>
      </c>
      <c r="G97" s="447"/>
      <c r="H97" s="448">
        <f t="shared" si="34"/>
        <v>558.83153406513657</v>
      </c>
      <c r="I97" s="449">
        <v>550</v>
      </c>
      <c r="J97" s="450">
        <f t="shared" si="23"/>
        <v>204.72192000000001</v>
      </c>
      <c r="K97" s="450">
        <f t="shared" si="36"/>
        <v>62.4</v>
      </c>
      <c r="L97" s="450"/>
      <c r="M97" s="450">
        <v>62.4</v>
      </c>
      <c r="N97" s="450">
        <f t="shared" si="19"/>
        <v>27.230640000000005</v>
      </c>
      <c r="O97" s="450">
        <v>8.3000000000000007</v>
      </c>
      <c r="P97" s="450">
        <f t="shared" si="19"/>
        <v>8.5300799999999999</v>
      </c>
      <c r="Q97" s="451">
        <v>2.6</v>
      </c>
      <c r="R97" s="452">
        <f t="shared" si="24"/>
        <v>7.5180722891566258</v>
      </c>
      <c r="S97" s="453">
        <f t="shared" si="25"/>
        <v>24</v>
      </c>
      <c r="T97" s="444">
        <v>46</v>
      </c>
      <c r="U97" s="454">
        <f t="shared" si="35"/>
        <v>15120</v>
      </c>
      <c r="V97" s="454">
        <v>15120</v>
      </c>
      <c r="W97" s="454"/>
      <c r="X97" s="455"/>
      <c r="Y97" s="456">
        <v>38</v>
      </c>
      <c r="Z97" s="457"/>
      <c r="AA97" s="458">
        <f t="shared" si="22"/>
        <v>2.184138938448057</v>
      </c>
      <c r="AB97" s="459">
        <f t="shared" si="26"/>
        <v>4.7704629024450051</v>
      </c>
      <c r="AC97" s="459">
        <f t="shared" si="27"/>
        <v>0.78988520166415932</v>
      </c>
      <c r="AD97" s="459">
        <f t="shared" si="28"/>
        <v>0.62391863180802964</v>
      </c>
      <c r="AE97" s="459">
        <f t="shared" si="29"/>
        <v>64.101715393494189</v>
      </c>
      <c r="AF97" s="460">
        <f t="shared" si="30"/>
        <v>1.3822751322751323</v>
      </c>
      <c r="AG97" s="446"/>
      <c r="AH97" s="446"/>
      <c r="AI97" s="446"/>
      <c r="AJ97" s="446"/>
      <c r="AK97" s="446"/>
      <c r="AL97" s="443"/>
      <c r="AM97" s="443"/>
      <c r="AN97" s="461"/>
      <c r="AO97" s="456">
        <f t="shared" si="31"/>
        <v>243.61692569533994</v>
      </c>
      <c r="AP97" s="460">
        <f t="shared" si="32"/>
        <v>5.9474003932418551</v>
      </c>
      <c r="AQ97" s="443" t="s">
        <v>1273</v>
      </c>
      <c r="AR97" s="462" t="s">
        <v>1100</v>
      </c>
      <c r="AV97" s="349"/>
      <c r="AW97" s="349"/>
      <c r="AX97" s="349"/>
    </row>
    <row r="98" spans="1:50" s="352" customFormat="1" ht="15.75">
      <c r="A98" s="442" t="s">
        <v>1096</v>
      </c>
      <c r="B98" s="443" t="s">
        <v>1290</v>
      </c>
      <c r="C98" s="444">
        <v>1</v>
      </c>
      <c r="D98" s="445" t="s">
        <v>1154</v>
      </c>
      <c r="E98" s="446">
        <v>2003</v>
      </c>
      <c r="F98" s="444" t="s">
        <v>567</v>
      </c>
      <c r="G98" s="447"/>
      <c r="H98" s="448">
        <f t="shared" si="34"/>
        <v>589.31325410505315</v>
      </c>
      <c r="I98" s="449">
        <v>580</v>
      </c>
      <c r="J98" s="450">
        <f t="shared" si="23"/>
        <v>203.40960000000001</v>
      </c>
      <c r="K98" s="450">
        <f t="shared" si="36"/>
        <v>62</v>
      </c>
      <c r="L98" s="450"/>
      <c r="M98" s="450">
        <v>62</v>
      </c>
      <c r="N98" s="450">
        <f t="shared" si="19"/>
        <v>31.1676</v>
      </c>
      <c r="O98" s="450">
        <v>9.5</v>
      </c>
      <c r="P98" s="450">
        <f t="shared" si="19"/>
        <v>8.5300799999999999</v>
      </c>
      <c r="Q98" s="451">
        <v>2.6</v>
      </c>
      <c r="R98" s="452">
        <f t="shared" si="24"/>
        <v>6.526315789473685</v>
      </c>
      <c r="S98" s="453">
        <f t="shared" si="25"/>
        <v>23.846153846153847</v>
      </c>
      <c r="T98" s="444">
        <v>45</v>
      </c>
      <c r="U98" s="454"/>
      <c r="V98" s="454"/>
      <c r="W98" s="454"/>
      <c r="X98" s="455"/>
      <c r="Y98" s="456">
        <v>34</v>
      </c>
      <c r="Z98" s="463"/>
      <c r="AA98" s="458">
        <f t="shared" si="22"/>
        <v>1.9370077776077976</v>
      </c>
      <c r="AB98" s="459">
        <f t="shared" si="26"/>
        <v>3.7519991305130991</v>
      </c>
      <c r="AC98" s="459">
        <f t="shared" si="27"/>
        <v>0.70901553015964558</v>
      </c>
      <c r="AD98" s="459">
        <f t="shared" si="28"/>
        <v>0.50270302200756334</v>
      </c>
      <c r="AE98" s="459">
        <f t="shared" si="29"/>
        <v>68.914983455986217</v>
      </c>
      <c r="AF98" s="460"/>
      <c r="AG98" s="446"/>
      <c r="AH98" s="446"/>
      <c r="AI98" s="446"/>
      <c r="AJ98" s="446"/>
      <c r="AK98" s="446"/>
      <c r="AL98" s="443"/>
      <c r="AM98" s="443"/>
      <c r="AN98" s="461"/>
      <c r="AO98" s="456"/>
      <c r="AP98" s="460"/>
      <c r="AQ98" s="443" t="s">
        <v>1291</v>
      </c>
      <c r="AR98" s="462" t="s">
        <v>1100</v>
      </c>
      <c r="AV98" s="349"/>
      <c r="AW98" s="349"/>
      <c r="AX98" s="349"/>
    </row>
    <row r="99" spans="1:50" s="352" customFormat="1" ht="15.75">
      <c r="A99" s="421" t="s">
        <v>1292</v>
      </c>
      <c r="B99" s="422" t="s">
        <v>1293</v>
      </c>
      <c r="C99" s="423">
        <v>8</v>
      </c>
      <c r="D99" s="424" t="s">
        <v>1294</v>
      </c>
      <c r="E99" s="425">
        <v>1980</v>
      </c>
      <c r="F99" s="423">
        <v>1982</v>
      </c>
      <c r="G99" s="426"/>
      <c r="H99" s="427">
        <f t="shared" si="34"/>
        <v>172.72974689286039</v>
      </c>
      <c r="I99" s="428">
        <v>170</v>
      </c>
      <c r="J99" s="429">
        <f t="shared" si="23"/>
        <v>120.07728000000002</v>
      </c>
      <c r="K99" s="429">
        <f t="shared" si="36"/>
        <v>36.6</v>
      </c>
      <c r="L99" s="429"/>
      <c r="M99" s="429">
        <v>36.6</v>
      </c>
      <c r="N99" s="429">
        <f t="shared" si="19"/>
        <v>20.669039999999999</v>
      </c>
      <c r="O99" s="429">
        <v>6.3</v>
      </c>
      <c r="P99" s="429">
        <f t="shared" si="19"/>
        <v>5.5773600000000005</v>
      </c>
      <c r="Q99" s="430">
        <v>1.7</v>
      </c>
      <c r="R99" s="431">
        <f t="shared" si="24"/>
        <v>5.8095238095238102</v>
      </c>
      <c r="S99" s="432">
        <f t="shared" si="25"/>
        <v>21.529411764705884</v>
      </c>
      <c r="T99" s="423">
        <v>22</v>
      </c>
      <c r="U99" s="433">
        <f t="shared" ref="U99:U112" si="37">IF(V99="",W99,V99)</f>
        <v>5800</v>
      </c>
      <c r="V99" s="433">
        <v>5800</v>
      </c>
      <c r="W99" s="433">
        <f t="shared" ref="W99:W107" si="38">X99/0.7457</f>
        <v>5712.7531178758209</v>
      </c>
      <c r="X99" s="434">
        <v>4260</v>
      </c>
      <c r="Y99" s="435">
        <v>36</v>
      </c>
      <c r="Z99" s="436"/>
      <c r="AA99" s="437">
        <f t="shared" si="22"/>
        <v>2.5164296498508452</v>
      </c>
      <c r="AB99" s="438">
        <f t="shared" si="26"/>
        <v>6.3324181826484471</v>
      </c>
      <c r="AC99" s="438">
        <f t="shared" si="27"/>
        <v>0.97709014679369588</v>
      </c>
      <c r="AD99" s="438">
        <f t="shared" si="28"/>
        <v>0.95470515496132613</v>
      </c>
      <c r="AE99" s="438">
        <f t="shared" si="29"/>
        <v>98.189804732121047</v>
      </c>
      <c r="AF99" s="439">
        <f t="shared" si="30"/>
        <v>1.0551724137931036</v>
      </c>
      <c r="AG99" s="436">
        <v>550</v>
      </c>
      <c r="AH99" s="425"/>
      <c r="AI99" s="425"/>
      <c r="AJ99" s="425"/>
      <c r="AK99" s="425">
        <v>2</v>
      </c>
      <c r="AL99" s="422" t="s">
        <v>1080</v>
      </c>
      <c r="AM99" s="422">
        <v>4</v>
      </c>
      <c r="AN99" s="440"/>
      <c r="AO99" s="435">
        <f t="shared" si="31"/>
        <v>246.85700541337096</v>
      </c>
      <c r="AP99" s="439">
        <f t="shared" si="32"/>
        <v>6.9470019927856113</v>
      </c>
      <c r="AQ99" s="422" t="s">
        <v>1135</v>
      </c>
      <c r="AR99" s="441" t="s">
        <v>1090</v>
      </c>
      <c r="AV99" s="349"/>
      <c r="AW99" s="349"/>
      <c r="AX99" s="349"/>
    </row>
    <row r="100" spans="1:50" s="352" customFormat="1" ht="15.75">
      <c r="A100" s="421" t="s">
        <v>1292</v>
      </c>
      <c r="B100" s="422" t="s">
        <v>1295</v>
      </c>
      <c r="C100" s="423">
        <v>2</v>
      </c>
      <c r="D100" s="424" t="s">
        <v>1296</v>
      </c>
      <c r="E100" s="425">
        <v>1982</v>
      </c>
      <c r="F100" s="423" t="s">
        <v>567</v>
      </c>
      <c r="G100" s="426"/>
      <c r="H100" s="427">
        <f t="shared" si="34"/>
        <v>208.29175360609636</v>
      </c>
      <c r="I100" s="428">
        <v>205</v>
      </c>
      <c r="J100" s="429">
        <f t="shared" si="23"/>
        <v>126.3108</v>
      </c>
      <c r="K100" s="429">
        <f t="shared" si="36"/>
        <v>38.5</v>
      </c>
      <c r="L100" s="429"/>
      <c r="M100" s="429">
        <v>38.5</v>
      </c>
      <c r="N100" s="429">
        <f t="shared" si="19"/>
        <v>22.965600000000002</v>
      </c>
      <c r="O100" s="429">
        <v>7</v>
      </c>
      <c r="P100" s="429">
        <f t="shared" si="19"/>
        <v>7.2177600000000011</v>
      </c>
      <c r="Q100" s="430">
        <v>2.2000000000000002</v>
      </c>
      <c r="R100" s="431">
        <f t="shared" si="24"/>
        <v>5.4999999999999991</v>
      </c>
      <c r="S100" s="432">
        <f t="shared" si="25"/>
        <v>17.499999999999996</v>
      </c>
      <c r="T100" s="423">
        <v>27</v>
      </c>
      <c r="U100" s="433">
        <f t="shared" si="37"/>
        <v>6810</v>
      </c>
      <c r="V100" s="433">
        <v>6810</v>
      </c>
      <c r="W100" s="433">
        <f>X100/0.7457</f>
        <v>6705.1092932814799</v>
      </c>
      <c r="X100" s="434">
        <v>5000</v>
      </c>
      <c r="Y100" s="435">
        <v>32</v>
      </c>
      <c r="Z100" s="436"/>
      <c r="AA100" s="437">
        <f t="shared" si="22"/>
        <v>2.1681106757026658</v>
      </c>
      <c r="AB100" s="438">
        <f t="shared" si="26"/>
        <v>4.7007039020958699</v>
      </c>
      <c r="AC100" s="438">
        <f t="shared" si="27"/>
        <v>0.84682230619655818</v>
      </c>
      <c r="AD100" s="438">
        <f t="shared" si="28"/>
        <v>0.71710801827205739</v>
      </c>
      <c r="AE100" s="438">
        <f t="shared" si="29"/>
        <v>101.72610209935796</v>
      </c>
      <c r="AF100" s="439">
        <f t="shared" si="30"/>
        <v>0.96328928046989726</v>
      </c>
      <c r="AG100" s="436">
        <v>1100</v>
      </c>
      <c r="AH100" s="425"/>
      <c r="AI100" s="425"/>
      <c r="AJ100" s="425"/>
      <c r="AK100" s="425">
        <v>2</v>
      </c>
      <c r="AL100" s="422" t="s">
        <v>1080</v>
      </c>
      <c r="AM100" s="422">
        <v>4</v>
      </c>
      <c r="AN100" s="440"/>
      <c r="AO100" s="435">
        <f t="shared" si="31"/>
        <v>167.29080221402376</v>
      </c>
      <c r="AP100" s="439">
        <f t="shared" si="32"/>
        <v>4.7637178780651901</v>
      </c>
      <c r="AQ100" s="422" t="s">
        <v>1191</v>
      </c>
      <c r="AR100" s="441" t="s">
        <v>1090</v>
      </c>
      <c r="AV100" s="349"/>
      <c r="AW100" s="349"/>
      <c r="AX100" s="349"/>
    </row>
    <row r="101" spans="1:50" s="352" customFormat="1" ht="15.75">
      <c r="A101" s="421" t="s">
        <v>1292</v>
      </c>
      <c r="B101" s="422" t="s">
        <v>1297</v>
      </c>
      <c r="C101" s="423">
        <v>3</v>
      </c>
      <c r="D101" s="424" t="s">
        <v>1298</v>
      </c>
      <c r="E101" s="425">
        <v>1964</v>
      </c>
      <c r="F101" s="423">
        <v>1981</v>
      </c>
      <c r="G101" s="426"/>
      <c r="H101" s="427">
        <f t="shared" si="34"/>
        <v>213.37204027941578</v>
      </c>
      <c r="I101" s="428">
        <v>210</v>
      </c>
      <c r="J101" s="429">
        <f t="shared" si="23"/>
        <v>126.63888000000001</v>
      </c>
      <c r="K101" s="429">
        <f t="shared" si="36"/>
        <v>38.6</v>
      </c>
      <c r="L101" s="429"/>
      <c r="M101" s="429">
        <v>38.6</v>
      </c>
      <c r="N101" s="429">
        <f t="shared" si="19"/>
        <v>24.934080000000002</v>
      </c>
      <c r="O101" s="429">
        <v>7.6</v>
      </c>
      <c r="P101" s="429">
        <f t="shared" si="19"/>
        <v>8.8581600000000016</v>
      </c>
      <c r="Q101" s="430">
        <v>2.7</v>
      </c>
      <c r="R101" s="431">
        <f t="shared" si="24"/>
        <v>5.0789473684210531</v>
      </c>
      <c r="S101" s="432">
        <f t="shared" si="25"/>
        <v>14.296296296296296</v>
      </c>
      <c r="T101" s="423">
        <v>30</v>
      </c>
      <c r="U101" s="433">
        <f t="shared" si="37"/>
        <v>8025</v>
      </c>
      <c r="V101" s="433">
        <v>8025</v>
      </c>
      <c r="W101" s="433">
        <f t="shared" si="38"/>
        <v>7912.0289660721464</v>
      </c>
      <c r="X101" s="434">
        <v>5900</v>
      </c>
      <c r="Y101" s="435">
        <v>35</v>
      </c>
      <c r="Z101" s="436"/>
      <c r="AA101" s="437">
        <f t="shared" si="22"/>
        <v>2.3618661121023545</v>
      </c>
      <c r="AB101" s="438">
        <f t="shared" si="26"/>
        <v>5.5784115314974922</v>
      </c>
      <c r="AC101" s="438">
        <f t="shared" si="27"/>
        <v>0.92501136300626896</v>
      </c>
      <c r="AD101" s="438">
        <f t="shared" si="28"/>
        <v>0.85564602169071546</v>
      </c>
      <c r="AE101" s="438">
        <f t="shared" si="29"/>
        <v>103.39942219289344</v>
      </c>
      <c r="AF101" s="439">
        <f t="shared" si="30"/>
        <v>0.91588785046728971</v>
      </c>
      <c r="AG101" s="436">
        <v>400</v>
      </c>
      <c r="AH101" s="425"/>
      <c r="AI101" s="425"/>
      <c r="AJ101" s="425"/>
      <c r="AK101" s="425">
        <v>3</v>
      </c>
      <c r="AL101" s="422" t="s">
        <v>1080</v>
      </c>
      <c r="AM101" s="422">
        <v>4</v>
      </c>
      <c r="AN101" s="440"/>
      <c r="AO101" s="435">
        <f t="shared" si="31"/>
        <v>188.75796582437744</v>
      </c>
      <c r="AP101" s="439">
        <f t="shared" si="32"/>
        <v>5.4043212973905188</v>
      </c>
      <c r="AQ101" s="422" t="s">
        <v>1089</v>
      </c>
      <c r="AR101" s="441" t="s">
        <v>1090</v>
      </c>
      <c r="AV101" s="349"/>
      <c r="AW101" s="349"/>
      <c r="AX101" s="349"/>
    </row>
    <row r="102" spans="1:50" s="352" customFormat="1" ht="15.75">
      <c r="A102" s="421" t="s">
        <v>1292</v>
      </c>
      <c r="B102" s="422" t="s">
        <v>1299</v>
      </c>
      <c r="C102" s="423">
        <v>6</v>
      </c>
      <c r="D102" s="424" t="s">
        <v>1300</v>
      </c>
      <c r="E102" s="425">
        <v>1973</v>
      </c>
      <c r="F102" s="423">
        <v>1976</v>
      </c>
      <c r="G102" s="426"/>
      <c r="H102" s="427">
        <f t="shared" si="34"/>
        <v>233.69318697269347</v>
      </c>
      <c r="I102" s="428">
        <v>230</v>
      </c>
      <c r="J102" s="429">
        <f t="shared" si="23"/>
        <v>143.04288000000003</v>
      </c>
      <c r="K102" s="429">
        <f t="shared" si="36"/>
        <v>43.6</v>
      </c>
      <c r="L102" s="429"/>
      <c r="M102" s="429">
        <v>43.6</v>
      </c>
      <c r="N102" s="429">
        <f t="shared" si="19"/>
        <v>23.293679999999998</v>
      </c>
      <c r="O102" s="429">
        <v>7.1</v>
      </c>
      <c r="P102" s="429">
        <f t="shared" si="19"/>
        <v>7.87392</v>
      </c>
      <c r="Q102" s="430">
        <v>2.4</v>
      </c>
      <c r="R102" s="431">
        <f t="shared" si="24"/>
        <v>6.1408450704225368</v>
      </c>
      <c r="S102" s="432">
        <f t="shared" si="25"/>
        <v>18.166666666666671</v>
      </c>
      <c r="T102" s="423">
        <v>27</v>
      </c>
      <c r="U102" s="433">
        <f t="shared" si="37"/>
        <v>12750</v>
      </c>
      <c r="V102" s="433">
        <v>12750</v>
      </c>
      <c r="W102" s="433">
        <f t="shared" si="38"/>
        <v>12739.707657234812</v>
      </c>
      <c r="X102" s="434">
        <v>9500</v>
      </c>
      <c r="Y102" s="435">
        <v>40.5</v>
      </c>
      <c r="Z102" s="436"/>
      <c r="AA102" s="437">
        <f t="shared" si="22"/>
        <v>2.6918911642423904</v>
      </c>
      <c r="AB102" s="438">
        <f t="shared" si="26"/>
        <v>7.2462780401262519</v>
      </c>
      <c r="AC102" s="438">
        <f t="shared" si="27"/>
        <v>1.0071274990344241</v>
      </c>
      <c r="AD102" s="438">
        <f t="shared" si="28"/>
        <v>1.014305799311334</v>
      </c>
      <c r="AE102" s="438">
        <f t="shared" si="29"/>
        <v>78.583089543843457</v>
      </c>
      <c r="AF102" s="439">
        <f t="shared" si="30"/>
        <v>0.73058823529411765</v>
      </c>
      <c r="AG102" s="436">
        <v>500</v>
      </c>
      <c r="AH102" s="425"/>
      <c r="AI102" s="425"/>
      <c r="AJ102" s="425"/>
      <c r="AK102" s="425">
        <v>3</v>
      </c>
      <c r="AL102" s="422" t="s">
        <v>830</v>
      </c>
      <c r="AM102" s="422">
        <v>4</v>
      </c>
      <c r="AN102" s="440"/>
      <c r="AO102" s="435">
        <f t="shared" si="31"/>
        <v>195.58705563969505</v>
      </c>
      <c r="AP102" s="439">
        <f t="shared" si="32"/>
        <v>5.1102989907230443</v>
      </c>
      <c r="AQ102" s="422" t="s">
        <v>1301</v>
      </c>
      <c r="AR102" s="441" t="s">
        <v>1090</v>
      </c>
      <c r="AV102" s="349"/>
      <c r="AW102" s="349"/>
      <c r="AX102" s="349"/>
    </row>
    <row r="103" spans="1:50" s="352" customFormat="1" ht="15.75">
      <c r="A103" s="521" t="s">
        <v>1292</v>
      </c>
      <c r="B103" s="522" t="s">
        <v>1302</v>
      </c>
      <c r="C103" s="523">
        <v>42</v>
      </c>
      <c r="D103" s="524" t="s">
        <v>1303</v>
      </c>
      <c r="E103" s="525">
        <v>1975</v>
      </c>
      <c r="F103" s="523">
        <v>1984</v>
      </c>
      <c r="G103" s="526" t="s">
        <v>1186</v>
      </c>
      <c r="H103" s="527">
        <f t="shared" si="34"/>
        <v>248.93404699265173</v>
      </c>
      <c r="I103" s="528">
        <v>245</v>
      </c>
      <c r="J103" s="529">
        <f t="shared" si="23"/>
        <v>126.63888000000001</v>
      </c>
      <c r="K103" s="529">
        <f>IF(M103="",#REF!,M103)</f>
        <v>38.6</v>
      </c>
      <c r="L103" s="529">
        <v>38.588149231894654</v>
      </c>
      <c r="M103" s="529">
        <v>38.6</v>
      </c>
      <c r="N103" s="529">
        <f t="shared" si="19"/>
        <v>24.934080000000002</v>
      </c>
      <c r="O103" s="529">
        <v>7.6</v>
      </c>
      <c r="P103" s="529">
        <f t="shared" si="19"/>
        <v>8.8581600000000016</v>
      </c>
      <c r="Q103" s="530">
        <v>2.7</v>
      </c>
      <c r="R103" s="531">
        <f t="shared" si="24"/>
        <v>5.0789473684210531</v>
      </c>
      <c r="S103" s="532">
        <f t="shared" si="25"/>
        <v>14.296296296296296</v>
      </c>
      <c r="T103" s="523">
        <v>30</v>
      </c>
      <c r="U103" s="533">
        <f t="shared" si="37"/>
        <v>10800</v>
      </c>
      <c r="V103" s="533">
        <v>10800</v>
      </c>
      <c r="W103" s="533">
        <f t="shared" si="38"/>
        <v>10647.713557730991</v>
      </c>
      <c r="X103" s="534">
        <v>7940</v>
      </c>
      <c r="Y103" s="535">
        <v>37</v>
      </c>
      <c r="Z103" s="536"/>
      <c r="AA103" s="537">
        <f t="shared" si="22"/>
        <v>2.4334989120752724</v>
      </c>
      <c r="AB103" s="538">
        <f t="shared" si="26"/>
        <v>5.9219169550715343</v>
      </c>
      <c r="AC103" s="538">
        <f t="shared" si="27"/>
        <v>0.97786915517805584</v>
      </c>
      <c r="AD103" s="538">
        <f t="shared" si="28"/>
        <v>0.95622808464864462</v>
      </c>
      <c r="AE103" s="538">
        <f t="shared" si="29"/>
        <v>120.63265922504235</v>
      </c>
      <c r="AF103" s="539">
        <f t="shared" si="30"/>
        <v>0.8393518518518519</v>
      </c>
      <c r="AG103" s="536">
        <v>800</v>
      </c>
      <c r="AH103" s="536">
        <v>30</v>
      </c>
      <c r="AI103" s="536">
        <v>500</v>
      </c>
      <c r="AJ103" s="536">
        <v>35</v>
      </c>
      <c r="AK103" s="525">
        <v>3</v>
      </c>
      <c r="AL103" s="522" t="s">
        <v>1080</v>
      </c>
      <c r="AM103" s="522">
        <v>4</v>
      </c>
      <c r="AN103" s="540"/>
      <c r="AO103" s="535">
        <f t="shared" si="31"/>
        <v>183.63641522349215</v>
      </c>
      <c r="AP103" s="539">
        <f t="shared" si="32"/>
        <v>5.5349063254741582</v>
      </c>
      <c r="AQ103" s="522" t="s">
        <v>1089</v>
      </c>
      <c r="AR103" s="541" t="s">
        <v>1304</v>
      </c>
      <c r="AV103" s="349"/>
      <c r="AW103" s="349"/>
      <c r="AX103" s="349"/>
    </row>
    <row r="104" spans="1:50" s="352" customFormat="1" ht="15.75">
      <c r="A104" s="521" t="s">
        <v>1292</v>
      </c>
      <c r="B104" s="522" t="s">
        <v>1305</v>
      </c>
      <c r="C104" s="523">
        <v>4</v>
      </c>
      <c r="D104" s="524" t="s">
        <v>1306</v>
      </c>
      <c r="E104" s="525">
        <v>1990</v>
      </c>
      <c r="F104" s="523">
        <v>1992</v>
      </c>
      <c r="G104" s="526" t="s">
        <v>1307</v>
      </c>
      <c r="H104" s="527">
        <f t="shared" si="34"/>
        <v>251.98221899664338</v>
      </c>
      <c r="I104" s="528">
        <v>248</v>
      </c>
      <c r="J104" s="529">
        <f t="shared" si="23"/>
        <v>157.47840000000002</v>
      </c>
      <c r="K104" s="529">
        <f>IF(M104="",#REF!,M104)</f>
        <v>48</v>
      </c>
      <c r="L104" s="529">
        <v>48.006583760058518</v>
      </c>
      <c r="M104" s="529">
        <v>48</v>
      </c>
      <c r="N104" s="529">
        <f t="shared" si="19"/>
        <v>26.246400000000001</v>
      </c>
      <c r="O104" s="529">
        <v>8</v>
      </c>
      <c r="P104" s="529">
        <f t="shared" si="19"/>
        <v>4.9212000000000007</v>
      </c>
      <c r="Q104" s="530">
        <v>1.5</v>
      </c>
      <c r="R104" s="531">
        <f t="shared" si="24"/>
        <v>6.0000000000000009</v>
      </c>
      <c r="S104" s="532">
        <f t="shared" si="25"/>
        <v>32</v>
      </c>
      <c r="T104" s="523">
        <v>19</v>
      </c>
      <c r="U104" s="533">
        <f t="shared" si="37"/>
        <v>7510</v>
      </c>
      <c r="V104" s="533">
        <v>7510</v>
      </c>
      <c r="W104" s="533">
        <v>7510</v>
      </c>
      <c r="X104" s="534"/>
      <c r="Y104" s="535">
        <v>30</v>
      </c>
      <c r="Z104" s="536"/>
      <c r="AA104" s="537">
        <f t="shared" si="22"/>
        <v>1.9691089871408007</v>
      </c>
      <c r="AB104" s="538">
        <f t="shared" si="26"/>
        <v>3.87739020323867</v>
      </c>
      <c r="AC104" s="538">
        <f t="shared" si="27"/>
        <v>0.71100607546338246</v>
      </c>
      <c r="AD104" s="538">
        <f t="shared" si="28"/>
        <v>0.50552963934584116</v>
      </c>
      <c r="AE104" s="538">
        <f t="shared" si="29"/>
        <v>63.502189531704843</v>
      </c>
      <c r="AF104" s="539">
        <f t="shared" si="30"/>
        <v>0.99067909454061254</v>
      </c>
      <c r="AG104" s="536"/>
      <c r="AH104" s="536"/>
      <c r="AI104" s="536"/>
      <c r="AJ104" s="536"/>
      <c r="AK104" s="525">
        <v>2</v>
      </c>
      <c r="AL104" s="522"/>
      <c r="AM104" s="522"/>
      <c r="AN104" s="540"/>
      <c r="AO104" s="535">
        <f t="shared" si="31"/>
        <v>141.91390406759641</v>
      </c>
      <c r="AP104" s="539">
        <f t="shared" si="32"/>
        <v>3.4536979223994919</v>
      </c>
      <c r="AQ104" s="522" t="s">
        <v>1308</v>
      </c>
      <c r="AR104" s="541" t="s">
        <v>1304</v>
      </c>
      <c r="AV104" s="349"/>
      <c r="AW104" s="349"/>
      <c r="AX104" s="349"/>
    </row>
    <row r="105" spans="1:50" s="352" customFormat="1" ht="15.75">
      <c r="A105" s="521" t="s">
        <v>1292</v>
      </c>
      <c r="B105" s="522" t="s">
        <v>1309</v>
      </c>
      <c r="C105" s="523">
        <v>2</v>
      </c>
      <c r="D105" s="524" t="s">
        <v>1306</v>
      </c>
      <c r="E105" s="525">
        <v>1998</v>
      </c>
      <c r="F105" s="523">
        <v>2002</v>
      </c>
      <c r="G105" s="526" t="s">
        <v>1307</v>
      </c>
      <c r="H105" s="527">
        <v>274</v>
      </c>
      <c r="I105" s="528">
        <v>270</v>
      </c>
      <c r="J105" s="529">
        <f t="shared" si="23"/>
        <v>166.66463999999999</v>
      </c>
      <c r="K105" s="529">
        <v>50.8</v>
      </c>
      <c r="L105" s="529">
        <v>49.987807851743476</v>
      </c>
      <c r="M105" s="529">
        <v>50.8</v>
      </c>
      <c r="N105" s="529">
        <f t="shared" si="19"/>
        <v>27.230640000000005</v>
      </c>
      <c r="O105" s="529">
        <v>8.3000000000000007</v>
      </c>
      <c r="P105" s="529">
        <f t="shared" si="19"/>
        <v>6.5616000000000003</v>
      </c>
      <c r="Q105" s="530">
        <v>2</v>
      </c>
      <c r="R105" s="531">
        <f t="shared" si="24"/>
        <v>6.1204819277108422</v>
      </c>
      <c r="S105" s="532">
        <f t="shared" si="25"/>
        <v>25.4</v>
      </c>
      <c r="T105" s="523">
        <v>21</v>
      </c>
      <c r="U105" s="533">
        <f t="shared" si="37"/>
        <v>7510</v>
      </c>
      <c r="V105" s="533">
        <f>IF(W105="",#REF!,W105)</f>
        <v>7510</v>
      </c>
      <c r="W105" s="533">
        <v>7510</v>
      </c>
      <c r="X105" s="534">
        <v>5520</v>
      </c>
      <c r="Y105" s="535">
        <v>32</v>
      </c>
      <c r="Z105" s="536"/>
      <c r="AA105" s="537">
        <f t="shared" si="22"/>
        <v>2.0712619805709669</v>
      </c>
      <c r="AB105" s="538">
        <f t="shared" si="26"/>
        <v>4.2901261921587643</v>
      </c>
      <c r="AC105" s="538">
        <f t="shared" si="27"/>
        <v>0.73720928747063208</v>
      </c>
      <c r="AD105" s="538">
        <f t="shared" si="28"/>
        <v>0.54347753353295702</v>
      </c>
      <c r="AE105" s="538">
        <f t="shared" si="29"/>
        <v>58.322127565342186</v>
      </c>
      <c r="AF105" s="539">
        <f t="shared" si="30"/>
        <v>1.1504660452729694</v>
      </c>
      <c r="AG105" s="536">
        <v>500</v>
      </c>
      <c r="AH105" s="536">
        <v>30</v>
      </c>
      <c r="AI105" s="536"/>
      <c r="AJ105" s="536"/>
      <c r="AK105" s="525">
        <v>2</v>
      </c>
      <c r="AL105" s="522" t="s">
        <v>1080</v>
      </c>
      <c r="AM105" s="522">
        <v>2</v>
      </c>
      <c r="AN105" s="540" t="s">
        <v>1310</v>
      </c>
      <c r="AO105" s="535">
        <f t="shared" si="31"/>
        <v>182.271670585674</v>
      </c>
      <c r="AP105" s="539">
        <f t="shared" si="32"/>
        <v>4.3118150947873977</v>
      </c>
      <c r="AQ105" s="522" t="s">
        <v>1311</v>
      </c>
      <c r="AR105" s="541" t="s">
        <v>1304</v>
      </c>
      <c r="AV105" s="349"/>
      <c r="AW105" s="349"/>
      <c r="AX105" s="349"/>
    </row>
    <row r="106" spans="1:50" s="352" customFormat="1" ht="15.75">
      <c r="A106" s="521" t="s">
        <v>1292</v>
      </c>
      <c r="B106" s="522" t="s">
        <v>1312</v>
      </c>
      <c r="C106" s="523">
        <v>4</v>
      </c>
      <c r="D106" s="524" t="s">
        <v>1306</v>
      </c>
      <c r="E106" s="525">
        <v>1981</v>
      </c>
      <c r="F106" s="523">
        <v>1986</v>
      </c>
      <c r="G106" s="526" t="s">
        <v>1307</v>
      </c>
      <c r="H106" s="527">
        <f t="shared" si="34"/>
        <v>304.81720039916542</v>
      </c>
      <c r="I106" s="528">
        <v>300</v>
      </c>
      <c r="J106" s="529">
        <f t="shared" si="23"/>
        <v>147.636</v>
      </c>
      <c r="K106" s="529">
        <f>IF(M106="",#REF!,M106)</f>
        <v>45</v>
      </c>
      <c r="L106" s="529">
        <v>44.989027066569129</v>
      </c>
      <c r="M106" s="529">
        <v>45</v>
      </c>
      <c r="N106" s="529">
        <f t="shared" si="19"/>
        <v>29.199120000000004</v>
      </c>
      <c r="O106" s="529">
        <v>8.9</v>
      </c>
      <c r="P106" s="529">
        <f t="shared" si="19"/>
        <v>9.8424000000000014</v>
      </c>
      <c r="Q106" s="530">
        <v>3</v>
      </c>
      <c r="R106" s="531">
        <f t="shared" si="24"/>
        <v>5.0561797752808983</v>
      </c>
      <c r="S106" s="532">
        <f t="shared" si="25"/>
        <v>14.999999999999998</v>
      </c>
      <c r="T106" s="523">
        <v>30</v>
      </c>
      <c r="U106" s="533">
        <f t="shared" si="37"/>
        <v>10230</v>
      </c>
      <c r="V106" s="533">
        <v>10230</v>
      </c>
      <c r="W106" s="533">
        <f t="shared" si="38"/>
        <v>10084.484377095347</v>
      </c>
      <c r="X106" s="534">
        <v>7520</v>
      </c>
      <c r="Y106" s="535">
        <v>30</v>
      </c>
      <c r="Z106" s="536"/>
      <c r="AA106" s="537">
        <f t="shared" si="22"/>
        <v>1.9076183527014858</v>
      </c>
      <c r="AB106" s="538">
        <f t="shared" si="26"/>
        <v>3.6390077795635305</v>
      </c>
      <c r="AC106" s="538">
        <f t="shared" si="27"/>
        <v>0.73432391715252643</v>
      </c>
      <c r="AD106" s="538">
        <f t="shared" si="28"/>
        <v>0.53923161530223052</v>
      </c>
      <c r="AE106" s="538">
        <f t="shared" si="29"/>
        <v>93.227587212137323</v>
      </c>
      <c r="AF106" s="539">
        <f t="shared" si="30"/>
        <v>0.87976539589442815</v>
      </c>
      <c r="AG106" s="536">
        <v>300</v>
      </c>
      <c r="AH106" s="536"/>
      <c r="AI106" s="536"/>
      <c r="AJ106" s="536"/>
      <c r="AK106" s="525">
        <v>3</v>
      </c>
      <c r="AL106" s="522" t="s">
        <v>1080</v>
      </c>
      <c r="AM106" s="522">
        <v>4</v>
      </c>
      <c r="AN106" s="540"/>
      <c r="AO106" s="535">
        <f t="shared" si="31"/>
        <v>118.27754463054094</v>
      </c>
      <c r="AP106" s="539">
        <f t="shared" si="32"/>
        <v>3.2715001919995195</v>
      </c>
      <c r="AQ106" s="522" t="s">
        <v>1313</v>
      </c>
      <c r="AR106" s="541" t="s">
        <v>1304</v>
      </c>
      <c r="AV106" s="349"/>
      <c r="AW106" s="349"/>
      <c r="AX106" s="349"/>
    </row>
    <row r="107" spans="1:50" s="352" customFormat="1" ht="15.75">
      <c r="A107" s="421" t="s">
        <v>1292</v>
      </c>
      <c r="B107" s="422" t="s">
        <v>1314</v>
      </c>
      <c r="C107" s="423">
        <v>6</v>
      </c>
      <c r="D107" s="424" t="s">
        <v>1315</v>
      </c>
      <c r="E107" s="425">
        <v>1981</v>
      </c>
      <c r="F107" s="423">
        <v>1982</v>
      </c>
      <c r="G107" s="426"/>
      <c r="H107" s="427">
        <f t="shared" si="34"/>
        <v>311.92960174181258</v>
      </c>
      <c r="I107" s="428">
        <v>307</v>
      </c>
      <c r="J107" s="429">
        <f t="shared" si="23"/>
        <v>170.60160000000002</v>
      </c>
      <c r="K107" s="429">
        <f t="shared" ref="K107:K170" si="39">IF(M107="",L107,M107)</f>
        <v>52</v>
      </c>
      <c r="L107" s="429"/>
      <c r="M107" s="429">
        <v>52</v>
      </c>
      <c r="N107" s="429">
        <f t="shared" si="19"/>
        <v>24.934080000000002</v>
      </c>
      <c r="O107" s="429">
        <v>7.6</v>
      </c>
      <c r="P107" s="429">
        <f t="shared" si="19"/>
        <v>7.5458400000000001</v>
      </c>
      <c r="Q107" s="430">
        <v>2.2999999999999998</v>
      </c>
      <c r="R107" s="431">
        <f t="shared" si="24"/>
        <v>6.8421052631578947</v>
      </c>
      <c r="S107" s="432">
        <f t="shared" si="25"/>
        <v>22.608695652173914</v>
      </c>
      <c r="T107" s="423">
        <v>30</v>
      </c>
      <c r="U107" s="433">
        <f t="shared" si="37"/>
        <v>15360</v>
      </c>
      <c r="V107" s="433">
        <v>15360</v>
      </c>
      <c r="W107" s="433">
        <f t="shared" si="38"/>
        <v>15140.136784229582</v>
      </c>
      <c r="X107" s="434">
        <v>11290</v>
      </c>
      <c r="Y107" s="435">
        <v>40</v>
      </c>
      <c r="Z107" s="436"/>
      <c r="AA107" s="437">
        <f t="shared" si="22"/>
        <v>2.5337321871449698</v>
      </c>
      <c r="AB107" s="438">
        <f t="shared" si="26"/>
        <v>6.4197987961744323</v>
      </c>
      <c r="AC107" s="438">
        <f t="shared" si="27"/>
        <v>0.91081672166521521</v>
      </c>
      <c r="AD107" s="438">
        <f t="shared" si="28"/>
        <v>0.82958710046497008</v>
      </c>
      <c r="AE107" s="438">
        <f t="shared" si="29"/>
        <v>61.828552017067437</v>
      </c>
      <c r="AF107" s="439">
        <f t="shared" si="30"/>
        <v>0.79947916666666663</v>
      </c>
      <c r="AG107" s="436">
        <v>1600</v>
      </c>
      <c r="AH107" s="425"/>
      <c r="AI107" s="425"/>
      <c r="AJ107" s="425"/>
      <c r="AK107" s="425">
        <v>4</v>
      </c>
      <c r="AL107" s="422" t="s">
        <v>1080</v>
      </c>
      <c r="AM107" s="422">
        <v>4</v>
      </c>
      <c r="AN107" s="440"/>
      <c r="AO107" s="435">
        <f t="shared" si="31"/>
        <v>189.61863180975163</v>
      </c>
      <c r="AP107" s="439">
        <f t="shared" si="32"/>
        <v>4.5737652323698397</v>
      </c>
      <c r="AQ107" s="422" t="s">
        <v>1172</v>
      </c>
      <c r="AR107" s="441" t="s">
        <v>1090</v>
      </c>
      <c r="AV107" s="349"/>
      <c r="AW107" s="349"/>
      <c r="AX107" s="349"/>
    </row>
    <row r="108" spans="1:50" s="352" customFormat="1" ht="15.75">
      <c r="A108" s="421" t="s">
        <v>1292</v>
      </c>
      <c r="B108" s="422" t="s">
        <v>1316</v>
      </c>
      <c r="C108" s="423">
        <v>95</v>
      </c>
      <c r="D108" s="424" t="s">
        <v>1107</v>
      </c>
      <c r="E108" s="425">
        <v>1963</v>
      </c>
      <c r="F108" s="423">
        <v>1964</v>
      </c>
      <c r="G108" s="426"/>
      <c r="H108" s="427">
        <f t="shared" si="34"/>
        <v>398.29447518824276</v>
      </c>
      <c r="I108" s="428">
        <v>392</v>
      </c>
      <c r="J108" s="429">
        <f t="shared" si="23"/>
        <v>192.91104000000001</v>
      </c>
      <c r="K108" s="429">
        <f t="shared" si="39"/>
        <v>58.8</v>
      </c>
      <c r="L108" s="429"/>
      <c r="M108" s="429">
        <v>58.8</v>
      </c>
      <c r="N108" s="429">
        <f t="shared" si="19"/>
        <v>23.621760000000002</v>
      </c>
      <c r="O108" s="429">
        <v>7.2</v>
      </c>
      <c r="P108" s="429">
        <f t="shared" si="19"/>
        <v>7.2177600000000011</v>
      </c>
      <c r="Q108" s="430">
        <v>2.2000000000000002</v>
      </c>
      <c r="R108" s="431">
        <f t="shared" si="24"/>
        <v>8.1666666666666661</v>
      </c>
      <c r="S108" s="432">
        <f t="shared" si="25"/>
        <v>26.727272727272727</v>
      </c>
      <c r="T108" s="423">
        <v>78</v>
      </c>
      <c r="U108" s="433">
        <f t="shared" si="37"/>
        <v>4000</v>
      </c>
      <c r="V108" s="433">
        <v>4000</v>
      </c>
      <c r="W108" s="433">
        <f>X108/0.7457</f>
        <v>3942.6042644495105</v>
      </c>
      <c r="X108" s="434">
        <v>2940</v>
      </c>
      <c r="Y108" s="435">
        <v>30.5</v>
      </c>
      <c r="Z108" s="436"/>
      <c r="AA108" s="437">
        <f t="shared" si="22"/>
        <v>1.8548520509735185</v>
      </c>
      <c r="AB108" s="438">
        <f t="shared" si="26"/>
        <v>3.440476131000668</v>
      </c>
      <c r="AC108" s="438">
        <f t="shared" si="27"/>
        <v>0.65310626833139374</v>
      </c>
      <c r="AD108" s="438">
        <f t="shared" si="28"/>
        <v>0.42654779773375845</v>
      </c>
      <c r="AE108" s="438">
        <f t="shared" si="29"/>
        <v>54.602788220353212</v>
      </c>
      <c r="AF108" s="439">
        <f t="shared" si="30"/>
        <v>2.9889999999999999</v>
      </c>
      <c r="AG108" s="436">
        <v>1300</v>
      </c>
      <c r="AH108" s="425"/>
      <c r="AI108" s="425"/>
      <c r="AJ108" s="425"/>
      <c r="AK108" s="425">
        <v>4</v>
      </c>
      <c r="AL108" s="422" t="s">
        <v>1080</v>
      </c>
      <c r="AM108" s="422">
        <v>4</v>
      </c>
      <c r="AN108" s="440"/>
      <c r="AO108" s="435">
        <f t="shared" si="31"/>
        <v>379.92415369725211</v>
      </c>
      <c r="AP108" s="439">
        <f t="shared" si="32"/>
        <v>8.7922159483459321</v>
      </c>
      <c r="AQ108" s="422" t="s">
        <v>1089</v>
      </c>
      <c r="AR108" s="441" t="s">
        <v>1090</v>
      </c>
      <c r="AV108" s="349"/>
      <c r="AW108" s="349"/>
      <c r="AX108" s="349"/>
    </row>
    <row r="109" spans="1:50" s="352" customFormat="1" ht="15.75">
      <c r="A109" s="421" t="s">
        <v>1292</v>
      </c>
      <c r="B109" s="422" t="s">
        <v>1317</v>
      </c>
      <c r="C109" s="423">
        <v>10</v>
      </c>
      <c r="D109" s="424" t="s">
        <v>1095</v>
      </c>
      <c r="E109" s="425">
        <v>1976</v>
      </c>
      <c r="F109" s="423">
        <v>1977</v>
      </c>
      <c r="G109" s="426"/>
      <c r="H109" s="427">
        <f t="shared" si="34"/>
        <v>404.39081919622606</v>
      </c>
      <c r="I109" s="428">
        <v>398</v>
      </c>
      <c r="J109" s="429">
        <f t="shared" si="23"/>
        <v>188.97408000000001</v>
      </c>
      <c r="K109" s="429">
        <f t="shared" si="39"/>
        <v>57.6</v>
      </c>
      <c r="L109" s="429"/>
      <c r="M109" s="429">
        <v>57.6</v>
      </c>
      <c r="N109" s="429">
        <f t="shared" si="19"/>
        <v>25.590240000000001</v>
      </c>
      <c r="O109" s="429">
        <v>7.8</v>
      </c>
      <c r="P109" s="429">
        <f t="shared" si="19"/>
        <v>8.5300799999999999</v>
      </c>
      <c r="Q109" s="430">
        <v>2.6</v>
      </c>
      <c r="R109" s="431">
        <f t="shared" si="24"/>
        <v>7.384615384615385</v>
      </c>
      <c r="S109" s="432">
        <f t="shared" si="25"/>
        <v>22.153846153846157</v>
      </c>
      <c r="T109" s="423">
        <v>40</v>
      </c>
      <c r="U109" s="433">
        <f t="shared" si="37"/>
        <v>17700</v>
      </c>
      <c r="V109" s="433">
        <v>17700</v>
      </c>
      <c r="W109" s="433">
        <f>X109/0.7457</f>
        <v>17433.284162531847</v>
      </c>
      <c r="X109" s="434">
        <v>13000</v>
      </c>
      <c r="Y109" s="435">
        <v>40</v>
      </c>
      <c r="Z109" s="436"/>
      <c r="AA109" s="437">
        <f t="shared" si="22"/>
        <v>2.4264420616455706</v>
      </c>
      <c r="AB109" s="438">
        <f t="shared" si="26"/>
        <v>5.8876210785228071</v>
      </c>
      <c r="AC109" s="438">
        <f t="shared" si="27"/>
        <v>0.86540903567670002</v>
      </c>
      <c r="AD109" s="438">
        <f t="shared" si="28"/>
        <v>0.74893279903087584</v>
      </c>
      <c r="AE109" s="438">
        <f t="shared" si="29"/>
        <v>58.976141151476916</v>
      </c>
      <c r="AF109" s="439">
        <f t="shared" si="30"/>
        <v>0.89943502824858756</v>
      </c>
      <c r="AG109" s="436">
        <v>1300</v>
      </c>
      <c r="AH109" s="425"/>
      <c r="AI109" s="425"/>
      <c r="AJ109" s="425"/>
      <c r="AK109" s="425">
        <v>4</v>
      </c>
      <c r="AL109" s="422" t="s">
        <v>1080</v>
      </c>
      <c r="AM109" s="422">
        <v>4</v>
      </c>
      <c r="AN109" s="440"/>
      <c r="AO109" s="435">
        <f t="shared" si="31"/>
        <v>195.64199781382439</v>
      </c>
      <c r="AP109" s="439">
        <f t="shared" si="32"/>
        <v>4.645338596545205</v>
      </c>
      <c r="AQ109" s="422" t="s">
        <v>1155</v>
      </c>
      <c r="AR109" s="441" t="s">
        <v>1090</v>
      </c>
      <c r="AV109" s="349"/>
      <c r="AW109" s="349"/>
      <c r="AX109" s="349"/>
    </row>
    <row r="110" spans="1:50" s="352" customFormat="1" ht="15.75">
      <c r="A110" s="421" t="s">
        <v>1292</v>
      </c>
      <c r="B110" s="422" t="s">
        <v>1318</v>
      </c>
      <c r="C110" s="423">
        <v>2</v>
      </c>
      <c r="D110" s="424" t="s">
        <v>1319</v>
      </c>
      <c r="E110" s="425">
        <v>1978</v>
      </c>
      <c r="F110" s="423">
        <v>1980</v>
      </c>
      <c r="G110" s="426"/>
      <c r="H110" s="427">
        <f t="shared" si="34"/>
        <v>457.22580059874809</v>
      </c>
      <c r="I110" s="428">
        <v>450</v>
      </c>
      <c r="J110" s="429">
        <f t="shared" si="23"/>
        <v>190.28640000000001</v>
      </c>
      <c r="K110" s="429">
        <f t="shared" si="39"/>
        <v>58</v>
      </c>
      <c r="L110" s="429"/>
      <c r="M110" s="429">
        <v>58</v>
      </c>
      <c r="N110" s="429">
        <f t="shared" si="19"/>
        <v>25.590240000000001</v>
      </c>
      <c r="O110" s="429">
        <v>7.8</v>
      </c>
      <c r="P110" s="429">
        <f t="shared" si="19"/>
        <v>7.87392</v>
      </c>
      <c r="Q110" s="430">
        <v>2.4</v>
      </c>
      <c r="R110" s="431">
        <f t="shared" si="24"/>
        <v>7.4358974358974361</v>
      </c>
      <c r="S110" s="432">
        <f t="shared" si="25"/>
        <v>24.166666666666668</v>
      </c>
      <c r="T110" s="423">
        <v>45</v>
      </c>
      <c r="U110" s="433">
        <f t="shared" si="37"/>
        <v>15000</v>
      </c>
      <c r="V110" s="433">
        <v>15000</v>
      </c>
      <c r="W110" s="433"/>
      <c r="X110" s="434"/>
      <c r="Y110" s="435">
        <v>32</v>
      </c>
      <c r="Z110" s="436"/>
      <c r="AA110" s="437">
        <f t="shared" si="22"/>
        <v>1.9018299064684803</v>
      </c>
      <c r="AB110" s="438">
        <f t="shared" si="26"/>
        <v>3.6169569931379084</v>
      </c>
      <c r="AC110" s="438">
        <f t="shared" si="27"/>
        <v>0.68993576292032566</v>
      </c>
      <c r="AD110" s="438">
        <f t="shared" si="28"/>
        <v>0.4760113569564518</v>
      </c>
      <c r="AE110" s="438">
        <f t="shared" si="29"/>
        <v>65.311440747155572</v>
      </c>
      <c r="AF110" s="439">
        <f t="shared" si="30"/>
        <v>0.96</v>
      </c>
      <c r="AG110" s="436">
        <v>1650</v>
      </c>
      <c r="AH110" s="425"/>
      <c r="AI110" s="425"/>
      <c r="AJ110" s="425"/>
      <c r="AK110" s="425"/>
      <c r="AL110" s="422"/>
      <c r="AM110" s="422"/>
      <c r="AN110" s="440"/>
      <c r="AO110" s="435">
        <f t="shared" si="31"/>
        <v>128.28238286582126</v>
      </c>
      <c r="AP110" s="439">
        <f t="shared" si="32"/>
        <v>3.1513255808087179</v>
      </c>
      <c r="AQ110" s="422" t="s">
        <v>1320</v>
      </c>
      <c r="AR110" s="441" t="s">
        <v>1090</v>
      </c>
      <c r="AV110" s="349"/>
      <c r="AW110" s="349"/>
      <c r="AX110" s="349"/>
    </row>
    <row r="111" spans="1:50" s="352" customFormat="1" ht="15.75">
      <c r="A111" s="421" t="s">
        <v>1292</v>
      </c>
      <c r="B111" s="422" t="s">
        <v>1321</v>
      </c>
      <c r="C111" s="423">
        <v>6</v>
      </c>
      <c r="D111" s="424" t="s">
        <v>1107</v>
      </c>
      <c r="E111" s="425">
        <v>1991</v>
      </c>
      <c r="F111" s="423">
        <v>1999</v>
      </c>
      <c r="G111" s="426"/>
      <c r="H111" s="427">
        <f>I111*2240/2204.6</f>
        <v>528.34981402521998</v>
      </c>
      <c r="I111" s="428">
        <v>520</v>
      </c>
      <c r="J111" s="429">
        <f t="shared" si="23"/>
        <v>214.56432000000004</v>
      </c>
      <c r="K111" s="429">
        <f t="shared" si="39"/>
        <v>65.400000000000006</v>
      </c>
      <c r="L111" s="429"/>
      <c r="M111" s="429">
        <v>65.400000000000006</v>
      </c>
      <c r="N111" s="429">
        <f t="shared" si="19"/>
        <v>27.558720000000001</v>
      </c>
      <c r="O111" s="429">
        <v>8.4</v>
      </c>
      <c r="P111" s="429">
        <f t="shared" si="19"/>
        <v>7.87392</v>
      </c>
      <c r="Q111" s="430">
        <v>2.4</v>
      </c>
      <c r="R111" s="431">
        <f t="shared" si="24"/>
        <v>7.7857142857142865</v>
      </c>
      <c r="S111" s="432">
        <f t="shared" si="25"/>
        <v>27.250000000000004</v>
      </c>
      <c r="T111" s="423">
        <v>75</v>
      </c>
      <c r="U111" s="433">
        <f t="shared" si="37"/>
        <v>15840</v>
      </c>
      <c r="V111" s="433">
        <v>15840</v>
      </c>
      <c r="W111" s="433">
        <f>X111/0.7457</f>
        <v>15689.955746278663</v>
      </c>
      <c r="X111" s="434">
        <v>11700</v>
      </c>
      <c r="Y111" s="435">
        <v>32</v>
      </c>
      <c r="Z111" s="436"/>
      <c r="AA111" s="437">
        <f>Y111*1.6878/SQRT(32.174*(H111*2204.6/2240*35)^(1/3))</f>
        <v>1.8565495046872162</v>
      </c>
      <c r="AB111" s="438">
        <f t="shared" si="26"/>
        <v>3.4467760633543478</v>
      </c>
      <c r="AC111" s="438">
        <f t="shared" si="27"/>
        <v>0.64973128653424139</v>
      </c>
      <c r="AD111" s="438">
        <f t="shared" si="28"/>
        <v>0.42215074470144048</v>
      </c>
      <c r="AE111" s="438">
        <f t="shared" si="29"/>
        <v>52.641811997164069</v>
      </c>
      <c r="AF111" s="439">
        <f t="shared" si="30"/>
        <v>1.0505050505050506</v>
      </c>
      <c r="AG111" s="436">
        <v>1800</v>
      </c>
      <c r="AH111" s="425"/>
      <c r="AI111" s="425"/>
      <c r="AJ111" s="425"/>
      <c r="AK111" s="425">
        <v>3</v>
      </c>
      <c r="AL111" s="422" t="s">
        <v>1080</v>
      </c>
      <c r="AM111" s="422">
        <v>4</v>
      </c>
      <c r="AN111" s="440"/>
      <c r="AO111" s="435">
        <f t="shared" si="31"/>
        <v>133.77151742060852</v>
      </c>
      <c r="AP111" s="439">
        <f t="shared" si="32"/>
        <v>3.0582320245391901</v>
      </c>
      <c r="AQ111" s="422" t="s">
        <v>1322</v>
      </c>
      <c r="AR111" s="441" t="s">
        <v>1090</v>
      </c>
      <c r="AV111" s="349"/>
      <c r="AW111" s="349"/>
      <c r="AX111" s="349"/>
    </row>
    <row r="112" spans="1:50" s="352" customFormat="1" ht="15.75">
      <c r="A112" s="421" t="s">
        <v>1292</v>
      </c>
      <c r="B112" s="422" t="s">
        <v>1323</v>
      </c>
      <c r="C112" s="423">
        <v>6</v>
      </c>
      <c r="D112" s="424" t="s">
        <v>1324</v>
      </c>
      <c r="E112" s="425">
        <v>1980</v>
      </c>
      <c r="F112" s="423">
        <v>1981</v>
      </c>
      <c r="G112" s="426"/>
      <c r="H112" s="427">
        <f>I112*2240/2204.6</f>
        <v>568.99210741177535</v>
      </c>
      <c r="I112" s="428">
        <v>560</v>
      </c>
      <c r="J112" s="429">
        <f t="shared" si="23"/>
        <v>209.97120000000001</v>
      </c>
      <c r="K112" s="429">
        <f t="shared" si="39"/>
        <v>64</v>
      </c>
      <c r="L112" s="429"/>
      <c r="M112" s="429">
        <v>64</v>
      </c>
      <c r="N112" s="429">
        <f t="shared" si="19"/>
        <v>27.558720000000001</v>
      </c>
      <c r="O112" s="429">
        <v>8.4</v>
      </c>
      <c r="P112" s="429">
        <f t="shared" si="19"/>
        <v>8.5300799999999999</v>
      </c>
      <c r="Q112" s="430">
        <v>2.6</v>
      </c>
      <c r="R112" s="431">
        <f t="shared" si="24"/>
        <v>7.6190476190476195</v>
      </c>
      <c r="S112" s="432">
        <f t="shared" si="25"/>
        <v>24.615384615384617</v>
      </c>
      <c r="T112" s="423">
        <v>36</v>
      </c>
      <c r="U112" s="433">
        <f t="shared" si="37"/>
        <v>22200</v>
      </c>
      <c r="V112" s="433">
        <v>22200</v>
      </c>
      <c r="W112" s="433">
        <f>X112/0.7457</f>
        <v>21885.476733270752</v>
      </c>
      <c r="X112" s="434">
        <v>16320</v>
      </c>
      <c r="Y112" s="435">
        <v>37</v>
      </c>
      <c r="Z112" s="436"/>
      <c r="AA112" s="437">
        <f>Y112*1.6878/SQRT(32.174*(H112*2204.6/2240*35)^(1/3))</f>
        <v>2.1202846340841672</v>
      </c>
      <c r="AB112" s="438">
        <f t="shared" si="26"/>
        <v>4.4956069295334311</v>
      </c>
      <c r="AC112" s="438">
        <f t="shared" si="27"/>
        <v>0.75942416576885008</v>
      </c>
      <c r="AD112" s="438">
        <f t="shared" si="28"/>
        <v>0.57672506355371389</v>
      </c>
      <c r="AE112" s="438">
        <f t="shared" si="29"/>
        <v>60.493517245424478</v>
      </c>
      <c r="AF112" s="439">
        <f t="shared" si="30"/>
        <v>0.93333333333333335</v>
      </c>
      <c r="AG112" s="436">
        <v>2500</v>
      </c>
      <c r="AH112" s="425"/>
      <c r="AI112" s="425"/>
      <c r="AJ112" s="425"/>
      <c r="AK112" s="425">
        <v>4</v>
      </c>
      <c r="AL112" s="422" t="s">
        <v>1080</v>
      </c>
      <c r="AM112" s="422">
        <v>4</v>
      </c>
      <c r="AN112" s="440"/>
      <c r="AO112" s="435">
        <f t="shared" si="31"/>
        <v>155.01636508793578</v>
      </c>
      <c r="AP112" s="439">
        <f t="shared" si="32"/>
        <v>3.7120201881654871</v>
      </c>
      <c r="AQ112" s="422" t="s">
        <v>1325</v>
      </c>
      <c r="AR112" s="441" t="s">
        <v>1090</v>
      </c>
      <c r="AV112" s="349"/>
      <c r="AW112" s="349"/>
      <c r="AX112" s="349"/>
    </row>
    <row r="113" spans="1:50" s="352" customFormat="1" ht="15.75">
      <c r="A113" s="542" t="s">
        <v>1326</v>
      </c>
      <c r="B113" s="543" t="s">
        <v>1327</v>
      </c>
      <c r="C113" s="544">
        <v>1</v>
      </c>
      <c r="D113" s="545" t="s">
        <v>1328</v>
      </c>
      <c r="E113" s="546">
        <v>2004</v>
      </c>
      <c r="F113" s="544"/>
      <c r="G113" s="547"/>
      <c r="H113" s="548"/>
      <c r="I113" s="549"/>
      <c r="J113" s="550">
        <f t="shared" si="23"/>
        <v>153.54143999999999</v>
      </c>
      <c r="K113" s="550">
        <f>IF(M113="",L113,M113)</f>
        <v>46.8</v>
      </c>
      <c r="L113" s="550">
        <v>46.8</v>
      </c>
      <c r="M113" s="550"/>
      <c r="N113" s="550">
        <f t="shared" si="19"/>
        <v>26.607288</v>
      </c>
      <c r="O113" s="550">
        <v>8.11</v>
      </c>
      <c r="P113" s="550">
        <f t="shared" si="19"/>
        <v>9.5143199999999997</v>
      </c>
      <c r="Q113" s="551">
        <v>2.9</v>
      </c>
      <c r="R113" s="552">
        <f t="shared" si="24"/>
        <v>5.7706535141800241</v>
      </c>
      <c r="S113" s="553">
        <f t="shared" si="25"/>
        <v>16.137931034482758</v>
      </c>
      <c r="T113" s="544">
        <v>16</v>
      </c>
      <c r="U113" s="554">
        <f>IF(V113="",W113,V113)</f>
        <v>7295.1589110902505</v>
      </c>
      <c r="V113" s="554">
        <f>X113/0.7457</f>
        <v>7295.1589110902505</v>
      </c>
      <c r="W113" s="554"/>
      <c r="X113" s="555">
        <v>5440</v>
      </c>
      <c r="Y113" s="556">
        <v>23.8</v>
      </c>
      <c r="Z113" s="557"/>
      <c r="AA113" s="558"/>
      <c r="AB113" s="559"/>
      <c r="AC113" s="559">
        <f>Y113*1.687/SQRT(32.174*J113)</f>
        <v>0.57125064866689279</v>
      </c>
      <c r="AD113" s="559">
        <f>AC113^2</f>
        <v>0.3263273036023458</v>
      </c>
      <c r="AE113" s="559"/>
      <c r="AF113" s="560"/>
      <c r="AG113" s="557"/>
      <c r="AH113" s="557"/>
      <c r="AI113" s="557"/>
      <c r="AJ113" s="557"/>
      <c r="AK113" s="546">
        <v>2</v>
      </c>
      <c r="AL113" s="543" t="s">
        <v>1080</v>
      </c>
      <c r="AM113" s="543">
        <v>2</v>
      </c>
      <c r="AN113" s="561" t="s">
        <v>1329</v>
      </c>
      <c r="AO113" s="556"/>
      <c r="AP113" s="560"/>
      <c r="AQ113" s="543" t="s">
        <v>1330</v>
      </c>
      <c r="AR113" s="562" t="s">
        <v>1331</v>
      </c>
      <c r="AV113" s="349"/>
      <c r="AW113" s="349"/>
      <c r="AX113" s="349"/>
    </row>
    <row r="114" spans="1:50" s="352" customFormat="1" ht="15.75">
      <c r="A114" s="542" t="s">
        <v>1326</v>
      </c>
      <c r="B114" s="543" t="s">
        <v>1332</v>
      </c>
      <c r="C114" s="544">
        <v>10</v>
      </c>
      <c r="D114" s="545" t="s">
        <v>1333</v>
      </c>
      <c r="E114" s="546">
        <v>2003</v>
      </c>
      <c r="F114" s="544"/>
      <c r="G114" s="547"/>
      <c r="H114" s="548"/>
      <c r="I114" s="549"/>
      <c r="J114" s="550">
        <f t="shared" si="23"/>
        <v>106.29792</v>
      </c>
      <c r="K114" s="550">
        <f>IF(M114="",L114,M114)</f>
        <v>32.4</v>
      </c>
      <c r="L114" s="550">
        <v>37.5</v>
      </c>
      <c r="M114" s="550">
        <v>32.4</v>
      </c>
      <c r="N114" s="550">
        <f t="shared" si="19"/>
        <v>23.621760000000002</v>
      </c>
      <c r="O114" s="550">
        <v>7.2</v>
      </c>
      <c r="P114" s="550">
        <f t="shared" si="19"/>
        <v>7.2177600000000011</v>
      </c>
      <c r="Q114" s="551">
        <v>2.2000000000000002</v>
      </c>
      <c r="R114" s="552">
        <f t="shared" si="24"/>
        <v>4.5</v>
      </c>
      <c r="S114" s="553">
        <f t="shared" si="25"/>
        <v>14.727272727272727</v>
      </c>
      <c r="T114" s="544">
        <v>15</v>
      </c>
      <c r="U114" s="554">
        <f>IF(V114="",W114,V114)</f>
        <v>3500.0670510929326</v>
      </c>
      <c r="V114" s="554">
        <f>X114/0.7457</f>
        <v>3500.0670510929326</v>
      </c>
      <c r="W114" s="554"/>
      <c r="X114" s="555">
        <f>1305*2</f>
        <v>2610</v>
      </c>
      <c r="Y114" s="556">
        <v>29</v>
      </c>
      <c r="Z114" s="557"/>
      <c r="AA114" s="558"/>
      <c r="AB114" s="559"/>
      <c r="AC114" s="559">
        <f>Y114*1.687/SQRT(32.174*J114)</f>
        <v>0.83656206782081011</v>
      </c>
      <c r="AD114" s="559">
        <f>AC114^2</f>
        <v>0.69983609331662966</v>
      </c>
      <c r="AE114" s="559"/>
      <c r="AF114" s="560"/>
      <c r="AG114" s="557">
        <v>1000</v>
      </c>
      <c r="AH114" s="557">
        <v>25</v>
      </c>
      <c r="AI114" s="557"/>
      <c r="AJ114" s="557"/>
      <c r="AK114" s="546">
        <v>2</v>
      </c>
      <c r="AL114" s="543" t="s">
        <v>1080</v>
      </c>
      <c r="AM114" s="543">
        <v>2</v>
      </c>
      <c r="AN114" s="561" t="s">
        <v>1334</v>
      </c>
      <c r="AO114" s="556"/>
      <c r="AP114" s="560"/>
      <c r="AQ114" s="543" t="s">
        <v>1335</v>
      </c>
      <c r="AR114" s="562" t="s">
        <v>1331</v>
      </c>
      <c r="AV114" s="349"/>
      <c r="AW114" s="349"/>
      <c r="AX114" s="349"/>
    </row>
    <row r="115" spans="1:50" s="352" customFormat="1" ht="15.75">
      <c r="A115" s="542" t="s">
        <v>1326</v>
      </c>
      <c r="B115" s="543" t="s">
        <v>1336</v>
      </c>
      <c r="C115" s="544"/>
      <c r="D115" s="545" t="s">
        <v>1337</v>
      </c>
      <c r="E115" s="546"/>
      <c r="F115" s="544"/>
      <c r="G115" s="547"/>
      <c r="H115" s="548"/>
      <c r="I115" s="549"/>
      <c r="J115" s="550">
        <f t="shared" si="23"/>
        <v>140.41824</v>
      </c>
      <c r="K115" s="550">
        <f>IF(M115="",L115,M115)</f>
        <v>42.8</v>
      </c>
      <c r="L115" s="550">
        <v>42.8</v>
      </c>
      <c r="M115" s="550"/>
      <c r="N115" s="550">
        <f t="shared" si="19"/>
        <v>23.326488000000001</v>
      </c>
      <c r="O115" s="550">
        <v>7.11</v>
      </c>
      <c r="P115" s="550">
        <f t="shared" si="19"/>
        <v>8.2676160000000003</v>
      </c>
      <c r="Q115" s="551">
        <v>2.52</v>
      </c>
      <c r="R115" s="552">
        <f t="shared" si="24"/>
        <v>6.0196905766526019</v>
      </c>
      <c r="S115" s="553">
        <f t="shared" si="25"/>
        <v>16.984126984126984</v>
      </c>
      <c r="T115" s="544">
        <v>12</v>
      </c>
      <c r="U115" s="554">
        <f>IF(V115="",W115,V115)</f>
        <v>5600.107281748692</v>
      </c>
      <c r="V115" s="554">
        <f>X115/0.7457</f>
        <v>5600.107281748692</v>
      </c>
      <c r="W115" s="554"/>
      <c r="X115" s="555">
        <v>4176</v>
      </c>
      <c r="Y115" s="556">
        <v>22.5</v>
      </c>
      <c r="Z115" s="557"/>
      <c r="AA115" s="558"/>
      <c r="AB115" s="559"/>
      <c r="AC115" s="559">
        <f>Y115*1.687/SQRT(32.174*J115)</f>
        <v>0.56472018259847845</v>
      </c>
      <c r="AD115" s="559">
        <f>AC115^2</f>
        <v>0.31890888463405886</v>
      </c>
      <c r="AE115" s="559"/>
      <c r="AF115" s="560"/>
      <c r="AG115" s="557"/>
      <c r="AH115" s="557"/>
      <c r="AI115" s="557"/>
      <c r="AJ115" s="557"/>
      <c r="AK115" s="546">
        <v>2</v>
      </c>
      <c r="AL115" s="543" t="s">
        <v>1080</v>
      </c>
      <c r="AM115" s="543" t="s">
        <v>1338</v>
      </c>
      <c r="AN115" s="561"/>
      <c r="AO115" s="556"/>
      <c r="AP115" s="560"/>
      <c r="AQ115" s="543" t="s">
        <v>1330</v>
      </c>
      <c r="AR115" s="562" t="s">
        <v>1331</v>
      </c>
      <c r="AV115" s="349"/>
      <c r="AW115" s="349"/>
      <c r="AX115" s="349"/>
    </row>
    <row r="116" spans="1:50" s="352" customFormat="1" ht="15.75">
      <c r="A116" s="442" t="s">
        <v>1326</v>
      </c>
      <c r="B116" s="443" t="s">
        <v>1339</v>
      </c>
      <c r="C116" s="444">
        <v>2</v>
      </c>
      <c r="D116" s="445" t="s">
        <v>1340</v>
      </c>
      <c r="E116" s="446"/>
      <c r="F116" s="444" t="s">
        <v>567</v>
      </c>
      <c r="G116" s="447"/>
      <c r="H116" s="448">
        <f>I116*2240/2204.6</f>
        <v>39.626236051891503</v>
      </c>
      <c r="I116" s="449">
        <v>39</v>
      </c>
      <c r="J116" s="450">
        <f t="shared" si="23"/>
        <v>82.02000000000001</v>
      </c>
      <c r="K116" s="450">
        <f>IF(M116="",L116,M116)</f>
        <v>25</v>
      </c>
      <c r="L116" s="450"/>
      <c r="M116" s="450">
        <v>25</v>
      </c>
      <c r="N116" s="450">
        <f t="shared" si="19"/>
        <v>16.404</v>
      </c>
      <c r="O116" s="450">
        <v>5</v>
      </c>
      <c r="P116" s="450">
        <f t="shared" si="19"/>
        <v>3.93696</v>
      </c>
      <c r="Q116" s="451">
        <v>1.2</v>
      </c>
      <c r="R116" s="452">
        <f t="shared" si="24"/>
        <v>5.0000000000000009</v>
      </c>
      <c r="S116" s="453">
        <f t="shared" si="25"/>
        <v>20.833333333333336</v>
      </c>
      <c r="T116" s="444">
        <v>11</v>
      </c>
      <c r="U116" s="454">
        <f>IF(V116="",W116,V116)</f>
        <v>2200</v>
      </c>
      <c r="V116" s="454">
        <v>2200</v>
      </c>
      <c r="W116" s="454"/>
      <c r="X116" s="455"/>
      <c r="Y116" s="456">
        <v>30</v>
      </c>
      <c r="Z116" s="457"/>
      <c r="AA116" s="458">
        <f>Y116*1.6878/SQRT(32.174*(H116*2204.6/2240*35)^(1/3))</f>
        <v>2.6802024507205884</v>
      </c>
      <c r="AB116" s="459">
        <f t="shared" si="26"/>
        <v>7.1834851768486478</v>
      </c>
      <c r="AC116" s="459">
        <f>Y116*1.687/SQRT(32.174*J116)</f>
        <v>0.98519891775418378</v>
      </c>
      <c r="AD116" s="459">
        <f t="shared" si="28"/>
        <v>0.97061690754401497</v>
      </c>
      <c r="AE116" s="459">
        <f>I116/(0.01*J116)^3</f>
        <v>70.681427520753985</v>
      </c>
      <c r="AF116" s="460">
        <f>IF(U116="","",Y116*I116/U116)</f>
        <v>0.53181818181818186</v>
      </c>
      <c r="AG116" s="446"/>
      <c r="AH116" s="446"/>
      <c r="AI116" s="446"/>
      <c r="AJ116" s="446"/>
      <c r="AK116" s="446"/>
      <c r="AL116" s="443"/>
      <c r="AM116" s="443"/>
      <c r="AN116" s="461"/>
      <c r="AO116" s="456">
        <f>IF(U116="","",I116^(2/3)*Y116^3/U116)</f>
        <v>141.1402301741891</v>
      </c>
      <c r="AP116" s="460">
        <f>IF(U116="","",0.61*I116*Y116^3/(J116*U116))</f>
        <v>3.5597193589146765</v>
      </c>
      <c r="AQ116" s="443"/>
      <c r="AR116" s="462" t="s">
        <v>1100</v>
      </c>
    </row>
    <row r="117" spans="1:50" s="352" customFormat="1" ht="15.75">
      <c r="A117" s="442" t="s">
        <v>1326</v>
      </c>
      <c r="B117" s="443" t="s">
        <v>1341</v>
      </c>
      <c r="C117" s="444">
        <v>1</v>
      </c>
      <c r="D117" s="445" t="s">
        <v>1342</v>
      </c>
      <c r="E117" s="446">
        <v>1997</v>
      </c>
      <c r="F117" s="444" t="s">
        <v>567</v>
      </c>
      <c r="G117" s="447"/>
      <c r="H117" s="448">
        <f t="shared" ref="H117:H169" si="40">I117*2240/2204.6</f>
        <v>39.626236051891503</v>
      </c>
      <c r="I117" s="449">
        <v>39</v>
      </c>
      <c r="J117" s="450">
        <f t="shared" si="23"/>
        <v>78.739200000000011</v>
      </c>
      <c r="K117" s="450">
        <f t="shared" si="39"/>
        <v>24</v>
      </c>
      <c r="L117" s="450"/>
      <c r="M117" s="450">
        <v>24</v>
      </c>
      <c r="N117" s="450">
        <f t="shared" si="19"/>
        <v>16.404</v>
      </c>
      <c r="O117" s="450">
        <v>5</v>
      </c>
      <c r="P117" s="450">
        <f t="shared" si="19"/>
        <v>3.93696</v>
      </c>
      <c r="Q117" s="451">
        <v>1.2</v>
      </c>
      <c r="R117" s="452">
        <f t="shared" si="24"/>
        <v>4.8000000000000007</v>
      </c>
      <c r="S117" s="453">
        <f t="shared" si="25"/>
        <v>20.000000000000004</v>
      </c>
      <c r="T117" s="444">
        <v>13</v>
      </c>
      <c r="U117" s="454">
        <f t="shared" ref="U117:U180" si="41">IF(V117="",W117,V117)</f>
        <v>2200</v>
      </c>
      <c r="V117" s="454">
        <v>2200</v>
      </c>
      <c r="W117" s="454"/>
      <c r="X117" s="455"/>
      <c r="Y117" s="456">
        <v>30</v>
      </c>
      <c r="Z117" s="457"/>
      <c r="AA117" s="458">
        <f t="shared" si="22"/>
        <v>2.6802024507205884</v>
      </c>
      <c r="AB117" s="459">
        <f t="shared" si="26"/>
        <v>7.1834851768486478</v>
      </c>
      <c r="AC117" s="459">
        <f t="shared" si="27"/>
        <v>1.0055144348499838</v>
      </c>
      <c r="AD117" s="459">
        <f t="shared" si="28"/>
        <v>1.0110592786916823</v>
      </c>
      <c r="AE117" s="459">
        <f t="shared" si="29"/>
        <v>79.889851346338347</v>
      </c>
      <c r="AF117" s="460">
        <f t="shared" si="30"/>
        <v>0.53181818181818186</v>
      </c>
      <c r="AG117" s="446"/>
      <c r="AH117" s="446"/>
      <c r="AI117" s="446"/>
      <c r="AJ117" s="446"/>
      <c r="AK117" s="446"/>
      <c r="AL117" s="443"/>
      <c r="AM117" s="443"/>
      <c r="AN117" s="461"/>
      <c r="AO117" s="456">
        <f t="shared" si="31"/>
        <v>141.1402301741891</v>
      </c>
      <c r="AP117" s="460">
        <f t="shared" si="32"/>
        <v>3.7080409988694547</v>
      </c>
      <c r="AQ117" s="443"/>
      <c r="AR117" s="462" t="s">
        <v>1100</v>
      </c>
      <c r="AV117" s="349"/>
      <c r="AW117" s="349"/>
      <c r="AX117" s="349"/>
    </row>
    <row r="118" spans="1:50" s="352" customFormat="1" ht="15.75">
      <c r="A118" s="442" t="s">
        <v>1326</v>
      </c>
      <c r="B118" s="443" t="s">
        <v>1343</v>
      </c>
      <c r="C118" s="444">
        <v>1</v>
      </c>
      <c r="D118" s="445" t="s">
        <v>1344</v>
      </c>
      <c r="E118" s="446">
        <v>2000</v>
      </c>
      <c r="F118" s="444"/>
      <c r="G118" s="447"/>
      <c r="H118" s="448">
        <f t="shared" si="34"/>
        <v>46.738637394538692</v>
      </c>
      <c r="I118" s="449">
        <v>46</v>
      </c>
      <c r="J118" s="450">
        <f t="shared" si="23"/>
        <v>98.424000000000007</v>
      </c>
      <c r="K118" s="450">
        <f t="shared" si="39"/>
        <v>30</v>
      </c>
      <c r="L118" s="450"/>
      <c r="M118" s="450">
        <v>30</v>
      </c>
      <c r="N118" s="450">
        <f t="shared" si="19"/>
        <v>19.028639999999999</v>
      </c>
      <c r="O118" s="450">
        <v>5.8</v>
      </c>
      <c r="P118" s="450">
        <f t="shared" si="19"/>
        <v>5.9054400000000005</v>
      </c>
      <c r="Q118" s="451">
        <v>1.8</v>
      </c>
      <c r="R118" s="452">
        <f t="shared" si="24"/>
        <v>5.1724137931034484</v>
      </c>
      <c r="S118" s="453">
        <f t="shared" si="25"/>
        <v>16.666666666666668</v>
      </c>
      <c r="T118" s="444">
        <v>9</v>
      </c>
      <c r="U118" s="454">
        <f t="shared" si="41"/>
        <v>2800</v>
      </c>
      <c r="V118" s="454">
        <v>2800</v>
      </c>
      <c r="W118" s="454"/>
      <c r="X118" s="455"/>
      <c r="Y118" s="456">
        <v>26</v>
      </c>
      <c r="Z118" s="457"/>
      <c r="AA118" s="458">
        <f t="shared" si="22"/>
        <v>2.2598042570673593</v>
      </c>
      <c r="AB118" s="459">
        <f t="shared" si="26"/>
        <v>5.1067152802597597</v>
      </c>
      <c r="AC118" s="459">
        <f t="shared" si="27"/>
        <v>0.77944485794304041</v>
      </c>
      <c r="AD118" s="459">
        <f t="shared" si="28"/>
        <v>0.60753428657384645</v>
      </c>
      <c r="AE118" s="459">
        <f t="shared" si="29"/>
        <v>48.245276382281048</v>
      </c>
      <c r="AF118" s="460">
        <f t="shared" si="30"/>
        <v>0.42714285714285716</v>
      </c>
      <c r="AG118" s="457"/>
      <c r="AH118" s="457"/>
      <c r="AI118" s="457"/>
      <c r="AJ118" s="457"/>
      <c r="AK118" s="446"/>
      <c r="AL118" s="443"/>
      <c r="AM118" s="443"/>
      <c r="AN118" s="461"/>
      <c r="AO118" s="456">
        <f t="shared" si="31"/>
        <v>80.587416585840614</v>
      </c>
      <c r="AP118" s="460">
        <f t="shared" si="32"/>
        <v>1.7895699074557889</v>
      </c>
      <c r="AQ118" s="443"/>
      <c r="AR118" s="462" t="s">
        <v>1100</v>
      </c>
      <c r="AV118" s="349"/>
      <c r="AW118" s="349"/>
      <c r="AX118" s="349"/>
    </row>
    <row r="119" spans="1:50" s="352" customFormat="1" ht="15.75">
      <c r="A119" s="442" t="s">
        <v>1326</v>
      </c>
      <c r="B119" s="443" t="s">
        <v>1345</v>
      </c>
      <c r="C119" s="444">
        <v>1</v>
      </c>
      <c r="D119" s="445" t="s">
        <v>1346</v>
      </c>
      <c r="E119" s="446">
        <v>1986</v>
      </c>
      <c r="F119" s="444" t="s">
        <v>567</v>
      </c>
      <c r="G119" s="447"/>
      <c r="H119" s="448">
        <f t="shared" si="34"/>
        <v>52.834981402522004</v>
      </c>
      <c r="I119" s="449">
        <v>52</v>
      </c>
      <c r="J119" s="450">
        <f t="shared" si="23"/>
        <v>89.893919999999994</v>
      </c>
      <c r="K119" s="450">
        <f t="shared" si="39"/>
        <v>27.4</v>
      </c>
      <c r="L119" s="450"/>
      <c r="M119" s="450">
        <v>27.4</v>
      </c>
      <c r="N119" s="450">
        <f t="shared" si="19"/>
        <v>16.075920000000004</v>
      </c>
      <c r="O119" s="450">
        <v>4.9000000000000004</v>
      </c>
      <c r="P119" s="450">
        <f t="shared" si="19"/>
        <v>6.5616000000000003</v>
      </c>
      <c r="Q119" s="451">
        <v>2</v>
      </c>
      <c r="R119" s="452">
        <f t="shared" si="24"/>
        <v>5.5918367346938762</v>
      </c>
      <c r="S119" s="453">
        <f t="shared" si="25"/>
        <v>13.7</v>
      </c>
      <c r="T119" s="444">
        <v>14</v>
      </c>
      <c r="U119" s="454">
        <f t="shared" si="41"/>
        <v>2680</v>
      </c>
      <c r="V119" s="454">
        <v>2680</v>
      </c>
      <c r="W119" s="454"/>
      <c r="X119" s="455"/>
      <c r="Y119" s="456">
        <v>23</v>
      </c>
      <c r="Z119" s="457"/>
      <c r="AA119" s="458">
        <f t="shared" si="22"/>
        <v>1.9586239398603837</v>
      </c>
      <c r="AB119" s="459">
        <f t="shared" si="26"/>
        <v>3.8362077377942123</v>
      </c>
      <c r="AC119" s="459">
        <f t="shared" si="27"/>
        <v>0.72148155114340384</v>
      </c>
      <c r="AD119" s="459">
        <f t="shared" si="28"/>
        <v>0.52053562864029201</v>
      </c>
      <c r="AE119" s="459">
        <f t="shared" si="29"/>
        <v>71.583410563218536</v>
      </c>
      <c r="AF119" s="460">
        <f t="shared" si="30"/>
        <v>0.44626865671641791</v>
      </c>
      <c r="AG119" s="446"/>
      <c r="AH119" s="446"/>
      <c r="AI119" s="446"/>
      <c r="AJ119" s="446"/>
      <c r="AK119" s="446"/>
      <c r="AL119" s="443"/>
      <c r="AM119" s="443"/>
      <c r="AN119" s="461"/>
      <c r="AO119" s="456">
        <f t="shared" si="31"/>
        <v>63.248603817781941</v>
      </c>
      <c r="AP119" s="460">
        <f t="shared" si="32"/>
        <v>1.6019596523971911</v>
      </c>
      <c r="AQ119" s="443"/>
      <c r="AR119" s="462" t="s">
        <v>1100</v>
      </c>
      <c r="AV119" s="349"/>
      <c r="AW119" s="349"/>
      <c r="AX119" s="349"/>
    </row>
    <row r="120" spans="1:50" s="352" customFormat="1" ht="15.75">
      <c r="A120" s="442" t="s">
        <v>1326</v>
      </c>
      <c r="B120" s="443" t="s">
        <v>1347</v>
      </c>
      <c r="C120" s="444">
        <v>2</v>
      </c>
      <c r="D120" s="445" t="s">
        <v>1348</v>
      </c>
      <c r="E120" s="446">
        <v>1967</v>
      </c>
      <c r="F120" s="444">
        <v>1972</v>
      </c>
      <c r="G120" s="447"/>
      <c r="H120" s="448">
        <f t="shared" si="34"/>
        <v>54.867096071849772</v>
      </c>
      <c r="I120" s="449">
        <v>54</v>
      </c>
      <c r="J120" s="450">
        <f t="shared" si="23"/>
        <v>84.972719999999995</v>
      </c>
      <c r="K120" s="450">
        <f t="shared" si="39"/>
        <v>25.9</v>
      </c>
      <c r="L120" s="450"/>
      <c r="M120" s="450">
        <v>25.9</v>
      </c>
      <c r="N120" s="450">
        <f t="shared" ref="N120:P185" si="42">O120*3.2808</f>
        <v>18.700560000000003</v>
      </c>
      <c r="O120" s="450">
        <v>5.7</v>
      </c>
      <c r="P120" s="450">
        <f t="shared" si="42"/>
        <v>7.2177600000000011</v>
      </c>
      <c r="Q120" s="451">
        <v>2.2000000000000002</v>
      </c>
      <c r="R120" s="452">
        <f t="shared" si="24"/>
        <v>4.5438596491228065</v>
      </c>
      <c r="S120" s="453">
        <f t="shared" si="25"/>
        <v>11.77272727272727</v>
      </c>
      <c r="T120" s="444">
        <v>17</v>
      </c>
      <c r="U120" s="454">
        <f t="shared" si="41"/>
        <v>1300</v>
      </c>
      <c r="V120" s="454">
        <v>1300</v>
      </c>
      <c r="W120" s="454"/>
      <c r="X120" s="455"/>
      <c r="Y120" s="456">
        <v>22</v>
      </c>
      <c r="Z120" s="457"/>
      <c r="AA120" s="458">
        <f>Y120*1.6878/SQRT(32.174*(H120*2204.6/2240*35)^(1/3))</f>
        <v>1.8617191553991561</v>
      </c>
      <c r="AB120" s="459">
        <f t="shared" si="26"/>
        <v>3.4659982135801473</v>
      </c>
      <c r="AC120" s="459">
        <f t="shared" si="27"/>
        <v>0.70981549319175707</v>
      </c>
      <c r="AD120" s="459">
        <f t="shared" si="28"/>
        <v>0.50383803437505736</v>
      </c>
      <c r="AE120" s="459">
        <f t="shared" si="29"/>
        <v>88.014697108076518</v>
      </c>
      <c r="AF120" s="460">
        <f t="shared" si="30"/>
        <v>0.91384615384615386</v>
      </c>
      <c r="AG120" s="446"/>
      <c r="AH120" s="446"/>
      <c r="AI120" s="446"/>
      <c r="AJ120" s="446"/>
      <c r="AK120" s="446"/>
      <c r="AL120" s="443"/>
      <c r="AM120" s="443"/>
      <c r="AN120" s="461"/>
      <c r="AO120" s="456">
        <f t="shared" si="31"/>
        <v>117.01832124016656</v>
      </c>
      <c r="AP120" s="460">
        <f t="shared" si="32"/>
        <v>3.17518302887725</v>
      </c>
      <c r="AQ120" s="443"/>
      <c r="AR120" s="462" t="s">
        <v>1100</v>
      </c>
      <c r="AV120" s="349"/>
      <c r="AW120" s="349"/>
      <c r="AX120" s="349"/>
    </row>
    <row r="121" spans="1:50" s="352" customFormat="1" ht="15.75">
      <c r="A121" s="442" t="s">
        <v>1326</v>
      </c>
      <c r="B121" s="443" t="s">
        <v>1349</v>
      </c>
      <c r="C121" s="444">
        <v>2</v>
      </c>
      <c r="D121" s="445" t="s">
        <v>1350</v>
      </c>
      <c r="E121" s="446">
        <v>2000</v>
      </c>
      <c r="F121" s="444"/>
      <c r="G121" s="447"/>
      <c r="H121" s="448">
        <f t="shared" si="34"/>
        <v>55.883153406513657</v>
      </c>
      <c r="I121" s="449">
        <v>55</v>
      </c>
      <c r="J121" s="450">
        <f t="shared" si="23"/>
        <v>88.581600000000009</v>
      </c>
      <c r="K121" s="450">
        <f t="shared" si="39"/>
        <v>27</v>
      </c>
      <c r="L121" s="450"/>
      <c r="M121" s="450">
        <v>27</v>
      </c>
      <c r="N121" s="450">
        <f t="shared" si="42"/>
        <v>13.123200000000001</v>
      </c>
      <c r="O121" s="450">
        <v>4</v>
      </c>
      <c r="P121" s="450">
        <f t="shared" si="42"/>
        <v>3.93696</v>
      </c>
      <c r="Q121" s="451">
        <v>1.2</v>
      </c>
      <c r="R121" s="452">
        <f t="shared" si="24"/>
        <v>6.75</v>
      </c>
      <c r="S121" s="453">
        <f t="shared" si="25"/>
        <v>22.500000000000004</v>
      </c>
      <c r="T121" s="444">
        <v>13</v>
      </c>
      <c r="U121" s="454">
        <f t="shared" si="41"/>
        <v>1000</v>
      </c>
      <c r="V121" s="454">
        <v>1000</v>
      </c>
      <c r="W121" s="454"/>
      <c r="X121" s="455"/>
      <c r="Y121" s="456"/>
      <c r="Z121" s="457"/>
      <c r="AA121" s="458"/>
      <c r="AB121" s="459"/>
      <c r="AC121" s="459"/>
      <c r="AD121" s="459"/>
      <c r="AE121" s="459">
        <f t="shared" si="29"/>
        <v>79.128353343635041</v>
      </c>
      <c r="AF121" s="460"/>
      <c r="AG121" s="457"/>
      <c r="AH121" s="457"/>
      <c r="AI121" s="457"/>
      <c r="AJ121" s="457"/>
      <c r="AK121" s="446"/>
      <c r="AL121" s="443"/>
      <c r="AM121" s="443"/>
      <c r="AN121" s="461"/>
      <c r="AO121" s="456"/>
      <c r="AP121" s="460"/>
      <c r="AQ121" s="443"/>
      <c r="AR121" s="462" t="s">
        <v>1100</v>
      </c>
    </row>
    <row r="122" spans="1:50" s="352" customFormat="1" ht="15.75">
      <c r="A122" s="442" t="s">
        <v>1326</v>
      </c>
      <c r="B122" s="443" t="s">
        <v>1351</v>
      </c>
      <c r="C122" s="444">
        <v>1</v>
      </c>
      <c r="D122" s="445" t="s">
        <v>1340</v>
      </c>
      <c r="E122" s="446">
        <v>1997</v>
      </c>
      <c r="F122" s="444" t="s">
        <v>567</v>
      </c>
      <c r="G122" s="447"/>
      <c r="H122" s="448">
        <f t="shared" si="34"/>
        <v>58.931325410505309</v>
      </c>
      <c r="I122" s="449">
        <v>58</v>
      </c>
      <c r="J122" s="450">
        <f t="shared" si="23"/>
        <v>88.581600000000009</v>
      </c>
      <c r="K122" s="450">
        <f t="shared" si="39"/>
        <v>27</v>
      </c>
      <c r="L122" s="450"/>
      <c r="M122" s="450">
        <v>27</v>
      </c>
      <c r="N122" s="450">
        <f t="shared" si="42"/>
        <v>21.325200000000002</v>
      </c>
      <c r="O122" s="450">
        <v>6.5</v>
      </c>
      <c r="P122" s="450">
        <f t="shared" si="42"/>
        <v>4.5931199999999999</v>
      </c>
      <c r="Q122" s="451">
        <v>1.4</v>
      </c>
      <c r="R122" s="452">
        <f t="shared" si="24"/>
        <v>4.1538461538461542</v>
      </c>
      <c r="S122" s="453">
        <f t="shared" si="25"/>
        <v>19.285714285714288</v>
      </c>
      <c r="T122" s="444"/>
      <c r="U122" s="454">
        <f t="shared" si="41"/>
        <v>4800</v>
      </c>
      <c r="V122" s="454">
        <v>4800</v>
      </c>
      <c r="W122" s="454"/>
      <c r="X122" s="455"/>
      <c r="Y122" s="456">
        <v>38</v>
      </c>
      <c r="Z122" s="457"/>
      <c r="AA122" s="458">
        <f t="shared" si="22"/>
        <v>3.1776254911569746</v>
      </c>
      <c r="AB122" s="459">
        <f t="shared" si="26"/>
        <v>10.097303762050604</v>
      </c>
      <c r="AC122" s="459">
        <f t="shared" si="27"/>
        <v>1.2008102607826017</v>
      </c>
      <c r="AD122" s="459">
        <f t="shared" si="28"/>
        <v>1.4419452824007799</v>
      </c>
      <c r="AE122" s="459">
        <f t="shared" si="29"/>
        <v>83.44444534419695</v>
      </c>
      <c r="AF122" s="460">
        <f t="shared" si="30"/>
        <v>0.45916666666666667</v>
      </c>
      <c r="AG122" s="446"/>
      <c r="AH122" s="446"/>
      <c r="AI122" s="446"/>
      <c r="AJ122" s="446"/>
      <c r="AK122" s="446"/>
      <c r="AL122" s="443"/>
      <c r="AM122" s="443"/>
      <c r="AN122" s="461"/>
      <c r="AO122" s="456">
        <f t="shared" si="31"/>
        <v>171.28850341227411</v>
      </c>
      <c r="AP122" s="460">
        <f t="shared" si="32"/>
        <v>4.5658733491680739</v>
      </c>
      <c r="AQ122" s="443"/>
      <c r="AR122" s="462" t="s">
        <v>1100</v>
      </c>
    </row>
    <row r="123" spans="1:50" s="352" customFormat="1" ht="15.75">
      <c r="A123" s="442" t="s">
        <v>1326</v>
      </c>
      <c r="B123" s="443" t="s">
        <v>1352</v>
      </c>
      <c r="C123" s="444">
        <v>1</v>
      </c>
      <c r="D123" s="445" t="s">
        <v>1353</v>
      </c>
      <c r="E123" s="446">
        <v>1996</v>
      </c>
      <c r="F123" s="444" t="s">
        <v>567</v>
      </c>
      <c r="G123" s="447"/>
      <c r="H123" s="448">
        <f t="shared" si="34"/>
        <v>58.931325410505309</v>
      </c>
      <c r="I123" s="449">
        <v>58</v>
      </c>
      <c r="J123" s="450">
        <f t="shared" si="23"/>
        <v>82.02000000000001</v>
      </c>
      <c r="K123" s="450">
        <f t="shared" si="39"/>
        <v>25</v>
      </c>
      <c r="L123" s="450"/>
      <c r="M123" s="450">
        <v>25</v>
      </c>
      <c r="N123" s="450">
        <f t="shared" si="42"/>
        <v>18.372479999999999</v>
      </c>
      <c r="O123" s="450">
        <v>5.6</v>
      </c>
      <c r="P123" s="450">
        <f t="shared" si="42"/>
        <v>3.6088800000000005</v>
      </c>
      <c r="Q123" s="451">
        <v>1.1000000000000001</v>
      </c>
      <c r="R123" s="452">
        <f t="shared" si="24"/>
        <v>4.4642857142857153</v>
      </c>
      <c r="S123" s="453">
        <f t="shared" si="25"/>
        <v>22.727272727272727</v>
      </c>
      <c r="T123" s="444">
        <v>10</v>
      </c>
      <c r="U123" s="454">
        <f t="shared" si="41"/>
        <v>4570</v>
      </c>
      <c r="V123" s="454">
        <v>4570</v>
      </c>
      <c r="W123" s="454"/>
      <c r="X123" s="455"/>
      <c r="Y123" s="456">
        <v>45</v>
      </c>
      <c r="Z123" s="457"/>
      <c r="AA123" s="458">
        <f t="shared" si="22"/>
        <v>3.76297755531747</v>
      </c>
      <c r="AB123" s="459">
        <f t="shared" si="26"/>
        <v>14.160000081823043</v>
      </c>
      <c r="AC123" s="459">
        <f t="shared" si="27"/>
        <v>1.4777983766312757</v>
      </c>
      <c r="AD123" s="459">
        <f t="shared" si="28"/>
        <v>2.1838880419740336</v>
      </c>
      <c r="AE123" s="459">
        <f t="shared" si="29"/>
        <v>105.115969133429</v>
      </c>
      <c r="AF123" s="460">
        <f t="shared" si="30"/>
        <v>0.57111597374179435</v>
      </c>
      <c r="AG123" s="446"/>
      <c r="AH123" s="446"/>
      <c r="AI123" s="446"/>
      <c r="AJ123" s="446"/>
      <c r="AK123" s="446"/>
      <c r="AL123" s="443"/>
      <c r="AM123" s="443"/>
      <c r="AN123" s="461"/>
      <c r="AO123" s="456">
        <f t="shared" si="31"/>
        <v>298.77207521642049</v>
      </c>
      <c r="AP123" s="460">
        <f t="shared" si="32"/>
        <v>8.6012071027133814</v>
      </c>
      <c r="AQ123" s="443"/>
      <c r="AR123" s="462" t="s">
        <v>1100</v>
      </c>
      <c r="AV123" s="349"/>
      <c r="AW123" s="349"/>
      <c r="AX123" s="349"/>
    </row>
    <row r="124" spans="1:50" s="352" customFormat="1" ht="15.75">
      <c r="A124" s="442" t="s">
        <v>1326</v>
      </c>
      <c r="B124" s="443" t="s">
        <v>1354</v>
      </c>
      <c r="C124" s="444">
        <v>4</v>
      </c>
      <c r="D124" s="445" t="s">
        <v>1355</v>
      </c>
      <c r="E124" s="446">
        <v>1967</v>
      </c>
      <c r="F124" s="444">
        <v>1972</v>
      </c>
      <c r="G124" s="447"/>
      <c r="H124" s="448">
        <f t="shared" si="34"/>
        <v>60.963440079833077</v>
      </c>
      <c r="I124" s="449">
        <v>60</v>
      </c>
      <c r="J124" s="450">
        <f t="shared" si="23"/>
        <v>84.972719999999995</v>
      </c>
      <c r="K124" s="450">
        <f t="shared" si="39"/>
        <v>25.9</v>
      </c>
      <c r="L124" s="450"/>
      <c r="M124" s="450">
        <v>25.9</v>
      </c>
      <c r="N124" s="450">
        <f t="shared" si="42"/>
        <v>18.0444</v>
      </c>
      <c r="O124" s="450">
        <v>5.5</v>
      </c>
      <c r="P124" s="450">
        <f t="shared" si="42"/>
        <v>4.9212000000000007</v>
      </c>
      <c r="Q124" s="451">
        <v>1.5</v>
      </c>
      <c r="R124" s="452">
        <f t="shared" si="24"/>
        <v>4.709090909090909</v>
      </c>
      <c r="S124" s="453">
        <f t="shared" si="25"/>
        <v>17.266666666666662</v>
      </c>
      <c r="T124" s="444">
        <v>12</v>
      </c>
      <c r="U124" s="454">
        <f t="shared" si="41"/>
        <v>811</v>
      </c>
      <c r="V124" s="454">
        <v>811</v>
      </c>
      <c r="W124" s="454"/>
      <c r="X124" s="455"/>
      <c r="Y124" s="456">
        <v>18.7</v>
      </c>
      <c r="Z124" s="457"/>
      <c r="AA124" s="458">
        <f t="shared" si="22"/>
        <v>1.5549156853163308</v>
      </c>
      <c r="AB124" s="459">
        <f t="shared" si="26"/>
        <v>2.4177627884427548</v>
      </c>
      <c r="AC124" s="459">
        <f t="shared" si="27"/>
        <v>0.60334316921299347</v>
      </c>
      <c r="AD124" s="459">
        <f t="shared" si="28"/>
        <v>0.36402297983597887</v>
      </c>
      <c r="AE124" s="459">
        <f t="shared" si="29"/>
        <v>97.794107897862787</v>
      </c>
      <c r="AF124" s="460">
        <f t="shared" si="30"/>
        <v>1.3834771886559802</v>
      </c>
      <c r="AG124" s="457"/>
      <c r="AH124" s="457"/>
      <c r="AI124" s="457"/>
      <c r="AJ124" s="457"/>
      <c r="AK124" s="446"/>
      <c r="AL124" s="443"/>
      <c r="AM124" s="443"/>
      <c r="AN124" s="461"/>
      <c r="AO124" s="456">
        <f t="shared" si="31"/>
        <v>123.57713783566507</v>
      </c>
      <c r="AP124" s="460">
        <f t="shared" si="32"/>
        <v>3.4730059746431201</v>
      </c>
      <c r="AQ124" s="443"/>
      <c r="AR124" s="462" t="s">
        <v>1100</v>
      </c>
      <c r="AV124" s="349"/>
      <c r="AW124" s="349"/>
      <c r="AX124" s="349"/>
    </row>
    <row r="125" spans="1:50" s="352" customFormat="1" ht="15.75">
      <c r="A125" s="442" t="s">
        <v>1326</v>
      </c>
      <c r="B125" s="443" t="s">
        <v>1356</v>
      </c>
      <c r="C125" s="444">
        <v>2</v>
      </c>
      <c r="D125" s="445" t="s">
        <v>1357</v>
      </c>
      <c r="E125" s="446">
        <v>1998</v>
      </c>
      <c r="F125" s="444">
        <v>1999</v>
      </c>
      <c r="G125" s="447"/>
      <c r="H125" s="448">
        <f t="shared" si="34"/>
        <v>60.963440079833077</v>
      </c>
      <c r="I125" s="449">
        <v>60</v>
      </c>
      <c r="J125" s="450">
        <f t="shared" si="23"/>
        <v>82.02000000000001</v>
      </c>
      <c r="K125" s="450">
        <f t="shared" si="39"/>
        <v>25</v>
      </c>
      <c r="L125" s="450"/>
      <c r="M125" s="450">
        <v>25</v>
      </c>
      <c r="N125" s="450">
        <f t="shared" si="42"/>
        <v>18.372479999999999</v>
      </c>
      <c r="O125" s="450">
        <v>5.6</v>
      </c>
      <c r="P125" s="450">
        <f t="shared" si="42"/>
        <v>4.9212000000000007</v>
      </c>
      <c r="Q125" s="451">
        <v>1.5</v>
      </c>
      <c r="R125" s="452">
        <f t="shared" si="24"/>
        <v>4.4642857142857153</v>
      </c>
      <c r="S125" s="453">
        <f t="shared" si="25"/>
        <v>16.666666666666668</v>
      </c>
      <c r="T125" s="444">
        <v>10</v>
      </c>
      <c r="U125" s="454">
        <f t="shared" si="41"/>
        <v>4570</v>
      </c>
      <c r="V125" s="454">
        <v>4570</v>
      </c>
      <c r="W125" s="454"/>
      <c r="X125" s="455"/>
      <c r="Y125" s="456">
        <v>50</v>
      </c>
      <c r="Z125" s="457"/>
      <c r="AA125" s="458">
        <f t="shared" si="22"/>
        <v>4.1575285703645211</v>
      </c>
      <c r="AB125" s="459">
        <f t="shared" si="26"/>
        <v>17.285043813397259</v>
      </c>
      <c r="AC125" s="459">
        <f t="shared" si="27"/>
        <v>1.6419981962569732</v>
      </c>
      <c r="AD125" s="459">
        <f t="shared" si="28"/>
        <v>2.6961580765111535</v>
      </c>
      <c r="AE125" s="459">
        <f t="shared" si="29"/>
        <v>108.74065772423691</v>
      </c>
      <c r="AF125" s="460">
        <f t="shared" si="30"/>
        <v>0.65645514223194745</v>
      </c>
      <c r="AG125" s="446"/>
      <c r="AH125" s="446"/>
      <c r="AI125" s="446"/>
      <c r="AJ125" s="446"/>
      <c r="AK125" s="446"/>
      <c r="AL125" s="443"/>
      <c r="AM125" s="443"/>
      <c r="AN125" s="461"/>
      <c r="AO125" s="456">
        <f t="shared" si="31"/>
        <v>419.20647286299396</v>
      </c>
      <c r="AP125" s="460">
        <f t="shared" si="32"/>
        <v>12.205487587219213</v>
      </c>
      <c r="AQ125" s="443"/>
      <c r="AR125" s="462" t="s">
        <v>1100</v>
      </c>
      <c r="AV125" s="349"/>
      <c r="AW125" s="349"/>
      <c r="AX125" s="349"/>
    </row>
    <row r="126" spans="1:50" s="352" customFormat="1" ht="15.75">
      <c r="A126" s="442" t="s">
        <v>1326</v>
      </c>
      <c r="B126" s="443" t="s">
        <v>1358</v>
      </c>
      <c r="C126" s="444">
        <v>4</v>
      </c>
      <c r="D126" s="445" t="s">
        <v>1359</v>
      </c>
      <c r="E126" s="446">
        <v>1962</v>
      </c>
      <c r="F126" s="444">
        <v>1967</v>
      </c>
      <c r="G126" s="447"/>
      <c r="H126" s="448">
        <f t="shared" si="34"/>
        <v>67.059784087816382</v>
      </c>
      <c r="I126" s="449">
        <v>66</v>
      </c>
      <c r="J126" s="450">
        <f t="shared" si="23"/>
        <v>83.00424000000001</v>
      </c>
      <c r="K126" s="450">
        <f t="shared" si="39"/>
        <v>25.3</v>
      </c>
      <c r="L126" s="450"/>
      <c r="M126" s="450">
        <v>25.3</v>
      </c>
      <c r="N126" s="450">
        <f t="shared" si="42"/>
        <v>17.06016</v>
      </c>
      <c r="O126" s="450">
        <v>5.2</v>
      </c>
      <c r="P126" s="450">
        <f t="shared" si="42"/>
        <v>5.9054400000000005</v>
      </c>
      <c r="Q126" s="451">
        <v>1.8</v>
      </c>
      <c r="R126" s="452">
        <f t="shared" si="24"/>
        <v>4.8653846153846159</v>
      </c>
      <c r="S126" s="453">
        <f t="shared" si="25"/>
        <v>14.055555555555555</v>
      </c>
      <c r="T126" s="444">
        <v>10</v>
      </c>
      <c r="U126" s="454">
        <f t="shared" si="41"/>
        <v>1600</v>
      </c>
      <c r="V126" s="454">
        <v>1600</v>
      </c>
      <c r="W126" s="454"/>
      <c r="X126" s="455"/>
      <c r="Y126" s="456">
        <v>23</v>
      </c>
      <c r="Z126" s="457"/>
      <c r="AA126" s="458">
        <f t="shared" si="22"/>
        <v>1.8823236253715079</v>
      </c>
      <c r="AB126" s="459">
        <f t="shared" si="26"/>
        <v>3.5431422306317368</v>
      </c>
      <c r="AC126" s="459">
        <f t="shared" si="27"/>
        <v>0.75082763885629156</v>
      </c>
      <c r="AD126" s="459">
        <f t="shared" si="28"/>
        <v>0.56374214327051375</v>
      </c>
      <c r="AE126" s="459">
        <f t="shared" si="29"/>
        <v>115.40991021922882</v>
      </c>
      <c r="AF126" s="460">
        <f t="shared" si="30"/>
        <v>0.94874999999999998</v>
      </c>
      <c r="AG126" s="446"/>
      <c r="AH126" s="446"/>
      <c r="AI126" s="446"/>
      <c r="AJ126" s="446"/>
      <c r="AK126" s="446"/>
      <c r="AL126" s="443"/>
      <c r="AM126" s="443"/>
      <c r="AN126" s="461"/>
      <c r="AO126" s="456">
        <f t="shared" si="31"/>
        <v>124.19176971397229</v>
      </c>
      <c r="AP126" s="460">
        <f t="shared" si="32"/>
        <v>3.6883915508412577</v>
      </c>
      <c r="AQ126" s="443"/>
      <c r="AR126" s="462" t="s">
        <v>1100</v>
      </c>
    </row>
    <row r="127" spans="1:50" s="352" customFormat="1" ht="15.75">
      <c r="A127" s="442" t="s">
        <v>1326</v>
      </c>
      <c r="B127" s="443" t="s">
        <v>1360</v>
      </c>
      <c r="C127" s="444">
        <v>11</v>
      </c>
      <c r="D127" s="445" t="s">
        <v>1361</v>
      </c>
      <c r="E127" s="446">
        <v>1962</v>
      </c>
      <c r="F127" s="444">
        <v>1970</v>
      </c>
      <c r="G127" s="447"/>
      <c r="H127" s="448">
        <f t="shared" si="34"/>
        <v>68.075841422480266</v>
      </c>
      <c r="I127" s="449">
        <v>67</v>
      </c>
      <c r="J127" s="450">
        <f t="shared" si="23"/>
        <v>83.00424000000001</v>
      </c>
      <c r="K127" s="450">
        <f t="shared" si="39"/>
        <v>25.3</v>
      </c>
      <c r="L127" s="450"/>
      <c r="M127" s="450">
        <v>25.3</v>
      </c>
      <c r="N127" s="450">
        <f t="shared" si="42"/>
        <v>17.38824</v>
      </c>
      <c r="O127" s="450">
        <v>5.3</v>
      </c>
      <c r="P127" s="450">
        <f t="shared" si="42"/>
        <v>5.9054400000000005</v>
      </c>
      <c r="Q127" s="451">
        <v>1.8</v>
      </c>
      <c r="R127" s="452">
        <f t="shared" si="24"/>
        <v>4.7735849056603783</v>
      </c>
      <c r="S127" s="453">
        <f t="shared" si="25"/>
        <v>14.055555555555555</v>
      </c>
      <c r="T127" s="444">
        <v>10</v>
      </c>
      <c r="U127" s="454">
        <f t="shared" si="41"/>
        <v>1600</v>
      </c>
      <c r="V127" s="454">
        <v>1600</v>
      </c>
      <c r="W127" s="454"/>
      <c r="X127" s="455"/>
      <c r="Y127" s="456">
        <v>22</v>
      </c>
      <c r="Z127" s="457"/>
      <c r="AA127" s="458">
        <f t="shared" si="22"/>
        <v>1.7959765430568075</v>
      </c>
      <c r="AB127" s="459">
        <f t="shared" si="26"/>
        <v>3.225531743210281</v>
      </c>
      <c r="AC127" s="459">
        <f t="shared" si="27"/>
        <v>0.71818295890601802</v>
      </c>
      <c r="AD127" s="459">
        <f t="shared" si="28"/>
        <v>0.51578676246300315</v>
      </c>
      <c r="AE127" s="459">
        <f t="shared" si="29"/>
        <v>117.15854522255046</v>
      </c>
      <c r="AF127" s="460">
        <f t="shared" si="30"/>
        <v>0.92125000000000001</v>
      </c>
      <c r="AG127" s="446"/>
      <c r="AH127" s="446"/>
      <c r="AI127" s="446"/>
      <c r="AJ127" s="446"/>
      <c r="AK127" s="446"/>
      <c r="AL127" s="443"/>
      <c r="AM127" s="443"/>
      <c r="AN127" s="461"/>
      <c r="AO127" s="456">
        <f t="shared" si="31"/>
        <v>109.78203113021659</v>
      </c>
      <c r="AP127" s="460">
        <f t="shared" si="32"/>
        <v>3.2768187504638311</v>
      </c>
      <c r="AQ127" s="443"/>
      <c r="AR127" s="462" t="s">
        <v>1100</v>
      </c>
    </row>
    <row r="128" spans="1:50" s="352" customFormat="1" ht="15.75">
      <c r="A128" s="442" t="s">
        <v>1326</v>
      </c>
      <c r="B128" s="443" t="s">
        <v>1362</v>
      </c>
      <c r="C128" s="444">
        <v>4</v>
      </c>
      <c r="D128" s="445" t="s">
        <v>1142</v>
      </c>
      <c r="E128" s="446">
        <v>1962</v>
      </c>
      <c r="F128" s="444">
        <v>1967</v>
      </c>
      <c r="G128" s="447"/>
      <c r="H128" s="448">
        <f t="shared" si="34"/>
        <v>69.091898757144151</v>
      </c>
      <c r="I128" s="449">
        <v>68</v>
      </c>
      <c r="J128" s="450">
        <f t="shared" si="23"/>
        <v>83.00424000000001</v>
      </c>
      <c r="K128" s="450">
        <f t="shared" si="39"/>
        <v>25.3</v>
      </c>
      <c r="L128" s="450"/>
      <c r="M128" s="450">
        <v>25.3</v>
      </c>
      <c r="N128" s="450">
        <f t="shared" si="42"/>
        <v>17.06016</v>
      </c>
      <c r="O128" s="450">
        <v>5.2</v>
      </c>
      <c r="P128" s="450">
        <f t="shared" si="42"/>
        <v>5.9054400000000005</v>
      </c>
      <c r="Q128" s="451">
        <v>1.8</v>
      </c>
      <c r="R128" s="452">
        <f t="shared" si="24"/>
        <v>4.8653846153846159</v>
      </c>
      <c r="S128" s="453">
        <f t="shared" si="25"/>
        <v>14.055555555555555</v>
      </c>
      <c r="T128" s="444">
        <v>10</v>
      </c>
      <c r="U128" s="454">
        <f t="shared" si="41"/>
        <v>1600</v>
      </c>
      <c r="V128" s="454">
        <v>1600</v>
      </c>
      <c r="W128" s="454"/>
      <c r="X128" s="455"/>
      <c r="Y128" s="456">
        <v>23</v>
      </c>
      <c r="Z128" s="457"/>
      <c r="AA128" s="458">
        <f t="shared" si="22"/>
        <v>1.8729813961089876</v>
      </c>
      <c r="AB128" s="459">
        <f t="shared" si="26"/>
        <v>3.5080593101703723</v>
      </c>
      <c r="AC128" s="459">
        <f t="shared" si="27"/>
        <v>0.75082763885629156</v>
      </c>
      <c r="AD128" s="459">
        <f t="shared" si="28"/>
        <v>0.56374214327051375</v>
      </c>
      <c r="AE128" s="459">
        <f t="shared" si="29"/>
        <v>118.90718022587211</v>
      </c>
      <c r="AF128" s="460">
        <f t="shared" si="30"/>
        <v>0.97750000000000004</v>
      </c>
      <c r="AG128" s="446"/>
      <c r="AH128" s="446"/>
      <c r="AI128" s="446"/>
      <c r="AJ128" s="446"/>
      <c r="AK128" s="446"/>
      <c r="AL128" s="443"/>
      <c r="AM128" s="443"/>
      <c r="AN128" s="461"/>
      <c r="AO128" s="456">
        <f t="shared" si="31"/>
        <v>126.68819071878335</v>
      </c>
      <c r="AP128" s="460">
        <f t="shared" si="32"/>
        <v>3.8001609917758414</v>
      </c>
      <c r="AQ128" s="443"/>
      <c r="AR128" s="462" t="s">
        <v>1100</v>
      </c>
    </row>
    <row r="129" spans="1:50" s="352" customFormat="1" ht="15.75">
      <c r="A129" s="542" t="s">
        <v>1326</v>
      </c>
      <c r="B129" s="543" t="s">
        <v>1363</v>
      </c>
      <c r="C129" s="544"/>
      <c r="D129" s="545" t="s">
        <v>1364</v>
      </c>
      <c r="E129" s="546">
        <v>2004</v>
      </c>
      <c r="F129" s="544"/>
      <c r="G129" s="547"/>
      <c r="H129" s="548"/>
      <c r="I129" s="549"/>
      <c r="J129" s="550">
        <f>K129*3.2808</f>
        <v>137.7936</v>
      </c>
      <c r="K129" s="550">
        <v>42</v>
      </c>
      <c r="L129" s="550"/>
      <c r="M129" s="550"/>
      <c r="N129" s="550">
        <f>O129*3.2808</f>
        <v>26.902559999999998</v>
      </c>
      <c r="O129" s="550">
        <v>8.1999999999999993</v>
      </c>
      <c r="P129" s="550">
        <f>Q129*3.2808</f>
        <v>6.5616000000000003</v>
      </c>
      <c r="Q129" s="551">
        <v>2</v>
      </c>
      <c r="R129" s="552">
        <f t="shared" si="24"/>
        <v>5.1219512195121952</v>
      </c>
      <c r="S129" s="553">
        <f t="shared" si="25"/>
        <v>21</v>
      </c>
      <c r="T129" s="544">
        <v>9</v>
      </c>
      <c r="U129" s="554">
        <f>IF(V129="",W129,V129)</f>
        <v>4693.5765052970364</v>
      </c>
      <c r="V129" s="554">
        <f>X129/0.7457</f>
        <v>4693.5765052970364</v>
      </c>
      <c r="W129" s="554"/>
      <c r="X129" s="555">
        <v>3500</v>
      </c>
      <c r="Y129" s="556">
        <v>18</v>
      </c>
      <c r="Z129" s="557"/>
      <c r="AA129" s="558"/>
      <c r="AB129" s="559"/>
      <c r="AC129" s="559">
        <f>Y129*1.687/SQRT(32.174*J129)</f>
        <v>0.45605848016549405</v>
      </c>
      <c r="AD129" s="559">
        <f>AC129^2</f>
        <v>0.20798933733086034</v>
      </c>
      <c r="AE129" s="559"/>
      <c r="AF129" s="560"/>
      <c r="AG129" s="557">
        <v>1000</v>
      </c>
      <c r="AH129" s="557">
        <v>18</v>
      </c>
      <c r="AI129" s="557"/>
      <c r="AJ129" s="557"/>
      <c r="AK129" s="546"/>
      <c r="AL129" s="543"/>
      <c r="AM129" s="543"/>
      <c r="AN129" s="561"/>
      <c r="AO129" s="556"/>
      <c r="AP129" s="560"/>
      <c r="AQ129" s="543"/>
      <c r="AR129" s="562" t="s">
        <v>1331</v>
      </c>
      <c r="AV129" s="349"/>
      <c r="AW129" s="349"/>
      <c r="AX129" s="349"/>
    </row>
    <row r="130" spans="1:50" s="352" customFormat="1" ht="15.75">
      <c r="A130" s="442" t="s">
        <v>1326</v>
      </c>
      <c r="B130" s="443" t="s">
        <v>1365</v>
      </c>
      <c r="C130" s="444">
        <v>8</v>
      </c>
      <c r="D130" s="445" t="s">
        <v>1161</v>
      </c>
      <c r="E130" s="446">
        <v>1961</v>
      </c>
      <c r="F130" s="444">
        <v>1962</v>
      </c>
      <c r="G130" s="447"/>
      <c r="H130" s="448">
        <f t="shared" si="34"/>
        <v>71.124013426471919</v>
      </c>
      <c r="I130" s="449">
        <v>70</v>
      </c>
      <c r="J130" s="450">
        <f t="shared" si="23"/>
        <v>94.815119999999993</v>
      </c>
      <c r="K130" s="450">
        <f t="shared" si="39"/>
        <v>28.9</v>
      </c>
      <c r="L130" s="450"/>
      <c r="M130" s="450">
        <v>28.9</v>
      </c>
      <c r="N130" s="450">
        <f t="shared" si="42"/>
        <v>15.419760000000002</v>
      </c>
      <c r="O130" s="450">
        <v>4.7</v>
      </c>
      <c r="P130" s="450">
        <f t="shared" si="42"/>
        <v>4.5931199999999999</v>
      </c>
      <c r="Q130" s="451">
        <v>1.4</v>
      </c>
      <c r="R130" s="452">
        <f t="shared" si="24"/>
        <v>6.1489361702127647</v>
      </c>
      <c r="S130" s="453">
        <f t="shared" si="25"/>
        <v>20.642857142857142</v>
      </c>
      <c r="T130" s="444">
        <v>16</v>
      </c>
      <c r="U130" s="454">
        <f t="shared" si="41"/>
        <v>2700</v>
      </c>
      <c r="V130" s="454">
        <v>2700</v>
      </c>
      <c r="W130" s="454"/>
      <c r="X130" s="455"/>
      <c r="Y130" s="456">
        <v>20</v>
      </c>
      <c r="Z130" s="457"/>
      <c r="AA130" s="458">
        <f t="shared" si="22"/>
        <v>1.6208298841151914</v>
      </c>
      <c r="AB130" s="459">
        <f t="shared" si="26"/>
        <v>2.6270895132408647</v>
      </c>
      <c r="AC130" s="459">
        <f t="shared" si="27"/>
        <v>0.61087696636002364</v>
      </c>
      <c r="AD130" s="459">
        <f t="shared" si="28"/>
        <v>0.37317066802922544</v>
      </c>
      <c r="AE130" s="459">
        <f t="shared" si="29"/>
        <v>82.123082614411999</v>
      </c>
      <c r="AF130" s="460">
        <f t="shared" si="30"/>
        <v>0.51851851851851849</v>
      </c>
      <c r="AG130" s="446"/>
      <c r="AH130" s="446"/>
      <c r="AI130" s="446"/>
      <c r="AJ130" s="446"/>
      <c r="AK130" s="446"/>
      <c r="AL130" s="443"/>
      <c r="AM130" s="443"/>
      <c r="AN130" s="461"/>
      <c r="AO130" s="456">
        <f t="shared" si="31"/>
        <v>50.325903770127709</v>
      </c>
      <c r="AP130" s="460">
        <f t="shared" si="32"/>
        <v>1.334370704994293</v>
      </c>
      <c r="AQ130" s="443"/>
      <c r="AR130" s="462" t="s">
        <v>1100</v>
      </c>
      <c r="AV130" s="349"/>
      <c r="AW130" s="349"/>
      <c r="AX130" s="349"/>
    </row>
    <row r="131" spans="1:50" s="352" customFormat="1" ht="15.75">
      <c r="A131" s="442" t="s">
        <v>1326</v>
      </c>
      <c r="B131" s="443" t="s">
        <v>1366</v>
      </c>
      <c r="C131" s="444">
        <v>4</v>
      </c>
      <c r="D131" s="445" t="s">
        <v>1367</v>
      </c>
      <c r="E131" s="446">
        <v>1981</v>
      </c>
      <c r="F131" s="444" t="s">
        <v>567</v>
      </c>
      <c r="G131" s="447"/>
      <c r="H131" s="448">
        <f t="shared" si="34"/>
        <v>75.18824276512747</v>
      </c>
      <c r="I131" s="449">
        <v>74</v>
      </c>
      <c r="J131" s="450">
        <f t="shared" si="23"/>
        <v>82.02000000000001</v>
      </c>
      <c r="K131" s="450">
        <f t="shared" si="39"/>
        <v>25</v>
      </c>
      <c r="L131" s="450"/>
      <c r="M131" s="450">
        <v>25</v>
      </c>
      <c r="N131" s="450">
        <f t="shared" si="42"/>
        <v>19.028639999999999</v>
      </c>
      <c r="O131" s="450">
        <v>5.8</v>
      </c>
      <c r="P131" s="450">
        <f t="shared" si="42"/>
        <v>5.2492800000000006</v>
      </c>
      <c r="Q131" s="451">
        <v>1.6</v>
      </c>
      <c r="R131" s="452">
        <f t="shared" si="24"/>
        <v>4.3103448275862073</v>
      </c>
      <c r="S131" s="453">
        <f t="shared" si="25"/>
        <v>15.625</v>
      </c>
      <c r="T131" s="444">
        <v>13</v>
      </c>
      <c r="U131" s="454">
        <f t="shared" si="41"/>
        <v>2660</v>
      </c>
      <c r="V131" s="454">
        <v>2660</v>
      </c>
      <c r="W131" s="454"/>
      <c r="X131" s="455"/>
      <c r="Y131" s="456">
        <v>25</v>
      </c>
      <c r="Z131" s="457"/>
      <c r="AA131" s="458">
        <f t="shared" si="22"/>
        <v>2.0073595498509755</v>
      </c>
      <c r="AB131" s="459">
        <f t="shared" si="26"/>
        <v>4.0294923623779111</v>
      </c>
      <c r="AC131" s="459">
        <f t="shared" si="27"/>
        <v>0.82099909812848659</v>
      </c>
      <c r="AD131" s="459">
        <f t="shared" si="28"/>
        <v>0.67403951912778837</v>
      </c>
      <c r="AE131" s="459">
        <f t="shared" si="29"/>
        <v>134.11347785989219</v>
      </c>
      <c r="AF131" s="460">
        <f t="shared" si="30"/>
        <v>0.69548872180451127</v>
      </c>
      <c r="AG131" s="446"/>
      <c r="AH131" s="446"/>
      <c r="AI131" s="446"/>
      <c r="AJ131" s="446"/>
      <c r="AK131" s="446"/>
      <c r="AL131" s="443"/>
      <c r="AM131" s="443"/>
      <c r="AN131" s="461"/>
      <c r="AO131" s="456">
        <f t="shared" si="31"/>
        <v>103.53635443712734</v>
      </c>
      <c r="AP131" s="460">
        <f t="shared" si="32"/>
        <v>3.2328099876611787</v>
      </c>
      <c r="AQ131" s="443"/>
      <c r="AR131" s="462" t="s">
        <v>1100</v>
      </c>
      <c r="AV131" s="349"/>
      <c r="AW131" s="349"/>
      <c r="AX131" s="349"/>
    </row>
    <row r="132" spans="1:50" s="352" customFormat="1" ht="15.75">
      <c r="A132" s="442" t="s">
        <v>1326</v>
      </c>
      <c r="B132" s="443" t="s">
        <v>1368</v>
      </c>
      <c r="C132" s="444">
        <v>23</v>
      </c>
      <c r="D132" s="445" t="s">
        <v>1369</v>
      </c>
      <c r="E132" s="446">
        <v>1978</v>
      </c>
      <c r="F132" s="444">
        <v>1983</v>
      </c>
      <c r="G132" s="447"/>
      <c r="H132" s="448">
        <f t="shared" si="34"/>
        <v>86.364873446430195</v>
      </c>
      <c r="I132" s="449">
        <v>85</v>
      </c>
      <c r="J132" s="450">
        <f t="shared" si="23"/>
        <v>98.424000000000007</v>
      </c>
      <c r="K132" s="450">
        <f t="shared" si="39"/>
        <v>30</v>
      </c>
      <c r="L132" s="450"/>
      <c r="M132" s="450">
        <v>30</v>
      </c>
      <c r="N132" s="450">
        <f t="shared" si="42"/>
        <v>20.669039999999999</v>
      </c>
      <c r="O132" s="450">
        <v>6.3</v>
      </c>
      <c r="P132" s="450">
        <f t="shared" si="42"/>
        <v>7.2177600000000011</v>
      </c>
      <c r="Q132" s="451">
        <v>2.2000000000000002</v>
      </c>
      <c r="R132" s="452">
        <f t="shared" si="24"/>
        <v>4.7619047619047628</v>
      </c>
      <c r="S132" s="453">
        <f t="shared" si="25"/>
        <v>13.636363636363635</v>
      </c>
      <c r="T132" s="444">
        <v>13</v>
      </c>
      <c r="U132" s="454">
        <f t="shared" si="41"/>
        <v>4400</v>
      </c>
      <c r="V132" s="454">
        <v>4400</v>
      </c>
      <c r="W132" s="454"/>
      <c r="X132" s="455"/>
      <c r="Y132" s="456">
        <v>30</v>
      </c>
      <c r="Z132" s="457"/>
      <c r="AA132" s="458">
        <f t="shared" si="22"/>
        <v>2.3538306493316821</v>
      </c>
      <c r="AB132" s="459">
        <f t="shared" si="26"/>
        <v>5.5405187257332082</v>
      </c>
      <c r="AC132" s="459">
        <f t="shared" si="27"/>
        <v>0.89935945147273899</v>
      </c>
      <c r="AD132" s="459">
        <f t="shared" si="28"/>
        <v>0.808847422953346</v>
      </c>
      <c r="AE132" s="459">
        <f t="shared" si="29"/>
        <v>89.148880271606288</v>
      </c>
      <c r="AF132" s="460">
        <f t="shared" si="30"/>
        <v>0.57954545454545459</v>
      </c>
      <c r="AG132" s="446"/>
      <c r="AH132" s="446"/>
      <c r="AI132" s="446"/>
      <c r="AJ132" s="446"/>
      <c r="AK132" s="446"/>
      <c r="AL132" s="443"/>
      <c r="AM132" s="443"/>
      <c r="AN132" s="461"/>
      <c r="AO132" s="456">
        <f t="shared" si="31"/>
        <v>118.62886397300143</v>
      </c>
      <c r="AP132" s="460">
        <f t="shared" si="32"/>
        <v>3.2326511272195249</v>
      </c>
      <c r="AQ132" s="443"/>
      <c r="AR132" s="462" t="s">
        <v>1100</v>
      </c>
      <c r="AV132" s="349"/>
      <c r="AW132" s="349"/>
      <c r="AX132" s="349"/>
    </row>
    <row r="133" spans="1:50" s="352" customFormat="1" ht="15.75">
      <c r="A133" s="442" t="s">
        <v>1326</v>
      </c>
      <c r="B133" s="443" t="s">
        <v>1370</v>
      </c>
      <c r="C133" s="444">
        <v>4</v>
      </c>
      <c r="D133" s="445" t="s">
        <v>1371</v>
      </c>
      <c r="E133" s="446">
        <v>1980</v>
      </c>
      <c r="F133" s="444">
        <v>1981</v>
      </c>
      <c r="G133" s="447"/>
      <c r="H133" s="448">
        <f t="shared" si="34"/>
        <v>87.380930781094079</v>
      </c>
      <c r="I133" s="449">
        <v>86</v>
      </c>
      <c r="J133" s="450">
        <f t="shared" si="23"/>
        <v>85.956959999999995</v>
      </c>
      <c r="K133" s="450">
        <f t="shared" si="39"/>
        <v>26.2</v>
      </c>
      <c r="L133" s="450"/>
      <c r="M133" s="450">
        <v>26.2</v>
      </c>
      <c r="N133" s="450">
        <f t="shared" si="42"/>
        <v>19.356720000000003</v>
      </c>
      <c r="O133" s="450">
        <v>5.9</v>
      </c>
      <c r="P133" s="450">
        <f t="shared" si="42"/>
        <v>5.5773600000000005</v>
      </c>
      <c r="Q133" s="451">
        <v>1.7</v>
      </c>
      <c r="R133" s="452">
        <f t="shared" si="24"/>
        <v>4.4406779661016937</v>
      </c>
      <c r="S133" s="453">
        <f t="shared" si="25"/>
        <v>15.41176470588235</v>
      </c>
      <c r="T133" s="444">
        <v>13</v>
      </c>
      <c r="U133" s="454">
        <f t="shared" si="41"/>
        <v>2805</v>
      </c>
      <c r="V133" s="454">
        <v>2805</v>
      </c>
      <c r="W133" s="454"/>
      <c r="X133" s="455"/>
      <c r="Y133" s="456">
        <v>23</v>
      </c>
      <c r="Z133" s="457"/>
      <c r="AA133" s="458">
        <f t="shared" si="22"/>
        <v>1.8010891385630652</v>
      </c>
      <c r="AB133" s="459">
        <f t="shared" si="26"/>
        <v>3.243922085049844</v>
      </c>
      <c r="AC133" s="459">
        <f t="shared" si="27"/>
        <v>0.73781905311729434</v>
      </c>
      <c r="AD133" s="459">
        <f t="shared" si="28"/>
        <v>0.54437695514290085</v>
      </c>
      <c r="AE133" s="459">
        <f t="shared" si="29"/>
        <v>135.41142501288078</v>
      </c>
      <c r="AF133" s="460">
        <f t="shared" si="30"/>
        <v>0.70516934046345814</v>
      </c>
      <c r="AG133" s="446"/>
      <c r="AH133" s="446"/>
      <c r="AI133" s="446"/>
      <c r="AJ133" s="446"/>
      <c r="AK133" s="446"/>
      <c r="AL133" s="443"/>
      <c r="AM133" s="443"/>
      <c r="AN133" s="461"/>
      <c r="AO133" s="456">
        <f t="shared" si="31"/>
        <v>84.511590784162408</v>
      </c>
      <c r="AP133" s="460">
        <f t="shared" si="32"/>
        <v>2.647267824201244</v>
      </c>
      <c r="AQ133" s="443"/>
      <c r="AR133" s="462" t="s">
        <v>1100</v>
      </c>
      <c r="AV133" s="349"/>
      <c r="AW133" s="349"/>
      <c r="AX133" s="349"/>
    </row>
    <row r="134" spans="1:50" s="352" customFormat="1" ht="15.75">
      <c r="A134" s="442" t="s">
        <v>1326</v>
      </c>
      <c r="B134" s="443" t="s">
        <v>1372</v>
      </c>
      <c r="C134" s="444">
        <v>6</v>
      </c>
      <c r="D134" s="445" t="s">
        <v>1373</v>
      </c>
      <c r="E134" s="446">
        <v>1978</v>
      </c>
      <c r="F134" s="444">
        <v>1980</v>
      </c>
      <c r="G134" s="447"/>
      <c r="H134" s="448">
        <f t="shared" si="34"/>
        <v>87.380930781094079</v>
      </c>
      <c r="I134" s="449">
        <v>86</v>
      </c>
      <c r="J134" s="450">
        <f t="shared" si="23"/>
        <v>95.143200000000007</v>
      </c>
      <c r="K134" s="450">
        <f t="shared" si="39"/>
        <v>29</v>
      </c>
      <c r="L134" s="450"/>
      <c r="M134" s="450">
        <v>29</v>
      </c>
      <c r="N134" s="450">
        <f t="shared" si="42"/>
        <v>16.404</v>
      </c>
      <c r="O134" s="450">
        <v>5</v>
      </c>
      <c r="P134" s="450">
        <f t="shared" si="42"/>
        <v>5.5773600000000005</v>
      </c>
      <c r="Q134" s="451">
        <v>1.7</v>
      </c>
      <c r="R134" s="452">
        <f t="shared" ref="R134:R197" si="43">J134/N134</f>
        <v>5.8000000000000007</v>
      </c>
      <c r="S134" s="453">
        <f t="shared" ref="S134:S197" si="44">J134/P134</f>
        <v>17.058823529411764</v>
      </c>
      <c r="T134" s="444">
        <v>15</v>
      </c>
      <c r="U134" s="454">
        <f t="shared" si="41"/>
        <v>2660</v>
      </c>
      <c r="V134" s="454">
        <v>2660</v>
      </c>
      <c r="W134" s="454"/>
      <c r="X134" s="455"/>
      <c r="Y134" s="456">
        <v>27</v>
      </c>
      <c r="Z134" s="457"/>
      <c r="AA134" s="458">
        <f t="shared" si="22"/>
        <v>2.1143220322262066</v>
      </c>
      <c r="AB134" s="459">
        <f t="shared" si="26"/>
        <v>4.4703576559571561</v>
      </c>
      <c r="AC134" s="459">
        <f t="shared" si="27"/>
        <v>0.82326080791812895</v>
      </c>
      <c r="AD134" s="459">
        <f t="shared" si="28"/>
        <v>0.6777583578540104</v>
      </c>
      <c r="AE134" s="459">
        <f t="shared" si="29"/>
        <v>99.853936075651191</v>
      </c>
      <c r="AF134" s="460">
        <f t="shared" si="30"/>
        <v>0.87293233082706767</v>
      </c>
      <c r="AG134" s="446"/>
      <c r="AH134" s="446"/>
      <c r="AI134" s="446"/>
      <c r="AJ134" s="446"/>
      <c r="AK134" s="446"/>
      <c r="AL134" s="443"/>
      <c r="AM134" s="443"/>
      <c r="AN134" s="461"/>
      <c r="AO134" s="456">
        <f t="shared" si="31"/>
        <v>144.17012998119824</v>
      </c>
      <c r="AP134" s="460">
        <f t="shared" si="32"/>
        <v>4.0800002332850767</v>
      </c>
      <c r="AQ134" s="443"/>
      <c r="AR134" s="462" t="s">
        <v>1100</v>
      </c>
      <c r="AV134" s="349"/>
      <c r="AW134" s="349"/>
      <c r="AX134" s="349"/>
    </row>
    <row r="135" spans="1:50" s="352" customFormat="1" ht="15.75">
      <c r="A135" s="442" t="s">
        <v>1326</v>
      </c>
      <c r="B135" s="443" t="s">
        <v>1374</v>
      </c>
      <c r="C135" s="444">
        <v>1</v>
      </c>
      <c r="D135" s="445" t="s">
        <v>1208</v>
      </c>
      <c r="E135" s="446">
        <v>1985</v>
      </c>
      <c r="F135" s="444"/>
      <c r="G135" s="447"/>
      <c r="H135" s="448">
        <f t="shared" si="34"/>
        <v>91.445160119749616</v>
      </c>
      <c r="I135" s="449">
        <v>90</v>
      </c>
      <c r="J135" s="450">
        <f t="shared" si="23"/>
        <v>98.424000000000007</v>
      </c>
      <c r="K135" s="450">
        <f t="shared" si="39"/>
        <v>30</v>
      </c>
      <c r="L135" s="450"/>
      <c r="M135" s="450">
        <v>30</v>
      </c>
      <c r="N135" s="450">
        <f t="shared" si="42"/>
        <v>20.997120000000002</v>
      </c>
      <c r="O135" s="450">
        <v>6.4</v>
      </c>
      <c r="P135" s="450">
        <f t="shared" si="42"/>
        <v>5.2492800000000006</v>
      </c>
      <c r="Q135" s="451">
        <v>1.6</v>
      </c>
      <c r="R135" s="452">
        <f t="shared" si="43"/>
        <v>4.6875</v>
      </c>
      <c r="S135" s="453">
        <f t="shared" si="44"/>
        <v>18.75</v>
      </c>
      <c r="T135" s="444">
        <v>9</v>
      </c>
      <c r="U135" s="454">
        <f t="shared" si="41"/>
        <v>2322</v>
      </c>
      <c r="V135" s="454">
        <v>2322</v>
      </c>
      <c r="W135" s="454"/>
      <c r="X135" s="455"/>
      <c r="Y135" s="456">
        <v>25</v>
      </c>
      <c r="Z135" s="457"/>
      <c r="AA135" s="458">
        <f t="shared" si="22"/>
        <v>1.9429279842221934</v>
      </c>
      <c r="AB135" s="459">
        <f t="shared" si="26"/>
        <v>3.7749691518737158</v>
      </c>
      <c r="AC135" s="459">
        <f t="shared" si="27"/>
        <v>0.74946620956061583</v>
      </c>
      <c r="AD135" s="459">
        <f t="shared" si="28"/>
        <v>0.56169959927315694</v>
      </c>
      <c r="AE135" s="459">
        <f t="shared" si="29"/>
        <v>94.392932052288998</v>
      </c>
      <c r="AF135" s="460">
        <f t="shared" si="30"/>
        <v>0.96899224806201545</v>
      </c>
      <c r="AG135" s="457"/>
      <c r="AH135" s="457"/>
      <c r="AI135" s="457"/>
      <c r="AJ135" s="457"/>
      <c r="AK135" s="446"/>
      <c r="AL135" s="443"/>
      <c r="AM135" s="443"/>
      <c r="AN135" s="461"/>
      <c r="AO135" s="456">
        <f t="shared" si="31"/>
        <v>135.14069567227253</v>
      </c>
      <c r="AP135" s="460">
        <f t="shared" si="32"/>
        <v>3.753437114663531</v>
      </c>
      <c r="AQ135" s="443"/>
      <c r="AR135" s="462" t="s">
        <v>1100</v>
      </c>
      <c r="AV135" s="349"/>
      <c r="AW135" s="349"/>
      <c r="AX135" s="349"/>
    </row>
    <row r="136" spans="1:50" s="352" customFormat="1" ht="15.75">
      <c r="A136" s="442" t="s">
        <v>1326</v>
      </c>
      <c r="B136" s="443" t="s">
        <v>1375</v>
      </c>
      <c r="C136" s="444">
        <v>1</v>
      </c>
      <c r="D136" s="445" t="s">
        <v>1348</v>
      </c>
      <c r="E136" s="446">
        <v>1976</v>
      </c>
      <c r="F136" s="444" t="s">
        <v>567</v>
      </c>
      <c r="G136" s="447"/>
      <c r="H136" s="448">
        <f t="shared" si="34"/>
        <v>91.953188787081558</v>
      </c>
      <c r="I136" s="449">
        <v>90.5</v>
      </c>
      <c r="J136" s="450">
        <f t="shared" si="23"/>
        <v>104.98560000000001</v>
      </c>
      <c r="K136" s="450">
        <f t="shared" si="39"/>
        <v>32</v>
      </c>
      <c r="L136" s="450"/>
      <c r="M136" s="450">
        <v>32</v>
      </c>
      <c r="N136" s="450">
        <f t="shared" si="42"/>
        <v>20.340960000000003</v>
      </c>
      <c r="O136" s="450">
        <v>6.2</v>
      </c>
      <c r="P136" s="450">
        <f t="shared" si="42"/>
        <v>6.2335200000000004</v>
      </c>
      <c r="Q136" s="451">
        <v>1.9</v>
      </c>
      <c r="R136" s="452">
        <f t="shared" si="43"/>
        <v>5.161290322580645</v>
      </c>
      <c r="S136" s="453">
        <f t="shared" si="44"/>
        <v>16.842105263157894</v>
      </c>
      <c r="T136" s="444">
        <v>20</v>
      </c>
      <c r="U136" s="454">
        <f t="shared" si="41"/>
        <v>1300</v>
      </c>
      <c r="V136" s="454">
        <v>1300</v>
      </c>
      <c r="W136" s="454"/>
      <c r="X136" s="455"/>
      <c r="Y136" s="456">
        <v>22</v>
      </c>
      <c r="Z136" s="457"/>
      <c r="AA136" s="458">
        <f t="shared" ref="AA136:AA224" si="45">Y136*1.6878/SQRT(32.174*(H136*2204.6/2240*35)^(1/3))</f>
        <v>1.7081986096172024</v>
      </c>
      <c r="AB136" s="459">
        <f t="shared" si="26"/>
        <v>2.9179424898981434</v>
      </c>
      <c r="AC136" s="459">
        <f t="shared" si="27"/>
        <v>0.63858743259816186</v>
      </c>
      <c r="AD136" s="459">
        <f t="shared" si="28"/>
        <v>0.40779390907231194</v>
      </c>
      <c r="AE136" s="459">
        <f t="shared" si="29"/>
        <v>78.209475867298792</v>
      </c>
      <c r="AF136" s="460">
        <f t="shared" si="30"/>
        <v>1.5315384615384615</v>
      </c>
      <c r="AG136" s="446"/>
      <c r="AH136" s="446"/>
      <c r="AI136" s="446"/>
      <c r="AJ136" s="446"/>
      <c r="AK136" s="446"/>
      <c r="AL136" s="443"/>
      <c r="AM136" s="443"/>
      <c r="AN136" s="461"/>
      <c r="AO136" s="456">
        <f t="shared" si="31"/>
        <v>165.10380276509872</v>
      </c>
      <c r="AP136" s="460">
        <f t="shared" si="32"/>
        <v>4.3069851044773317</v>
      </c>
      <c r="AQ136" s="443"/>
      <c r="AR136" s="462" t="s">
        <v>1100</v>
      </c>
      <c r="AV136" s="349"/>
      <c r="AW136" s="349"/>
      <c r="AX136" s="349"/>
    </row>
    <row r="137" spans="1:50" s="352" customFormat="1" ht="15.75">
      <c r="A137" s="442" t="s">
        <v>1326</v>
      </c>
      <c r="B137" s="443" t="s">
        <v>1376</v>
      </c>
      <c r="C137" s="444">
        <v>47</v>
      </c>
      <c r="D137" s="445" t="s">
        <v>1377</v>
      </c>
      <c r="E137" s="446">
        <v>1998</v>
      </c>
      <c r="F137" s="444">
        <v>2002</v>
      </c>
      <c r="G137" s="447"/>
      <c r="H137" s="448">
        <f t="shared" si="34"/>
        <v>92.4612174544135</v>
      </c>
      <c r="I137" s="449">
        <v>91</v>
      </c>
      <c r="J137" s="450">
        <f t="shared" ref="J137:J202" si="46">K137*3.2808</f>
        <v>86.941200000000009</v>
      </c>
      <c r="K137" s="450">
        <f t="shared" si="39"/>
        <v>26.5</v>
      </c>
      <c r="L137" s="450"/>
      <c r="M137" s="450">
        <v>26.5</v>
      </c>
      <c r="N137" s="450">
        <f t="shared" si="42"/>
        <v>19.028639999999999</v>
      </c>
      <c r="O137" s="450">
        <v>5.8</v>
      </c>
      <c r="P137" s="450">
        <f t="shared" si="42"/>
        <v>5.2492800000000006</v>
      </c>
      <c r="Q137" s="451">
        <v>1.6</v>
      </c>
      <c r="R137" s="452">
        <f t="shared" si="43"/>
        <v>4.5689655172413799</v>
      </c>
      <c r="S137" s="453">
        <f t="shared" si="44"/>
        <v>16.5625</v>
      </c>
      <c r="T137" s="444">
        <v>10</v>
      </c>
      <c r="U137" s="454">
        <f t="shared" si="41"/>
        <v>2680</v>
      </c>
      <c r="V137" s="454">
        <v>2680</v>
      </c>
      <c r="W137" s="454"/>
      <c r="X137" s="455"/>
      <c r="Y137" s="456">
        <v>25</v>
      </c>
      <c r="Z137" s="457"/>
      <c r="AA137" s="458">
        <f t="shared" si="45"/>
        <v>1.9393531043942926</v>
      </c>
      <c r="AB137" s="459">
        <f t="shared" si="26"/>
        <v>3.7610904635237801</v>
      </c>
      <c r="AC137" s="459">
        <f t="shared" si="27"/>
        <v>0.79742481702026324</v>
      </c>
      <c r="AD137" s="459">
        <f t="shared" si="28"/>
        <v>0.63588633879980028</v>
      </c>
      <c r="AE137" s="459">
        <f t="shared" si="29"/>
        <v>138.47280883024186</v>
      </c>
      <c r="AF137" s="460">
        <f t="shared" si="30"/>
        <v>0.84888059701492535</v>
      </c>
      <c r="AG137" s="446"/>
      <c r="AH137" s="446"/>
      <c r="AI137" s="446"/>
      <c r="AJ137" s="446"/>
      <c r="AK137" s="446"/>
      <c r="AL137" s="443"/>
      <c r="AM137" s="443"/>
      <c r="AN137" s="461"/>
      <c r="AO137" s="456">
        <f t="shared" si="31"/>
        <v>117.95404177429035</v>
      </c>
      <c r="AP137" s="460">
        <f t="shared" si="32"/>
        <v>3.7224667661815141</v>
      </c>
      <c r="AQ137" s="443"/>
      <c r="AR137" s="462" t="s">
        <v>1100</v>
      </c>
    </row>
    <row r="138" spans="1:50" s="352" customFormat="1" ht="15.75">
      <c r="A138" s="442" t="s">
        <v>1326</v>
      </c>
      <c r="B138" s="443" t="s">
        <v>1378</v>
      </c>
      <c r="C138" s="444">
        <v>2</v>
      </c>
      <c r="D138" s="445" t="s">
        <v>1379</v>
      </c>
      <c r="E138" s="446">
        <v>1957</v>
      </c>
      <c r="F138" s="444" t="s">
        <v>567</v>
      </c>
      <c r="G138" s="447"/>
      <c r="H138" s="448">
        <f t="shared" si="34"/>
        <v>92.4612174544135</v>
      </c>
      <c r="I138" s="449">
        <v>91</v>
      </c>
      <c r="J138" s="450">
        <f t="shared" si="46"/>
        <v>101.70480000000001</v>
      </c>
      <c r="K138" s="450">
        <f t="shared" si="39"/>
        <v>31</v>
      </c>
      <c r="L138" s="450"/>
      <c r="M138" s="450">
        <v>31</v>
      </c>
      <c r="N138" s="450">
        <f t="shared" si="42"/>
        <v>18.372479999999999</v>
      </c>
      <c r="O138" s="450">
        <v>5.6</v>
      </c>
      <c r="P138" s="450">
        <f t="shared" si="42"/>
        <v>5.9054400000000005</v>
      </c>
      <c r="Q138" s="451">
        <v>1.8</v>
      </c>
      <c r="R138" s="452">
        <f t="shared" si="43"/>
        <v>5.5357142857142865</v>
      </c>
      <c r="S138" s="453">
        <f t="shared" si="44"/>
        <v>17.222222222222221</v>
      </c>
      <c r="T138" s="444">
        <v>20</v>
      </c>
      <c r="U138" s="454">
        <f t="shared" si="41"/>
        <v>2500</v>
      </c>
      <c r="V138" s="454">
        <v>2500</v>
      </c>
      <c r="W138" s="454"/>
      <c r="X138" s="455"/>
      <c r="Y138" s="456">
        <v>18</v>
      </c>
      <c r="Z138" s="457"/>
      <c r="AA138" s="458">
        <f t="shared" si="45"/>
        <v>1.3963342351638905</v>
      </c>
      <c r="AB138" s="459">
        <f t="shared" ref="AB138:AB202" si="47">AA138^2</f>
        <v>1.9497492962907272</v>
      </c>
      <c r="AC138" s="459">
        <f t="shared" ref="AC138:AC202" si="48">Y138*1.687/SQRT(32.174*J138)</f>
        <v>0.5308408475390759</v>
      </c>
      <c r="AD138" s="459">
        <f t="shared" ref="AD138:AD202" si="49">AC138^2</f>
        <v>0.28179200541600441</v>
      </c>
      <c r="AE138" s="459">
        <f t="shared" ref="AE138:AE202" si="50">I138/(0.01*J138)^3</f>
        <v>86.500186130962007</v>
      </c>
      <c r="AF138" s="460">
        <f t="shared" si="30"/>
        <v>0.6552</v>
      </c>
      <c r="AG138" s="446"/>
      <c r="AH138" s="446"/>
      <c r="AI138" s="446"/>
      <c r="AJ138" s="446"/>
      <c r="AK138" s="446"/>
      <c r="AL138" s="443"/>
      <c r="AM138" s="443"/>
      <c r="AN138" s="461"/>
      <c r="AO138" s="456">
        <f t="shared" si="31"/>
        <v>47.19599011743059</v>
      </c>
      <c r="AP138" s="460">
        <f t="shared" si="32"/>
        <v>1.2732312339240626</v>
      </c>
      <c r="AQ138" s="443"/>
      <c r="AR138" s="462" t="s">
        <v>1100</v>
      </c>
      <c r="AV138" s="349"/>
      <c r="AW138" s="349"/>
      <c r="AX138" s="349"/>
    </row>
    <row r="139" spans="1:50" s="352" customFormat="1" ht="15.75">
      <c r="A139" s="442" t="s">
        <v>1326</v>
      </c>
      <c r="B139" s="443" t="s">
        <v>1380</v>
      </c>
      <c r="C139" s="444">
        <v>1</v>
      </c>
      <c r="D139" s="445" t="s">
        <v>1381</v>
      </c>
      <c r="E139" s="446">
        <v>1976</v>
      </c>
      <c r="F139" s="444"/>
      <c r="G139" s="447"/>
      <c r="H139" s="448">
        <f t="shared" si="40"/>
        <v>93.477274789077384</v>
      </c>
      <c r="I139" s="449">
        <v>92</v>
      </c>
      <c r="J139" s="450">
        <f t="shared" si="46"/>
        <v>95.143200000000007</v>
      </c>
      <c r="K139" s="450">
        <f t="shared" si="39"/>
        <v>29</v>
      </c>
      <c r="L139" s="450"/>
      <c r="M139" s="450">
        <v>29</v>
      </c>
      <c r="N139" s="450">
        <f t="shared" si="42"/>
        <v>16.404</v>
      </c>
      <c r="O139" s="450">
        <v>5</v>
      </c>
      <c r="P139" s="450">
        <f t="shared" si="42"/>
        <v>5.5773600000000005</v>
      </c>
      <c r="Q139" s="451">
        <v>1.7</v>
      </c>
      <c r="R139" s="452">
        <f t="shared" si="43"/>
        <v>5.8000000000000007</v>
      </c>
      <c r="S139" s="453">
        <f t="shared" si="44"/>
        <v>17.058823529411764</v>
      </c>
      <c r="T139" s="444">
        <v>17</v>
      </c>
      <c r="U139" s="454">
        <f t="shared" si="41"/>
        <v>2700</v>
      </c>
      <c r="V139" s="454">
        <v>2700</v>
      </c>
      <c r="W139" s="454"/>
      <c r="X139" s="455"/>
      <c r="Y139" s="456">
        <v>27</v>
      </c>
      <c r="Z139" s="457"/>
      <c r="AA139" s="458">
        <f t="shared" si="45"/>
        <v>2.0906896664797538</v>
      </c>
      <c r="AB139" s="459">
        <f t="shared" si="47"/>
        <v>4.3709832815252243</v>
      </c>
      <c r="AC139" s="459">
        <f t="shared" si="48"/>
        <v>0.82326080791812895</v>
      </c>
      <c r="AD139" s="459">
        <f t="shared" si="49"/>
        <v>0.6777583578540104</v>
      </c>
      <c r="AE139" s="459">
        <f t="shared" si="50"/>
        <v>106.82048975534778</v>
      </c>
      <c r="AF139" s="460">
        <f t="shared" ref="AF139:AF203" si="51">IF(U139="","",Y139*I139/U139)</f>
        <v>0.92</v>
      </c>
      <c r="AG139" s="457"/>
      <c r="AH139" s="457"/>
      <c r="AI139" s="457"/>
      <c r="AJ139" s="457"/>
      <c r="AK139" s="446"/>
      <c r="AL139" s="443"/>
      <c r="AM139" s="443"/>
      <c r="AN139" s="461"/>
      <c r="AO139" s="456">
        <f t="shared" ref="AO139:AO203" si="52">IF(U139="","",I139^(2/3)*Y139^3/U139)</f>
        <v>148.56599407254947</v>
      </c>
      <c r="AP139" s="460">
        <f t="shared" ref="AP139:AP203" si="53">IF(U139="","",0.61*I139*Y139^3/(J139*U139))</f>
        <v>4.2999899099462704</v>
      </c>
      <c r="AQ139" s="443"/>
      <c r="AR139" s="462" t="s">
        <v>1100</v>
      </c>
      <c r="AV139" s="349"/>
      <c r="AW139" s="349"/>
      <c r="AX139" s="349"/>
    </row>
    <row r="140" spans="1:50" s="352" customFormat="1" ht="15.75">
      <c r="A140" s="442" t="s">
        <v>1326</v>
      </c>
      <c r="B140" s="443" t="s">
        <v>1382</v>
      </c>
      <c r="C140" s="444">
        <v>3</v>
      </c>
      <c r="D140" s="445" t="s">
        <v>1383</v>
      </c>
      <c r="E140" s="446">
        <v>1986</v>
      </c>
      <c r="F140" s="444"/>
      <c r="G140" s="447"/>
      <c r="H140" s="448">
        <f t="shared" si="40"/>
        <v>93.477274789077384</v>
      </c>
      <c r="I140" s="449">
        <v>92</v>
      </c>
      <c r="J140" s="450">
        <f t="shared" si="46"/>
        <v>89.893919999999994</v>
      </c>
      <c r="K140" s="450">
        <f t="shared" si="39"/>
        <v>27.4</v>
      </c>
      <c r="L140" s="450"/>
      <c r="M140" s="450">
        <v>27.4</v>
      </c>
      <c r="N140" s="450">
        <f t="shared" si="42"/>
        <v>21.653279999999999</v>
      </c>
      <c r="O140" s="450">
        <v>6.6</v>
      </c>
      <c r="P140" s="450">
        <f t="shared" si="42"/>
        <v>7.2177600000000011</v>
      </c>
      <c r="Q140" s="451">
        <v>2.2000000000000002</v>
      </c>
      <c r="R140" s="452">
        <f t="shared" si="43"/>
        <v>4.1515151515151514</v>
      </c>
      <c r="S140" s="453">
        <f t="shared" si="44"/>
        <v>12.454545454545451</v>
      </c>
      <c r="T140" s="444">
        <v>17</v>
      </c>
      <c r="U140" s="454">
        <f t="shared" si="41"/>
        <v>4290</v>
      </c>
      <c r="V140" s="454">
        <v>4290</v>
      </c>
      <c r="W140" s="454"/>
      <c r="X140" s="455"/>
      <c r="Y140" s="456">
        <v>32</v>
      </c>
      <c r="Z140" s="457"/>
      <c r="AA140" s="458">
        <f t="shared" si="45"/>
        <v>2.4778544195315599</v>
      </c>
      <c r="AB140" s="459">
        <f t="shared" si="47"/>
        <v>6.1397625243920837</v>
      </c>
      <c r="AC140" s="459">
        <f t="shared" si="48"/>
        <v>1.003800418982127</v>
      </c>
      <c r="AD140" s="459">
        <f t="shared" si="49"/>
        <v>1.0076152811486938</v>
      </c>
      <c r="AE140" s="459">
        <f t="shared" si="50"/>
        <v>126.64757253492509</v>
      </c>
      <c r="AF140" s="460">
        <f t="shared" si="51"/>
        <v>0.6862470862470863</v>
      </c>
      <c r="AG140" s="457"/>
      <c r="AH140" s="457"/>
      <c r="AI140" s="457"/>
      <c r="AJ140" s="457"/>
      <c r="AK140" s="446"/>
      <c r="AL140" s="443"/>
      <c r="AM140" s="443"/>
      <c r="AN140" s="461"/>
      <c r="AO140" s="456">
        <f t="shared" si="52"/>
        <v>155.66268873506513</v>
      </c>
      <c r="AP140" s="460">
        <f t="shared" si="53"/>
        <v>4.768480225952767</v>
      </c>
      <c r="AQ140" s="443"/>
      <c r="AR140" s="462" t="s">
        <v>1100</v>
      </c>
    </row>
    <row r="141" spans="1:50" s="352" customFormat="1" ht="15.75">
      <c r="A141" s="442" t="s">
        <v>1326</v>
      </c>
      <c r="B141" s="443" t="s">
        <v>1384</v>
      </c>
      <c r="C141" s="444">
        <v>1</v>
      </c>
      <c r="D141" s="445" t="s">
        <v>1385</v>
      </c>
      <c r="E141" s="446">
        <v>1985</v>
      </c>
      <c r="F141" s="444" t="s">
        <v>567</v>
      </c>
      <c r="G141" s="447"/>
      <c r="H141" s="448">
        <f t="shared" si="40"/>
        <v>94.493332123741268</v>
      </c>
      <c r="I141" s="449">
        <v>93</v>
      </c>
      <c r="J141" s="450">
        <f t="shared" si="46"/>
        <v>104.98560000000001</v>
      </c>
      <c r="K141" s="450">
        <f t="shared" si="39"/>
        <v>32</v>
      </c>
      <c r="L141" s="450"/>
      <c r="M141" s="450">
        <v>32</v>
      </c>
      <c r="N141" s="450">
        <f t="shared" si="42"/>
        <v>20.669039999999999</v>
      </c>
      <c r="O141" s="450">
        <v>6.3</v>
      </c>
      <c r="P141" s="450">
        <f t="shared" si="42"/>
        <v>6.8896800000000002</v>
      </c>
      <c r="Q141" s="451">
        <v>2.1</v>
      </c>
      <c r="R141" s="452">
        <f t="shared" si="43"/>
        <v>5.07936507936508</v>
      </c>
      <c r="S141" s="453">
        <f t="shared" si="44"/>
        <v>15.238095238095239</v>
      </c>
      <c r="T141" s="444">
        <v>20</v>
      </c>
      <c r="U141" s="454">
        <f t="shared" si="41"/>
        <v>3270</v>
      </c>
      <c r="V141" s="454">
        <v>3270</v>
      </c>
      <c r="W141" s="454"/>
      <c r="X141" s="455"/>
      <c r="Y141" s="456">
        <v>32</v>
      </c>
      <c r="Z141" s="457"/>
      <c r="AA141" s="458">
        <f t="shared" si="45"/>
        <v>2.4733937933183427</v>
      </c>
      <c r="AB141" s="459">
        <f t="shared" si="47"/>
        <v>6.1176768568257005</v>
      </c>
      <c r="AC141" s="459">
        <f t="shared" si="48"/>
        <v>0.92885444741550816</v>
      </c>
      <c r="AD141" s="459">
        <f t="shared" si="49"/>
        <v>0.86277058448356903</v>
      </c>
      <c r="AE141" s="459">
        <f t="shared" si="50"/>
        <v>80.369958626063948</v>
      </c>
      <c r="AF141" s="460">
        <f t="shared" si="51"/>
        <v>0.91009174311926611</v>
      </c>
      <c r="AG141" s="446"/>
      <c r="AH141" s="446"/>
      <c r="AI141" s="446"/>
      <c r="AJ141" s="446"/>
      <c r="AK141" s="446"/>
      <c r="AL141" s="443"/>
      <c r="AM141" s="443"/>
      <c r="AN141" s="461"/>
      <c r="AO141" s="456">
        <f t="shared" si="52"/>
        <v>205.69519557972404</v>
      </c>
      <c r="AP141" s="460">
        <f t="shared" si="53"/>
        <v>5.4148350480639085</v>
      </c>
      <c r="AQ141" s="443"/>
      <c r="AR141" s="462" t="s">
        <v>1100</v>
      </c>
      <c r="AV141" s="349"/>
      <c r="AW141" s="349"/>
      <c r="AX141" s="349"/>
    </row>
    <row r="142" spans="1:50" s="352" customFormat="1" ht="15.75">
      <c r="A142" s="542" t="s">
        <v>1326</v>
      </c>
      <c r="B142" s="543" t="s">
        <v>1386</v>
      </c>
      <c r="C142" s="544"/>
      <c r="D142" s="545" t="s">
        <v>1364</v>
      </c>
      <c r="E142" s="546">
        <v>2004</v>
      </c>
      <c r="F142" s="544"/>
      <c r="G142" s="547"/>
      <c r="H142" s="548"/>
      <c r="I142" s="549"/>
      <c r="J142" s="550">
        <f>K142*3.2808</f>
        <v>137.7936</v>
      </c>
      <c r="K142" s="550">
        <v>42</v>
      </c>
      <c r="L142" s="550"/>
      <c r="M142" s="550"/>
      <c r="N142" s="550">
        <f>O142*3.2808</f>
        <v>26.902559999999998</v>
      </c>
      <c r="O142" s="550">
        <v>8.1999999999999993</v>
      </c>
      <c r="P142" s="550">
        <f>Q142*3.2808</f>
        <v>6.5616000000000003</v>
      </c>
      <c r="Q142" s="551">
        <v>2</v>
      </c>
      <c r="R142" s="552">
        <f t="shared" si="43"/>
        <v>5.1219512195121952</v>
      </c>
      <c r="S142" s="553">
        <f t="shared" si="44"/>
        <v>21</v>
      </c>
      <c r="T142" s="544">
        <v>9</v>
      </c>
      <c r="U142" s="554">
        <f>IF(V142="",W142,V142)</f>
        <v>5364.087434625184</v>
      </c>
      <c r="V142" s="554">
        <f>X142/0.7457</f>
        <v>5364.087434625184</v>
      </c>
      <c r="W142" s="554"/>
      <c r="X142" s="555">
        <v>4000</v>
      </c>
      <c r="Y142" s="556">
        <v>18</v>
      </c>
      <c r="Z142" s="557"/>
      <c r="AA142" s="558"/>
      <c r="AB142" s="559"/>
      <c r="AC142" s="559">
        <f>Y142*1.687/SQRT(32.174*J142)</f>
        <v>0.45605848016549405</v>
      </c>
      <c r="AD142" s="559">
        <f>AC142^2</f>
        <v>0.20798933733086034</v>
      </c>
      <c r="AE142" s="559"/>
      <c r="AF142" s="560"/>
      <c r="AG142" s="557">
        <v>1000</v>
      </c>
      <c r="AH142" s="557">
        <v>18</v>
      </c>
      <c r="AI142" s="557"/>
      <c r="AJ142" s="557"/>
      <c r="AK142" s="546"/>
      <c r="AL142" s="543"/>
      <c r="AM142" s="543"/>
      <c r="AN142" s="561"/>
      <c r="AO142" s="556"/>
      <c r="AP142" s="560"/>
      <c r="AQ142" s="543"/>
      <c r="AR142" s="562" t="s">
        <v>1331</v>
      </c>
      <c r="AV142" s="349"/>
      <c r="AW142" s="349"/>
      <c r="AX142" s="349"/>
    </row>
    <row r="143" spans="1:50" s="352" customFormat="1" ht="15.75">
      <c r="A143" s="442" t="s">
        <v>1326</v>
      </c>
      <c r="B143" s="443" t="s">
        <v>1387</v>
      </c>
      <c r="C143" s="444">
        <v>2</v>
      </c>
      <c r="D143" s="445" t="s">
        <v>1355</v>
      </c>
      <c r="E143" s="446">
        <v>1984</v>
      </c>
      <c r="F143" s="444"/>
      <c r="G143" s="447"/>
      <c r="H143" s="448">
        <f t="shared" si="40"/>
        <v>95.001360791073211</v>
      </c>
      <c r="I143" s="449">
        <v>93.5</v>
      </c>
      <c r="J143" s="450">
        <f t="shared" si="46"/>
        <v>109.9068</v>
      </c>
      <c r="K143" s="450">
        <f t="shared" si="39"/>
        <v>33.5</v>
      </c>
      <c r="L143" s="450"/>
      <c r="M143" s="450">
        <v>33.5</v>
      </c>
      <c r="N143" s="450">
        <f t="shared" si="42"/>
        <v>23.949840000000002</v>
      </c>
      <c r="O143" s="450">
        <v>7.3</v>
      </c>
      <c r="P143" s="450">
        <f t="shared" si="42"/>
        <v>5.9054400000000005</v>
      </c>
      <c r="Q143" s="451">
        <v>1.8</v>
      </c>
      <c r="R143" s="452">
        <f t="shared" si="43"/>
        <v>4.5890410958904111</v>
      </c>
      <c r="S143" s="453">
        <f t="shared" si="44"/>
        <v>18.611111111111111</v>
      </c>
      <c r="T143" s="444">
        <v>19</v>
      </c>
      <c r="U143" s="454">
        <f t="shared" si="41"/>
        <v>1020</v>
      </c>
      <c r="V143" s="454">
        <v>1020</v>
      </c>
      <c r="W143" s="454"/>
      <c r="X143" s="455"/>
      <c r="Y143" s="456">
        <v>23</v>
      </c>
      <c r="Z143" s="457"/>
      <c r="AA143" s="458">
        <f t="shared" si="45"/>
        <v>1.7761637979443932</v>
      </c>
      <c r="AB143" s="459">
        <f t="shared" si="47"/>
        <v>3.1547578371282512</v>
      </c>
      <c r="AC143" s="459">
        <f t="shared" si="48"/>
        <v>0.65249638243965447</v>
      </c>
      <c r="AD143" s="459">
        <f t="shared" si="49"/>
        <v>0.42575152909683583</v>
      </c>
      <c r="AE143" s="459">
        <f t="shared" si="50"/>
        <v>70.426794361452863</v>
      </c>
      <c r="AF143" s="460">
        <f t="shared" si="51"/>
        <v>2.1083333333333334</v>
      </c>
      <c r="AG143" s="457"/>
      <c r="AH143" s="457"/>
      <c r="AI143" s="457"/>
      <c r="AJ143" s="457"/>
      <c r="AK143" s="446"/>
      <c r="AL143" s="443"/>
      <c r="AM143" s="443"/>
      <c r="AN143" s="461"/>
      <c r="AO143" s="456">
        <f t="shared" si="52"/>
        <v>245.72975267532195</v>
      </c>
      <c r="AP143" s="460">
        <f t="shared" si="53"/>
        <v>6.1901364004168373</v>
      </c>
      <c r="AQ143" s="443"/>
      <c r="AR143" s="462" t="s">
        <v>1100</v>
      </c>
      <c r="AV143" s="349"/>
      <c r="AW143" s="349"/>
      <c r="AX143" s="349"/>
    </row>
    <row r="144" spans="1:50" s="352" customFormat="1" ht="15.75">
      <c r="A144" s="442" t="s">
        <v>1326</v>
      </c>
      <c r="B144" s="443" t="s">
        <v>1388</v>
      </c>
      <c r="C144" s="444">
        <v>5</v>
      </c>
      <c r="D144" s="445" t="s">
        <v>1389</v>
      </c>
      <c r="E144" s="446">
        <v>1991</v>
      </c>
      <c r="F144" s="444" t="s">
        <v>567</v>
      </c>
      <c r="G144" s="447"/>
      <c r="H144" s="448">
        <f t="shared" si="40"/>
        <v>95.509389458405153</v>
      </c>
      <c r="I144" s="449">
        <v>94</v>
      </c>
      <c r="J144" s="450">
        <f t="shared" si="46"/>
        <v>89.237760000000009</v>
      </c>
      <c r="K144" s="450">
        <f t="shared" si="39"/>
        <v>27.2</v>
      </c>
      <c r="L144" s="450"/>
      <c r="M144" s="450">
        <v>27.2</v>
      </c>
      <c r="N144" s="450">
        <f t="shared" si="42"/>
        <v>19.356720000000003</v>
      </c>
      <c r="O144" s="450">
        <v>5.9</v>
      </c>
      <c r="P144" s="450">
        <f t="shared" si="42"/>
        <v>4.5931199999999999</v>
      </c>
      <c r="Q144" s="451">
        <v>1.4</v>
      </c>
      <c r="R144" s="452">
        <f t="shared" si="43"/>
        <v>4.6101694915254239</v>
      </c>
      <c r="S144" s="453">
        <f t="shared" si="44"/>
        <v>19.428571428571431</v>
      </c>
      <c r="T144" s="444">
        <v>12</v>
      </c>
      <c r="U144" s="454">
        <f t="shared" si="41"/>
        <v>3700</v>
      </c>
      <c r="V144" s="454">
        <v>3700</v>
      </c>
      <c r="W144" s="454"/>
      <c r="X144" s="455"/>
      <c r="Y144" s="456">
        <v>26</v>
      </c>
      <c r="Z144" s="457"/>
      <c r="AA144" s="458">
        <f t="shared" si="45"/>
        <v>2.0060533812652697</v>
      </c>
      <c r="AB144" s="459">
        <f t="shared" si="47"/>
        <v>4.0242501684858212</v>
      </c>
      <c r="AC144" s="459">
        <f t="shared" si="48"/>
        <v>0.81858083338176058</v>
      </c>
      <c r="AD144" s="459">
        <f t="shared" si="49"/>
        <v>0.67007458077997761</v>
      </c>
      <c r="AE144" s="459">
        <f t="shared" si="50"/>
        <v>132.27624950876449</v>
      </c>
      <c r="AF144" s="460">
        <f t="shared" si="51"/>
        <v>0.66054054054054057</v>
      </c>
      <c r="AG144" s="446"/>
      <c r="AH144" s="446"/>
      <c r="AI144" s="446"/>
      <c r="AJ144" s="446"/>
      <c r="AK144" s="446"/>
      <c r="AL144" s="443"/>
      <c r="AM144" s="443"/>
      <c r="AN144" s="461"/>
      <c r="AO144" s="456">
        <f t="shared" si="52"/>
        <v>98.205743714286442</v>
      </c>
      <c r="AP144" s="460">
        <f t="shared" si="53"/>
        <v>3.0523009239283598</v>
      </c>
      <c r="AQ144" s="443"/>
      <c r="AR144" s="462" t="s">
        <v>1100</v>
      </c>
      <c r="AV144" s="349"/>
      <c r="AW144" s="349"/>
      <c r="AX144" s="349"/>
    </row>
    <row r="145" spans="1:50" s="352" customFormat="1" ht="15.75">
      <c r="A145" s="442" t="s">
        <v>1326</v>
      </c>
      <c r="B145" s="443" t="s">
        <v>1390</v>
      </c>
      <c r="C145" s="444">
        <v>1</v>
      </c>
      <c r="D145" s="445" t="s">
        <v>1391</v>
      </c>
      <c r="E145" s="446">
        <v>1986</v>
      </c>
      <c r="F145" s="444" t="s">
        <v>567</v>
      </c>
      <c r="G145" s="447"/>
      <c r="H145" s="448">
        <f t="shared" si="40"/>
        <v>95.509389458405153</v>
      </c>
      <c r="I145" s="449">
        <v>94</v>
      </c>
      <c r="J145" s="450">
        <f t="shared" si="46"/>
        <v>105.96983999999999</v>
      </c>
      <c r="K145" s="450">
        <f t="shared" si="39"/>
        <v>32.299999999999997</v>
      </c>
      <c r="L145" s="450"/>
      <c r="M145" s="450">
        <v>32.299999999999997</v>
      </c>
      <c r="N145" s="450">
        <f t="shared" si="42"/>
        <v>20.669039999999999</v>
      </c>
      <c r="O145" s="450">
        <v>6.3</v>
      </c>
      <c r="P145" s="450">
        <f t="shared" si="42"/>
        <v>6.8896800000000002</v>
      </c>
      <c r="Q145" s="451">
        <v>2.1</v>
      </c>
      <c r="R145" s="452">
        <f t="shared" si="43"/>
        <v>5.1269841269841265</v>
      </c>
      <c r="S145" s="453">
        <f t="shared" si="44"/>
        <v>15.38095238095238</v>
      </c>
      <c r="T145" s="444">
        <v>17</v>
      </c>
      <c r="U145" s="454">
        <f t="shared" si="41"/>
        <v>2070</v>
      </c>
      <c r="V145" s="454">
        <v>2070</v>
      </c>
      <c r="W145" s="454"/>
      <c r="X145" s="455"/>
      <c r="Y145" s="456">
        <v>30</v>
      </c>
      <c r="Z145" s="457"/>
      <c r="AA145" s="458">
        <f t="shared" si="45"/>
        <v>2.3146769783830035</v>
      </c>
      <c r="AB145" s="459">
        <f t="shared" si="47"/>
        <v>5.3577295142562713</v>
      </c>
      <c r="AC145" s="459">
        <f t="shared" si="48"/>
        <v>0.86674764287378148</v>
      </c>
      <c r="AD145" s="459">
        <f t="shared" si="49"/>
        <v>0.7512514764272562</v>
      </c>
      <c r="AE145" s="459">
        <f t="shared" si="50"/>
        <v>78.991619476293906</v>
      </c>
      <c r="AF145" s="460">
        <f t="shared" si="51"/>
        <v>1.3623188405797102</v>
      </c>
      <c r="AG145" s="446"/>
      <c r="AH145" s="446"/>
      <c r="AI145" s="446"/>
      <c r="AJ145" s="446"/>
      <c r="AK145" s="446"/>
      <c r="AL145" s="443"/>
      <c r="AM145" s="443"/>
      <c r="AN145" s="461"/>
      <c r="AO145" s="456">
        <f t="shared" si="52"/>
        <v>269.65717956021541</v>
      </c>
      <c r="AP145" s="460">
        <f t="shared" si="53"/>
        <v>7.0577915704908198</v>
      </c>
      <c r="AQ145" s="443"/>
      <c r="AR145" s="462" t="s">
        <v>1100</v>
      </c>
      <c r="AV145" s="349"/>
      <c r="AW145" s="349"/>
      <c r="AX145" s="349"/>
    </row>
    <row r="146" spans="1:50" s="352" customFormat="1" ht="15.75">
      <c r="A146" s="442" t="s">
        <v>1326</v>
      </c>
      <c r="B146" s="443" t="s">
        <v>1392</v>
      </c>
      <c r="C146" s="444">
        <v>14</v>
      </c>
      <c r="D146" s="445" t="s">
        <v>1371</v>
      </c>
      <c r="E146" s="446">
        <v>1984</v>
      </c>
      <c r="F146" s="444">
        <v>1997</v>
      </c>
      <c r="G146" s="447"/>
      <c r="H146" s="448">
        <f t="shared" si="40"/>
        <v>96.525446793069037</v>
      </c>
      <c r="I146" s="449">
        <v>95</v>
      </c>
      <c r="J146" s="450">
        <f t="shared" si="46"/>
        <v>86.941200000000009</v>
      </c>
      <c r="K146" s="450">
        <f t="shared" si="39"/>
        <v>26.5</v>
      </c>
      <c r="L146" s="450"/>
      <c r="M146" s="450">
        <v>26.5</v>
      </c>
      <c r="N146" s="450">
        <f t="shared" si="42"/>
        <v>19.028639999999999</v>
      </c>
      <c r="O146" s="450">
        <v>5.8</v>
      </c>
      <c r="P146" s="450">
        <f t="shared" si="42"/>
        <v>5.9054400000000005</v>
      </c>
      <c r="Q146" s="451">
        <v>1.8</v>
      </c>
      <c r="R146" s="452">
        <f t="shared" si="43"/>
        <v>4.5689655172413799</v>
      </c>
      <c r="S146" s="453">
        <f t="shared" si="44"/>
        <v>14.722222222222223</v>
      </c>
      <c r="T146" s="444">
        <v>17</v>
      </c>
      <c r="U146" s="454">
        <f t="shared" si="41"/>
        <v>2951</v>
      </c>
      <c r="V146" s="454">
        <v>2951</v>
      </c>
      <c r="W146" s="454"/>
      <c r="X146" s="455"/>
      <c r="Y146" s="456">
        <v>26</v>
      </c>
      <c r="Z146" s="457"/>
      <c r="AA146" s="458">
        <f t="shared" si="45"/>
        <v>2.0025184533971014</v>
      </c>
      <c r="AB146" s="459">
        <f t="shared" si="47"/>
        <v>4.0100801561959187</v>
      </c>
      <c r="AC146" s="459">
        <f t="shared" si="48"/>
        <v>0.82932180970107372</v>
      </c>
      <c r="AD146" s="459">
        <f t="shared" si="49"/>
        <v>0.68777466404586396</v>
      </c>
      <c r="AE146" s="459">
        <f t="shared" si="50"/>
        <v>144.55952570190084</v>
      </c>
      <c r="AF146" s="460">
        <f t="shared" si="51"/>
        <v>0.83700440528634357</v>
      </c>
      <c r="AG146" s="446"/>
      <c r="AH146" s="446"/>
      <c r="AI146" s="446"/>
      <c r="AJ146" s="446"/>
      <c r="AK146" s="446"/>
      <c r="AL146" s="443"/>
      <c r="AM146" s="443"/>
      <c r="AN146" s="461"/>
      <c r="AO146" s="456">
        <f t="shared" si="52"/>
        <v>124.00329859889354</v>
      </c>
      <c r="AP146" s="460">
        <f t="shared" si="53"/>
        <v>3.9698915653784006</v>
      </c>
      <c r="AQ146" s="443"/>
      <c r="AR146" s="462" t="s">
        <v>1100</v>
      </c>
      <c r="AV146" s="349"/>
      <c r="AW146" s="349"/>
      <c r="AX146" s="349"/>
    </row>
    <row r="147" spans="1:50" s="352" customFormat="1" ht="15.75">
      <c r="A147" s="442" t="s">
        <v>1326</v>
      </c>
      <c r="B147" s="443" t="s">
        <v>1393</v>
      </c>
      <c r="C147" s="444">
        <v>3</v>
      </c>
      <c r="D147" s="445" t="s">
        <v>1161</v>
      </c>
      <c r="E147" s="446">
        <v>2001</v>
      </c>
      <c r="F147" s="444" t="s">
        <v>567</v>
      </c>
      <c r="G147" s="447"/>
      <c r="H147" s="448">
        <f t="shared" si="40"/>
        <v>96.525446793069037</v>
      </c>
      <c r="I147" s="449">
        <v>95</v>
      </c>
      <c r="J147" s="450">
        <f t="shared" si="46"/>
        <v>95.143200000000007</v>
      </c>
      <c r="K147" s="450">
        <f t="shared" si="39"/>
        <v>29</v>
      </c>
      <c r="L147" s="450"/>
      <c r="M147" s="450">
        <v>29</v>
      </c>
      <c r="N147" s="450">
        <f t="shared" si="42"/>
        <v>21.981360000000002</v>
      </c>
      <c r="O147" s="450">
        <v>6.7</v>
      </c>
      <c r="P147" s="450">
        <f t="shared" si="42"/>
        <v>4.5931199999999999</v>
      </c>
      <c r="Q147" s="451">
        <v>1.4</v>
      </c>
      <c r="R147" s="452">
        <f t="shared" si="43"/>
        <v>4.3283582089552235</v>
      </c>
      <c r="S147" s="453">
        <f t="shared" si="44"/>
        <v>20.714285714285715</v>
      </c>
      <c r="T147" s="444">
        <v>13</v>
      </c>
      <c r="U147" s="454">
        <f t="shared" si="41"/>
        <v>7398</v>
      </c>
      <c r="V147" s="454">
        <v>7398</v>
      </c>
      <c r="W147" s="454"/>
      <c r="X147" s="455"/>
      <c r="Y147" s="456">
        <v>45</v>
      </c>
      <c r="Z147" s="457"/>
      <c r="AA147" s="458">
        <f t="shared" si="45"/>
        <v>3.4658973231872907</v>
      </c>
      <c r="AB147" s="459">
        <f t="shared" si="47"/>
        <v>12.012444254876828</v>
      </c>
      <c r="AC147" s="459">
        <f t="shared" si="48"/>
        <v>1.372101346530215</v>
      </c>
      <c r="AD147" s="459">
        <f t="shared" si="49"/>
        <v>1.8826621051500292</v>
      </c>
      <c r="AE147" s="459">
        <f t="shared" si="50"/>
        <v>110.30376659519608</v>
      </c>
      <c r="AF147" s="460">
        <f t="shared" si="51"/>
        <v>0.57785888077858882</v>
      </c>
      <c r="AG147" s="446"/>
      <c r="AH147" s="446"/>
      <c r="AI147" s="446"/>
      <c r="AJ147" s="446"/>
      <c r="AK147" s="446"/>
      <c r="AL147" s="443"/>
      <c r="AM147" s="443"/>
      <c r="AN147" s="461"/>
      <c r="AO147" s="456">
        <f t="shared" si="52"/>
        <v>256.45172099478822</v>
      </c>
      <c r="AP147" s="460">
        <f t="shared" si="53"/>
        <v>7.502377284784953</v>
      </c>
      <c r="AQ147" s="443"/>
      <c r="AR147" s="462" t="s">
        <v>1100</v>
      </c>
      <c r="AV147" s="349"/>
      <c r="AW147" s="349"/>
      <c r="AX147" s="349"/>
    </row>
    <row r="148" spans="1:50" s="352" customFormat="1" ht="15.75">
      <c r="A148" s="442" t="s">
        <v>1326</v>
      </c>
      <c r="B148" s="443" t="s">
        <v>1394</v>
      </c>
      <c r="C148" s="444">
        <v>2</v>
      </c>
      <c r="D148" s="445" t="s">
        <v>1379</v>
      </c>
      <c r="E148" s="446">
        <v>1992</v>
      </c>
      <c r="F148" s="444" t="s">
        <v>567</v>
      </c>
      <c r="G148" s="447"/>
      <c r="H148" s="448">
        <f t="shared" si="40"/>
        <v>96.525446793069037</v>
      </c>
      <c r="I148" s="449">
        <v>95</v>
      </c>
      <c r="J148" s="450">
        <f t="shared" si="46"/>
        <v>95.143200000000007</v>
      </c>
      <c r="K148" s="450">
        <f t="shared" si="39"/>
        <v>29</v>
      </c>
      <c r="L148" s="450"/>
      <c r="M148" s="450">
        <v>29</v>
      </c>
      <c r="N148" s="450">
        <f t="shared" si="42"/>
        <v>16.404</v>
      </c>
      <c r="O148" s="450">
        <v>5</v>
      </c>
      <c r="P148" s="450">
        <f t="shared" si="42"/>
        <v>6.2335200000000004</v>
      </c>
      <c r="Q148" s="451">
        <v>1.9</v>
      </c>
      <c r="R148" s="452">
        <f t="shared" si="43"/>
        <v>5.8000000000000007</v>
      </c>
      <c r="S148" s="453">
        <f t="shared" si="44"/>
        <v>15.263157894736842</v>
      </c>
      <c r="T148" s="444">
        <v>8</v>
      </c>
      <c r="U148" s="454">
        <f t="shared" si="41"/>
        <v>2700</v>
      </c>
      <c r="V148" s="454">
        <v>2700</v>
      </c>
      <c r="W148" s="454"/>
      <c r="X148" s="455"/>
      <c r="Y148" s="456">
        <v>21</v>
      </c>
      <c r="Z148" s="457"/>
      <c r="AA148" s="458">
        <f t="shared" si="45"/>
        <v>1.6174187508207356</v>
      </c>
      <c r="AB148" s="459">
        <f t="shared" si="47"/>
        <v>2.6160434155065087</v>
      </c>
      <c r="AC148" s="459">
        <f t="shared" si="48"/>
        <v>0.64031396171410027</v>
      </c>
      <c r="AD148" s="459">
        <f t="shared" si="49"/>
        <v>0.41000196956600626</v>
      </c>
      <c r="AE148" s="459">
        <f t="shared" si="50"/>
        <v>110.30376659519608</v>
      </c>
      <c r="AF148" s="460">
        <f t="shared" si="51"/>
        <v>0.73888888888888893</v>
      </c>
      <c r="AG148" s="446"/>
      <c r="AH148" s="446"/>
      <c r="AI148" s="446"/>
      <c r="AJ148" s="446"/>
      <c r="AK148" s="446"/>
      <c r="AL148" s="443"/>
      <c r="AM148" s="443"/>
      <c r="AN148" s="461"/>
      <c r="AO148" s="456">
        <f t="shared" si="52"/>
        <v>71.412875977873156</v>
      </c>
      <c r="AP148" s="460">
        <f t="shared" si="53"/>
        <v>2.0891508799367688</v>
      </c>
      <c r="AQ148" s="443"/>
      <c r="AR148" s="462" t="s">
        <v>1100</v>
      </c>
      <c r="AV148" s="349"/>
      <c r="AW148" s="349"/>
      <c r="AX148" s="349"/>
    </row>
    <row r="149" spans="1:50" s="352" customFormat="1" ht="15.75">
      <c r="A149" s="442" t="s">
        <v>1326</v>
      </c>
      <c r="B149" s="443" t="s">
        <v>1395</v>
      </c>
      <c r="C149" s="444">
        <v>18</v>
      </c>
      <c r="D149" s="445" t="s">
        <v>1185</v>
      </c>
      <c r="E149" s="446">
        <v>1964</v>
      </c>
      <c r="F149" s="444">
        <v>1968</v>
      </c>
      <c r="G149" s="447"/>
      <c r="H149" s="448">
        <f t="shared" si="40"/>
        <v>97.541504127732921</v>
      </c>
      <c r="I149" s="449">
        <v>96</v>
      </c>
      <c r="J149" s="450">
        <f t="shared" si="46"/>
        <v>103.01712000000001</v>
      </c>
      <c r="K149" s="450">
        <f t="shared" si="39"/>
        <v>31.4</v>
      </c>
      <c r="L149" s="450"/>
      <c r="M149" s="450">
        <v>31.4</v>
      </c>
      <c r="N149" s="450">
        <f t="shared" si="42"/>
        <v>19.684800000000003</v>
      </c>
      <c r="O149" s="450">
        <v>6</v>
      </c>
      <c r="P149" s="450">
        <f t="shared" si="42"/>
        <v>5.5773600000000005</v>
      </c>
      <c r="Q149" s="451">
        <v>1.7</v>
      </c>
      <c r="R149" s="452">
        <f t="shared" si="43"/>
        <v>5.2333333333333325</v>
      </c>
      <c r="S149" s="453">
        <f t="shared" si="44"/>
        <v>18.470588235294116</v>
      </c>
      <c r="T149" s="444">
        <v>22</v>
      </c>
      <c r="U149" s="454">
        <f t="shared" si="41"/>
        <v>3500</v>
      </c>
      <c r="V149" s="454">
        <v>3500</v>
      </c>
      <c r="W149" s="454"/>
      <c r="X149" s="455"/>
      <c r="Y149" s="456">
        <v>27</v>
      </c>
      <c r="Z149" s="457"/>
      <c r="AA149" s="458">
        <f t="shared" si="45"/>
        <v>2.0759123139622355</v>
      </c>
      <c r="AB149" s="459">
        <f t="shared" si="47"/>
        <v>4.3094119352600435</v>
      </c>
      <c r="AC149" s="459">
        <f t="shared" si="48"/>
        <v>0.79117328776093221</v>
      </c>
      <c r="AD149" s="459">
        <f t="shared" si="49"/>
        <v>0.62595517126644284</v>
      </c>
      <c r="AE149" s="459">
        <f t="shared" si="50"/>
        <v>87.809806469646688</v>
      </c>
      <c r="AF149" s="460">
        <f t="shared" si="51"/>
        <v>0.74057142857142855</v>
      </c>
      <c r="AG149" s="446"/>
      <c r="AH149" s="446"/>
      <c r="AI149" s="446"/>
      <c r="AJ149" s="446"/>
      <c r="AK149" s="446"/>
      <c r="AL149" s="443"/>
      <c r="AM149" s="443"/>
      <c r="AN149" s="461"/>
      <c r="AO149" s="456">
        <f t="shared" si="52"/>
        <v>117.90640654220275</v>
      </c>
      <c r="AP149" s="460">
        <f t="shared" si="53"/>
        <v>3.1967959167508133</v>
      </c>
      <c r="AQ149" s="443"/>
      <c r="AR149" s="462" t="s">
        <v>1100</v>
      </c>
      <c r="AV149" s="349"/>
      <c r="AW149" s="349"/>
      <c r="AX149" s="349"/>
    </row>
    <row r="150" spans="1:50" s="352" customFormat="1" ht="15.75">
      <c r="A150" s="442" t="s">
        <v>1326</v>
      </c>
      <c r="B150" s="443" t="s">
        <v>1396</v>
      </c>
      <c r="C150" s="444">
        <v>1</v>
      </c>
      <c r="D150" s="445" t="s">
        <v>1344</v>
      </c>
      <c r="E150" s="446">
        <v>1974</v>
      </c>
      <c r="F150" s="444"/>
      <c r="G150" s="447"/>
      <c r="H150" s="448">
        <f t="shared" si="40"/>
        <v>97.541504127732921</v>
      </c>
      <c r="I150" s="449">
        <v>96</v>
      </c>
      <c r="J150" s="450">
        <f t="shared" si="46"/>
        <v>95.471280000000007</v>
      </c>
      <c r="K150" s="450">
        <f t="shared" si="39"/>
        <v>29.1</v>
      </c>
      <c r="L150" s="450"/>
      <c r="M150" s="450">
        <v>29.1</v>
      </c>
      <c r="N150" s="450">
        <f t="shared" si="42"/>
        <v>20.340960000000003</v>
      </c>
      <c r="O150" s="450">
        <v>6.2</v>
      </c>
      <c r="P150" s="450">
        <f t="shared" si="42"/>
        <v>6.2335200000000004</v>
      </c>
      <c r="Q150" s="451">
        <v>1.9</v>
      </c>
      <c r="R150" s="452">
        <f t="shared" si="43"/>
        <v>4.693548387096774</v>
      </c>
      <c r="S150" s="453">
        <f t="shared" si="44"/>
        <v>15.315789473684211</v>
      </c>
      <c r="T150" s="444">
        <v>17</v>
      </c>
      <c r="U150" s="454">
        <f t="shared" si="41"/>
        <v>1290</v>
      </c>
      <c r="V150" s="454">
        <v>1290</v>
      </c>
      <c r="W150" s="454"/>
      <c r="X150" s="455"/>
      <c r="Y150" s="456">
        <v>14</v>
      </c>
      <c r="Z150" s="457"/>
      <c r="AA150" s="458">
        <f t="shared" si="45"/>
        <v>1.0763989776100482</v>
      </c>
      <c r="AB150" s="459">
        <f t="shared" si="47"/>
        <v>1.158634758999957</v>
      </c>
      <c r="AC150" s="459">
        <f t="shared" si="48"/>
        <v>0.42614187939377635</v>
      </c>
      <c r="AD150" s="459">
        <f t="shared" si="49"/>
        <v>0.18159690137325982</v>
      </c>
      <c r="AE150" s="459">
        <f t="shared" si="50"/>
        <v>110.31968096909655</v>
      </c>
      <c r="AF150" s="460">
        <f t="shared" si="51"/>
        <v>1.0418604651162791</v>
      </c>
      <c r="AG150" s="457"/>
      <c r="AH150" s="457"/>
      <c r="AI150" s="457"/>
      <c r="AJ150" s="457"/>
      <c r="AK150" s="446"/>
      <c r="AL150" s="443"/>
      <c r="AM150" s="443"/>
      <c r="AN150" s="461"/>
      <c r="AO150" s="456">
        <f t="shared" si="52"/>
        <v>44.597298516026115</v>
      </c>
      <c r="AP150" s="460">
        <f t="shared" si="53"/>
        <v>1.3047362223414447</v>
      </c>
      <c r="AQ150" s="443"/>
      <c r="AR150" s="462" t="s">
        <v>1100</v>
      </c>
      <c r="AV150" s="349"/>
      <c r="AW150" s="349"/>
      <c r="AX150" s="349"/>
    </row>
    <row r="151" spans="1:50" s="352" customFormat="1" ht="15.75">
      <c r="A151" s="442" t="s">
        <v>1326</v>
      </c>
      <c r="B151" s="443" t="s">
        <v>1397</v>
      </c>
      <c r="C151" s="444">
        <v>2</v>
      </c>
      <c r="D151" s="445" t="s">
        <v>1398</v>
      </c>
      <c r="E151" s="446">
        <v>1971</v>
      </c>
      <c r="F151" s="444" t="s">
        <v>567</v>
      </c>
      <c r="G151" s="447"/>
      <c r="H151" s="448">
        <f t="shared" si="40"/>
        <v>97.541504127732921</v>
      </c>
      <c r="I151" s="449">
        <v>96</v>
      </c>
      <c r="J151" s="450">
        <f t="shared" si="46"/>
        <v>103.01712000000001</v>
      </c>
      <c r="K151" s="450">
        <f t="shared" si="39"/>
        <v>31.4</v>
      </c>
      <c r="L151" s="450"/>
      <c r="M151" s="450">
        <v>31.4</v>
      </c>
      <c r="N151" s="450">
        <f t="shared" si="42"/>
        <v>19.028639999999999</v>
      </c>
      <c r="O151" s="450">
        <v>5.8</v>
      </c>
      <c r="P151" s="450">
        <f t="shared" si="42"/>
        <v>5.9054400000000005</v>
      </c>
      <c r="Q151" s="451">
        <v>1.8</v>
      </c>
      <c r="R151" s="452">
        <f t="shared" si="43"/>
        <v>5.4137931034482767</v>
      </c>
      <c r="S151" s="453">
        <f t="shared" si="44"/>
        <v>17.444444444444443</v>
      </c>
      <c r="T151" s="444">
        <v>17</v>
      </c>
      <c r="U151" s="454">
        <f t="shared" si="41"/>
        <v>5000</v>
      </c>
      <c r="V151" s="454">
        <v>5000</v>
      </c>
      <c r="W151" s="454"/>
      <c r="X151" s="455"/>
      <c r="Y151" s="456">
        <v>18</v>
      </c>
      <c r="Z151" s="457"/>
      <c r="AA151" s="458">
        <f t="shared" si="45"/>
        <v>1.3839415426414903</v>
      </c>
      <c r="AB151" s="459">
        <f t="shared" si="47"/>
        <v>1.9152941934489078</v>
      </c>
      <c r="AC151" s="459">
        <f t="shared" si="48"/>
        <v>0.52744885850728818</v>
      </c>
      <c r="AD151" s="459">
        <f t="shared" si="49"/>
        <v>0.27820229834064131</v>
      </c>
      <c r="AE151" s="459">
        <f t="shared" si="50"/>
        <v>87.809806469646688</v>
      </c>
      <c r="AF151" s="460">
        <f t="shared" si="51"/>
        <v>0.34560000000000002</v>
      </c>
      <c r="AG151" s="446"/>
      <c r="AH151" s="446"/>
      <c r="AI151" s="446"/>
      <c r="AJ151" s="446"/>
      <c r="AK151" s="446"/>
      <c r="AL151" s="443"/>
      <c r="AM151" s="443"/>
      <c r="AN151" s="461"/>
      <c r="AO151" s="456">
        <f t="shared" si="52"/>
        <v>24.45466209764205</v>
      </c>
      <c r="AP151" s="460">
        <f t="shared" si="53"/>
        <v>0.66303915310387251</v>
      </c>
      <c r="AQ151" s="443"/>
      <c r="AR151" s="462" t="s">
        <v>1100</v>
      </c>
      <c r="AV151" s="349"/>
      <c r="AW151" s="349"/>
      <c r="AX151" s="349"/>
    </row>
    <row r="152" spans="1:50" s="352" customFormat="1" ht="15.75">
      <c r="A152" s="442" t="s">
        <v>1326</v>
      </c>
      <c r="B152" s="443" t="s">
        <v>1399</v>
      </c>
      <c r="C152" s="444">
        <v>2</v>
      </c>
      <c r="D152" s="445" t="s">
        <v>1400</v>
      </c>
      <c r="E152" s="446">
        <v>1958</v>
      </c>
      <c r="F152" s="444">
        <v>1991</v>
      </c>
      <c r="G152" s="447"/>
      <c r="H152" s="448">
        <f t="shared" si="40"/>
        <v>99.573618797060689</v>
      </c>
      <c r="I152" s="449">
        <v>98</v>
      </c>
      <c r="J152" s="450">
        <f t="shared" si="46"/>
        <v>94.815119999999993</v>
      </c>
      <c r="K152" s="450">
        <f t="shared" si="39"/>
        <v>28.9</v>
      </c>
      <c r="L152" s="450"/>
      <c r="M152" s="450">
        <v>28.9</v>
      </c>
      <c r="N152" s="450">
        <f t="shared" si="42"/>
        <v>20.340960000000003</v>
      </c>
      <c r="O152" s="450">
        <v>6.2</v>
      </c>
      <c r="P152" s="450">
        <f t="shared" si="42"/>
        <v>6.5616000000000003</v>
      </c>
      <c r="Q152" s="451">
        <v>2</v>
      </c>
      <c r="R152" s="452">
        <f t="shared" si="43"/>
        <v>4.6612903225806441</v>
      </c>
      <c r="S152" s="453">
        <f t="shared" si="44"/>
        <v>14.449999999999998</v>
      </c>
      <c r="T152" s="444">
        <v>14</v>
      </c>
      <c r="U152" s="454">
        <f t="shared" si="41"/>
        <v>2070</v>
      </c>
      <c r="V152" s="454">
        <v>2070</v>
      </c>
      <c r="W152" s="454"/>
      <c r="X152" s="455"/>
      <c r="Y152" s="456">
        <v>20</v>
      </c>
      <c r="Z152" s="457"/>
      <c r="AA152" s="458">
        <f t="shared" si="45"/>
        <v>1.5324374711227635</v>
      </c>
      <c r="AB152" s="459">
        <f t="shared" si="47"/>
        <v>2.3483646029011305</v>
      </c>
      <c r="AC152" s="459">
        <f t="shared" si="48"/>
        <v>0.61087696636002364</v>
      </c>
      <c r="AD152" s="459">
        <f t="shared" si="49"/>
        <v>0.37317066802922544</v>
      </c>
      <c r="AE152" s="459">
        <f t="shared" si="50"/>
        <v>114.97231566017679</v>
      </c>
      <c r="AF152" s="460">
        <f t="shared" si="51"/>
        <v>0.9468599033816425</v>
      </c>
      <c r="AG152" s="446"/>
      <c r="AH152" s="446"/>
      <c r="AI152" s="446"/>
      <c r="AJ152" s="446"/>
      <c r="AK152" s="446"/>
      <c r="AL152" s="443"/>
      <c r="AM152" s="443"/>
      <c r="AN152" s="461"/>
      <c r="AO152" s="456">
        <f t="shared" si="52"/>
        <v>82.149266871998591</v>
      </c>
      <c r="AP152" s="460">
        <f t="shared" si="53"/>
        <v>2.4366769395547965</v>
      </c>
      <c r="AQ152" s="443"/>
      <c r="AR152" s="462" t="s">
        <v>1100</v>
      </c>
      <c r="AV152" s="349"/>
      <c r="AW152" s="349"/>
      <c r="AX152" s="349"/>
    </row>
    <row r="153" spans="1:50" s="352" customFormat="1" ht="15.75">
      <c r="A153" s="442" t="s">
        <v>1326</v>
      </c>
      <c r="B153" s="443" t="s">
        <v>1401</v>
      </c>
      <c r="C153" s="444">
        <v>3</v>
      </c>
      <c r="D153" s="445" t="s">
        <v>1402</v>
      </c>
      <c r="E153" s="446">
        <v>1990</v>
      </c>
      <c r="F153" s="444">
        <v>1991</v>
      </c>
      <c r="G153" s="447"/>
      <c r="H153" s="448">
        <f t="shared" si="40"/>
        <v>99.573618797060689</v>
      </c>
      <c r="I153" s="449">
        <v>98</v>
      </c>
      <c r="J153" s="450">
        <f t="shared" si="46"/>
        <v>94.815119999999993</v>
      </c>
      <c r="K153" s="450">
        <f t="shared" si="39"/>
        <v>28.9</v>
      </c>
      <c r="L153" s="450"/>
      <c r="M153" s="450">
        <v>28.9</v>
      </c>
      <c r="N153" s="450">
        <f t="shared" si="42"/>
        <v>20.340960000000003</v>
      </c>
      <c r="O153" s="450">
        <v>6.2</v>
      </c>
      <c r="P153" s="450">
        <f t="shared" si="42"/>
        <v>6.5616000000000003</v>
      </c>
      <c r="Q153" s="451">
        <v>2</v>
      </c>
      <c r="R153" s="452">
        <f t="shared" si="43"/>
        <v>4.6612903225806441</v>
      </c>
      <c r="S153" s="453">
        <f t="shared" si="44"/>
        <v>14.449999999999998</v>
      </c>
      <c r="T153" s="444">
        <v>14</v>
      </c>
      <c r="U153" s="454">
        <f t="shared" si="41"/>
        <v>2322</v>
      </c>
      <c r="V153" s="454">
        <v>2322</v>
      </c>
      <c r="W153" s="454"/>
      <c r="X153" s="455"/>
      <c r="Y153" s="456">
        <v>20</v>
      </c>
      <c r="Z153" s="457"/>
      <c r="AA153" s="458">
        <f t="shared" si="45"/>
        <v>1.5324374711227635</v>
      </c>
      <c r="AB153" s="459">
        <f t="shared" si="47"/>
        <v>2.3483646029011305</v>
      </c>
      <c r="AC153" s="459">
        <f t="shared" si="48"/>
        <v>0.61087696636002364</v>
      </c>
      <c r="AD153" s="459">
        <f t="shared" si="49"/>
        <v>0.37317066802922544</v>
      </c>
      <c r="AE153" s="459">
        <f t="shared" si="50"/>
        <v>114.97231566017679</v>
      </c>
      <c r="AF153" s="460">
        <f t="shared" si="51"/>
        <v>0.84409991386735572</v>
      </c>
      <c r="AG153" s="446"/>
      <c r="AH153" s="446"/>
      <c r="AI153" s="446"/>
      <c r="AJ153" s="446"/>
      <c r="AK153" s="446"/>
      <c r="AL153" s="443"/>
      <c r="AM153" s="443"/>
      <c r="AN153" s="461"/>
      <c r="AO153" s="456">
        <f t="shared" si="52"/>
        <v>73.233842560308815</v>
      </c>
      <c r="AP153" s="460">
        <f t="shared" si="53"/>
        <v>2.172231380223268</v>
      </c>
      <c r="AQ153" s="443"/>
      <c r="AR153" s="462" t="s">
        <v>1100</v>
      </c>
      <c r="AV153" s="349"/>
      <c r="AW153" s="349"/>
      <c r="AX153" s="349"/>
    </row>
    <row r="154" spans="1:50" s="352" customFormat="1" ht="15.75">
      <c r="A154" s="442" t="s">
        <v>1326</v>
      </c>
      <c r="B154" s="443" t="s">
        <v>1403</v>
      </c>
      <c r="C154" s="444">
        <v>1</v>
      </c>
      <c r="D154" s="445" t="s">
        <v>1381</v>
      </c>
      <c r="E154" s="446">
        <v>1983</v>
      </c>
      <c r="F154" s="444"/>
      <c r="G154" s="447"/>
      <c r="H154" s="448">
        <f t="shared" si="40"/>
        <v>99.573618797060689</v>
      </c>
      <c r="I154" s="449">
        <v>98</v>
      </c>
      <c r="J154" s="450">
        <f t="shared" si="46"/>
        <v>105.31368000000001</v>
      </c>
      <c r="K154" s="450">
        <f t="shared" si="39"/>
        <v>32.1</v>
      </c>
      <c r="L154" s="450"/>
      <c r="M154" s="450">
        <v>32.1</v>
      </c>
      <c r="N154" s="450">
        <f t="shared" si="42"/>
        <v>21.325200000000002</v>
      </c>
      <c r="O154" s="450">
        <v>6.5</v>
      </c>
      <c r="P154" s="450">
        <f t="shared" si="42"/>
        <v>5.9054400000000005</v>
      </c>
      <c r="Q154" s="451">
        <v>1.8</v>
      </c>
      <c r="R154" s="452">
        <f t="shared" si="43"/>
        <v>4.9384615384615378</v>
      </c>
      <c r="S154" s="453">
        <f t="shared" si="44"/>
        <v>17.833333333333332</v>
      </c>
      <c r="T154" s="444">
        <v>22</v>
      </c>
      <c r="U154" s="454">
        <f t="shared" si="41"/>
        <v>4680</v>
      </c>
      <c r="V154" s="454">
        <v>4680</v>
      </c>
      <c r="W154" s="454"/>
      <c r="X154" s="455"/>
      <c r="Y154" s="456">
        <v>30</v>
      </c>
      <c r="Z154" s="457"/>
      <c r="AA154" s="458">
        <f t="shared" si="45"/>
        <v>2.2986562066841452</v>
      </c>
      <c r="AB154" s="459">
        <f t="shared" si="47"/>
        <v>5.2838203565275439</v>
      </c>
      <c r="AC154" s="459">
        <f t="shared" si="48"/>
        <v>0.86944359850678954</v>
      </c>
      <c r="AD154" s="459">
        <f t="shared" si="49"/>
        <v>0.75593217098443544</v>
      </c>
      <c r="AE154" s="459">
        <f t="shared" si="50"/>
        <v>83.901883363589164</v>
      </c>
      <c r="AF154" s="460">
        <f t="shared" si="51"/>
        <v>0.62820512820512819</v>
      </c>
      <c r="AG154" s="457"/>
      <c r="AH154" s="457"/>
      <c r="AI154" s="457"/>
      <c r="AJ154" s="457"/>
      <c r="AK154" s="446"/>
      <c r="AL154" s="443"/>
      <c r="AM154" s="443"/>
      <c r="AN154" s="461"/>
      <c r="AO154" s="456">
        <f t="shared" si="52"/>
        <v>122.63147771036328</v>
      </c>
      <c r="AP154" s="460">
        <f t="shared" si="53"/>
        <v>3.2748320577594039</v>
      </c>
      <c r="AQ154" s="443"/>
      <c r="AR154" s="462" t="s">
        <v>1100</v>
      </c>
    </row>
    <row r="155" spans="1:50" s="352" customFormat="1" ht="15.75">
      <c r="A155" s="442" t="s">
        <v>1326</v>
      </c>
      <c r="B155" s="443" t="s">
        <v>1404</v>
      </c>
      <c r="C155" s="444">
        <v>2</v>
      </c>
      <c r="D155" s="445" t="s">
        <v>1193</v>
      </c>
      <c r="E155" s="446">
        <v>1989</v>
      </c>
      <c r="F155" s="444">
        <v>1990</v>
      </c>
      <c r="G155" s="447"/>
      <c r="H155" s="448">
        <f t="shared" si="40"/>
        <v>100.58967613172457</v>
      </c>
      <c r="I155" s="449">
        <v>99</v>
      </c>
      <c r="J155" s="450">
        <f t="shared" si="46"/>
        <v>109.9068</v>
      </c>
      <c r="K155" s="450">
        <f t="shared" si="39"/>
        <v>33.5</v>
      </c>
      <c r="L155" s="450"/>
      <c r="M155" s="450">
        <v>33.5</v>
      </c>
      <c r="N155" s="450">
        <f t="shared" si="42"/>
        <v>24.606000000000002</v>
      </c>
      <c r="O155" s="450">
        <v>7.5</v>
      </c>
      <c r="P155" s="450">
        <f t="shared" si="42"/>
        <v>6.5616000000000003</v>
      </c>
      <c r="Q155" s="451">
        <v>2</v>
      </c>
      <c r="R155" s="452">
        <f t="shared" si="43"/>
        <v>4.4666666666666668</v>
      </c>
      <c r="S155" s="453">
        <f t="shared" si="44"/>
        <v>16.75</v>
      </c>
      <c r="T155" s="444">
        <v>19</v>
      </c>
      <c r="U155" s="454">
        <f t="shared" si="41"/>
        <v>2400</v>
      </c>
      <c r="V155" s="454">
        <v>2400</v>
      </c>
      <c r="W155" s="454"/>
      <c r="X155" s="455"/>
      <c r="Y155" s="456">
        <v>25</v>
      </c>
      <c r="Z155" s="457"/>
      <c r="AA155" s="458">
        <f t="shared" si="45"/>
        <v>1.9123083556889577</v>
      </c>
      <c r="AB155" s="459">
        <f t="shared" si="47"/>
        <v>3.6569232472378053</v>
      </c>
      <c r="AC155" s="459">
        <f t="shared" si="48"/>
        <v>0.7092351983039723</v>
      </c>
      <c r="AD155" s="459">
        <f t="shared" si="49"/>
        <v>0.50301456651327492</v>
      </c>
      <c r="AE155" s="459">
        <f t="shared" si="50"/>
        <v>74.5695469709501</v>
      </c>
      <c r="AF155" s="460">
        <f t="shared" si="51"/>
        <v>1.03125</v>
      </c>
      <c r="AG155" s="457"/>
      <c r="AH155" s="457"/>
      <c r="AI155" s="457"/>
      <c r="AJ155" s="457"/>
      <c r="AK155" s="446"/>
      <c r="AL155" s="443"/>
      <c r="AM155" s="443"/>
      <c r="AN155" s="461"/>
      <c r="AO155" s="456">
        <f t="shared" si="52"/>
        <v>139.32602519000596</v>
      </c>
      <c r="AP155" s="460">
        <f t="shared" si="53"/>
        <v>3.5772496560722358</v>
      </c>
      <c r="AQ155" s="443"/>
      <c r="AR155" s="462" t="s">
        <v>1100</v>
      </c>
      <c r="AV155" s="349"/>
      <c r="AW155" s="349"/>
      <c r="AX155" s="349"/>
    </row>
    <row r="156" spans="1:50" s="352" customFormat="1" ht="15.75">
      <c r="A156" s="442" t="s">
        <v>1326</v>
      </c>
      <c r="B156" s="443" t="s">
        <v>1405</v>
      </c>
      <c r="C156" s="444">
        <v>3</v>
      </c>
      <c r="D156" s="445" t="s">
        <v>1406</v>
      </c>
      <c r="E156" s="446">
        <v>1975</v>
      </c>
      <c r="F156" s="444" t="s">
        <v>567</v>
      </c>
      <c r="G156" s="447"/>
      <c r="H156" s="448">
        <f t="shared" si="40"/>
        <v>101.60573346638847</v>
      </c>
      <c r="I156" s="449">
        <v>100</v>
      </c>
      <c r="J156" s="450">
        <f t="shared" si="46"/>
        <v>100.06440000000001</v>
      </c>
      <c r="K156" s="450">
        <f t="shared" si="39"/>
        <v>30.5</v>
      </c>
      <c r="L156" s="450"/>
      <c r="M156" s="450">
        <v>30.5</v>
      </c>
      <c r="N156" s="450">
        <f t="shared" si="42"/>
        <v>20.997120000000002</v>
      </c>
      <c r="O156" s="450">
        <v>6.4</v>
      </c>
      <c r="P156" s="450">
        <f t="shared" si="42"/>
        <v>4.9212000000000007</v>
      </c>
      <c r="Q156" s="451">
        <v>1.5</v>
      </c>
      <c r="R156" s="452">
        <f t="shared" si="43"/>
        <v>4.765625</v>
      </c>
      <c r="S156" s="453">
        <f t="shared" si="44"/>
        <v>20.333333333333332</v>
      </c>
      <c r="T156" s="444">
        <v>10</v>
      </c>
      <c r="U156" s="454">
        <f t="shared" si="41"/>
        <v>1260</v>
      </c>
      <c r="V156" s="454">
        <v>1260</v>
      </c>
      <c r="W156" s="454"/>
      <c r="X156" s="455"/>
      <c r="Y156" s="456">
        <v>25</v>
      </c>
      <c r="Z156" s="457"/>
      <c r="AA156" s="458">
        <f t="shared" si="45"/>
        <v>1.9091078134426536</v>
      </c>
      <c r="AB156" s="459">
        <f t="shared" si="47"/>
        <v>3.6446926433477898</v>
      </c>
      <c r="AC156" s="459">
        <f t="shared" si="48"/>
        <v>0.74329765849297413</v>
      </c>
      <c r="AD156" s="459">
        <f t="shared" si="49"/>
        <v>0.55249140912113803</v>
      </c>
      <c r="AE156" s="459">
        <f t="shared" si="50"/>
        <v>99.807048574767776</v>
      </c>
      <c r="AF156" s="460">
        <f t="shared" si="51"/>
        <v>1.9841269841269842</v>
      </c>
      <c r="AG156" s="446"/>
      <c r="AH156" s="446"/>
      <c r="AI156" s="446"/>
      <c r="AJ156" s="446"/>
      <c r="AK156" s="446"/>
      <c r="AL156" s="443"/>
      <c r="AM156" s="443"/>
      <c r="AN156" s="461"/>
      <c r="AO156" s="456">
        <f t="shared" si="52"/>
        <v>267.1670002519698</v>
      </c>
      <c r="AP156" s="460">
        <f t="shared" si="53"/>
        <v>7.5596157344511399</v>
      </c>
      <c r="AQ156" s="443"/>
      <c r="AR156" s="462" t="s">
        <v>1100</v>
      </c>
      <c r="AV156" s="349"/>
      <c r="AW156" s="349"/>
      <c r="AX156" s="349"/>
    </row>
    <row r="157" spans="1:50" s="352" customFormat="1" ht="15.75">
      <c r="A157" s="442" t="s">
        <v>1326</v>
      </c>
      <c r="B157" s="443" t="s">
        <v>1407</v>
      </c>
      <c r="C157" s="444">
        <v>2</v>
      </c>
      <c r="D157" s="445" t="s">
        <v>1229</v>
      </c>
      <c r="E157" s="446">
        <v>1964</v>
      </c>
      <c r="F157" s="444">
        <v>1966</v>
      </c>
      <c r="G157" s="447"/>
      <c r="H157" s="448">
        <f t="shared" si="40"/>
        <v>101.60573346638847</v>
      </c>
      <c r="I157" s="449">
        <v>100</v>
      </c>
      <c r="J157" s="450">
        <f t="shared" si="46"/>
        <v>98.424000000000007</v>
      </c>
      <c r="K157" s="450">
        <f t="shared" si="39"/>
        <v>30</v>
      </c>
      <c r="L157" s="450"/>
      <c r="M157" s="450">
        <v>30</v>
      </c>
      <c r="N157" s="450">
        <f t="shared" si="42"/>
        <v>20.997120000000002</v>
      </c>
      <c r="O157" s="450">
        <v>6.4</v>
      </c>
      <c r="P157" s="450">
        <f t="shared" si="42"/>
        <v>6.8896800000000002</v>
      </c>
      <c r="Q157" s="451">
        <v>2.1</v>
      </c>
      <c r="R157" s="452">
        <f t="shared" si="43"/>
        <v>4.6875</v>
      </c>
      <c r="S157" s="453">
        <f t="shared" si="44"/>
        <v>14.285714285714286</v>
      </c>
      <c r="T157" s="444">
        <v>14</v>
      </c>
      <c r="U157" s="454">
        <f t="shared" si="41"/>
        <v>2700</v>
      </c>
      <c r="V157" s="454">
        <v>2700</v>
      </c>
      <c r="W157" s="454"/>
      <c r="X157" s="455"/>
      <c r="Y157" s="456">
        <v>22</v>
      </c>
      <c r="Z157" s="457"/>
      <c r="AA157" s="458">
        <f t="shared" si="45"/>
        <v>1.680014875829535</v>
      </c>
      <c r="AB157" s="459">
        <f t="shared" si="47"/>
        <v>2.8224499830085281</v>
      </c>
      <c r="AC157" s="459">
        <f t="shared" si="48"/>
        <v>0.65953026441334195</v>
      </c>
      <c r="AD157" s="459">
        <f t="shared" si="49"/>
        <v>0.43498016967713277</v>
      </c>
      <c r="AE157" s="459">
        <f t="shared" si="50"/>
        <v>104.88103561365445</v>
      </c>
      <c r="AF157" s="460">
        <f t="shared" si="51"/>
        <v>0.81481481481481477</v>
      </c>
      <c r="AG157" s="457"/>
      <c r="AH157" s="457"/>
      <c r="AI157" s="457"/>
      <c r="AJ157" s="457"/>
      <c r="AK157" s="446"/>
      <c r="AL157" s="443"/>
      <c r="AM157" s="443"/>
      <c r="AN157" s="461"/>
      <c r="AO157" s="456">
        <f t="shared" si="52"/>
        <v>84.964520664664832</v>
      </c>
      <c r="AP157" s="460">
        <f t="shared" si="53"/>
        <v>2.4441795286304751</v>
      </c>
      <c r="AQ157" s="443"/>
      <c r="AR157" s="462" t="s">
        <v>1100</v>
      </c>
      <c r="AV157" s="349"/>
      <c r="AW157" s="349"/>
      <c r="AX157" s="349"/>
    </row>
    <row r="158" spans="1:50" s="352" customFormat="1" ht="15.75">
      <c r="A158" s="442" t="s">
        <v>1326</v>
      </c>
      <c r="B158" s="443" t="s">
        <v>1408</v>
      </c>
      <c r="C158" s="444">
        <v>9</v>
      </c>
      <c r="D158" s="445" t="s">
        <v>1109</v>
      </c>
      <c r="E158" s="446">
        <v>1983</v>
      </c>
      <c r="F158" s="444">
        <v>1986</v>
      </c>
      <c r="G158" s="447"/>
      <c r="H158" s="448">
        <f t="shared" si="40"/>
        <v>103.63784813571624</v>
      </c>
      <c r="I158" s="449">
        <v>102</v>
      </c>
      <c r="J158" s="450">
        <f t="shared" si="46"/>
        <v>93.174719999999994</v>
      </c>
      <c r="K158" s="450">
        <f t="shared" si="39"/>
        <v>28.4</v>
      </c>
      <c r="L158" s="450"/>
      <c r="M158" s="450">
        <v>28.4</v>
      </c>
      <c r="N158" s="450">
        <f t="shared" si="42"/>
        <v>18.700560000000003</v>
      </c>
      <c r="O158" s="450">
        <v>5.7</v>
      </c>
      <c r="P158" s="450">
        <f t="shared" si="42"/>
        <v>4.9212000000000007</v>
      </c>
      <c r="Q158" s="451">
        <v>1.5</v>
      </c>
      <c r="R158" s="452">
        <f t="shared" si="43"/>
        <v>4.9824561403508758</v>
      </c>
      <c r="S158" s="453">
        <f t="shared" si="44"/>
        <v>18.93333333333333</v>
      </c>
      <c r="T158" s="444">
        <v>14</v>
      </c>
      <c r="U158" s="454">
        <f t="shared" si="41"/>
        <v>2660</v>
      </c>
      <c r="V158" s="454">
        <v>2660</v>
      </c>
      <c r="W158" s="454"/>
      <c r="X158" s="455"/>
      <c r="Y158" s="456">
        <v>27</v>
      </c>
      <c r="Z158" s="457"/>
      <c r="AA158" s="458">
        <f t="shared" si="45"/>
        <v>2.0550426927633425</v>
      </c>
      <c r="AB158" s="459">
        <f t="shared" si="47"/>
        <v>4.2232004690800098</v>
      </c>
      <c r="AC158" s="459">
        <f t="shared" si="48"/>
        <v>0.83191177200483346</v>
      </c>
      <c r="AD158" s="459">
        <f t="shared" si="49"/>
        <v>0.69207719640022203</v>
      </c>
      <c r="AE158" s="459">
        <f t="shared" si="50"/>
        <v>126.09732765268653</v>
      </c>
      <c r="AF158" s="460">
        <f t="shared" si="51"/>
        <v>1.0353383458646617</v>
      </c>
      <c r="AG158" s="446"/>
      <c r="AH158" s="446"/>
      <c r="AI158" s="446"/>
      <c r="AJ158" s="446"/>
      <c r="AK158" s="446"/>
      <c r="AL158" s="443"/>
      <c r="AM158" s="443"/>
      <c r="AN158" s="461"/>
      <c r="AO158" s="456">
        <f t="shared" si="52"/>
        <v>161.5386455055843</v>
      </c>
      <c r="AP158" s="460">
        <f t="shared" si="53"/>
        <v>4.941303918300548</v>
      </c>
      <c r="AQ158" s="443"/>
      <c r="AR158" s="462" t="s">
        <v>1100</v>
      </c>
      <c r="AV158" s="349"/>
      <c r="AW158" s="349"/>
      <c r="AX158" s="349"/>
    </row>
    <row r="159" spans="1:50" s="352" customFormat="1" ht="15.75">
      <c r="A159" s="442" t="s">
        <v>1326</v>
      </c>
      <c r="B159" s="443" t="s">
        <v>1409</v>
      </c>
      <c r="C159" s="444">
        <v>3</v>
      </c>
      <c r="D159" s="445" t="s">
        <v>1206</v>
      </c>
      <c r="E159" s="446">
        <v>1997</v>
      </c>
      <c r="F159" s="444">
        <v>2001</v>
      </c>
      <c r="G159" s="447"/>
      <c r="H159" s="448">
        <f t="shared" si="40"/>
        <v>105.66996280504401</v>
      </c>
      <c r="I159" s="449">
        <v>104</v>
      </c>
      <c r="J159" s="450">
        <f t="shared" si="46"/>
        <v>109.25063999999999</v>
      </c>
      <c r="K159" s="450">
        <f t="shared" si="39"/>
        <v>33.299999999999997</v>
      </c>
      <c r="L159" s="450"/>
      <c r="M159" s="450">
        <v>33.299999999999997</v>
      </c>
      <c r="N159" s="450">
        <f t="shared" si="42"/>
        <v>22.965600000000002</v>
      </c>
      <c r="O159" s="450">
        <v>7</v>
      </c>
      <c r="P159" s="450">
        <f t="shared" si="42"/>
        <v>3.93696</v>
      </c>
      <c r="Q159" s="451">
        <v>1.2</v>
      </c>
      <c r="R159" s="452">
        <f t="shared" si="43"/>
        <v>4.7571428571428562</v>
      </c>
      <c r="S159" s="453">
        <f t="shared" si="44"/>
        <v>27.749999999999996</v>
      </c>
      <c r="T159" s="444">
        <v>11</v>
      </c>
      <c r="U159" s="454">
        <f t="shared" si="41"/>
        <v>4352</v>
      </c>
      <c r="V159" s="454">
        <v>4352</v>
      </c>
      <c r="W159" s="454"/>
      <c r="X159" s="455"/>
      <c r="Y159" s="456">
        <v>30</v>
      </c>
      <c r="Z159" s="457"/>
      <c r="AA159" s="458">
        <f t="shared" si="45"/>
        <v>2.2760029008790399</v>
      </c>
      <c r="AB159" s="459">
        <f t="shared" si="47"/>
        <v>5.180189204809805</v>
      </c>
      <c r="AC159" s="459">
        <f t="shared" si="48"/>
        <v>0.8536342144209319</v>
      </c>
      <c r="AD159" s="459">
        <f t="shared" si="49"/>
        <v>0.72869137203004153</v>
      </c>
      <c r="AE159" s="459">
        <f t="shared" si="50"/>
        <v>79.755633674727079</v>
      </c>
      <c r="AF159" s="460">
        <f t="shared" si="51"/>
        <v>0.71691176470588236</v>
      </c>
      <c r="AG159" s="446"/>
      <c r="AH159" s="446"/>
      <c r="AI159" s="446"/>
      <c r="AJ159" s="446"/>
      <c r="AK159" s="446"/>
      <c r="AL159" s="443"/>
      <c r="AM159" s="443"/>
      <c r="AN159" s="461"/>
      <c r="AO159" s="456">
        <f t="shared" si="52"/>
        <v>137.20305144239842</v>
      </c>
      <c r="AP159" s="460">
        <f t="shared" si="53"/>
        <v>3.6025835530439863</v>
      </c>
      <c r="AQ159" s="443"/>
      <c r="AR159" s="462" t="s">
        <v>1100</v>
      </c>
      <c r="AV159" s="349"/>
      <c r="AW159" s="349"/>
      <c r="AX159" s="349"/>
    </row>
    <row r="160" spans="1:50" s="352" customFormat="1" ht="15.75">
      <c r="A160" s="442" t="s">
        <v>1326</v>
      </c>
      <c r="B160" s="443" t="s">
        <v>1410</v>
      </c>
      <c r="C160" s="444">
        <v>6</v>
      </c>
      <c r="D160" s="445" t="s">
        <v>1411</v>
      </c>
      <c r="E160" s="446">
        <v>1970</v>
      </c>
      <c r="F160" s="444">
        <v>1971</v>
      </c>
      <c r="G160" s="447"/>
      <c r="H160" s="448">
        <f t="shared" si="40"/>
        <v>106.68602013970789</v>
      </c>
      <c r="I160" s="449">
        <v>105</v>
      </c>
      <c r="J160" s="450">
        <f t="shared" si="46"/>
        <v>95.143200000000007</v>
      </c>
      <c r="K160" s="450">
        <f t="shared" si="39"/>
        <v>29</v>
      </c>
      <c r="L160" s="450"/>
      <c r="M160" s="450">
        <v>29</v>
      </c>
      <c r="N160" s="450">
        <f t="shared" si="42"/>
        <v>19.028639999999999</v>
      </c>
      <c r="O160" s="450">
        <v>5.8</v>
      </c>
      <c r="P160" s="450">
        <f t="shared" si="42"/>
        <v>6.5616000000000003</v>
      </c>
      <c r="Q160" s="451">
        <v>2</v>
      </c>
      <c r="R160" s="452">
        <f t="shared" si="43"/>
        <v>5.0000000000000009</v>
      </c>
      <c r="S160" s="453">
        <f t="shared" si="44"/>
        <v>14.5</v>
      </c>
      <c r="T160" s="444">
        <v>15</v>
      </c>
      <c r="U160" s="454">
        <f t="shared" si="41"/>
        <v>1100</v>
      </c>
      <c r="V160" s="454">
        <v>1100</v>
      </c>
      <c r="W160" s="454"/>
      <c r="X160" s="455"/>
      <c r="Y160" s="456">
        <v>17</v>
      </c>
      <c r="Z160" s="457"/>
      <c r="AA160" s="458">
        <f t="shared" si="45"/>
        <v>1.2876796073825534</v>
      </c>
      <c r="AB160" s="459">
        <f t="shared" si="47"/>
        <v>1.6581187712688867</v>
      </c>
      <c r="AC160" s="459">
        <f t="shared" si="48"/>
        <v>0.51834939757808129</v>
      </c>
      <c r="AD160" s="459">
        <f t="shared" si="49"/>
        <v>0.26868609796955978</v>
      </c>
      <c r="AE160" s="459">
        <f t="shared" si="50"/>
        <v>121.9146893946904</v>
      </c>
      <c r="AF160" s="460">
        <f t="shared" si="51"/>
        <v>1.6227272727272728</v>
      </c>
      <c r="AG160" s="457"/>
      <c r="AH160" s="457"/>
      <c r="AI160" s="457"/>
      <c r="AJ160" s="457"/>
      <c r="AK160" s="446"/>
      <c r="AL160" s="443"/>
      <c r="AM160" s="443"/>
      <c r="AN160" s="461"/>
      <c r="AO160" s="456">
        <f t="shared" si="52"/>
        <v>99.406231895252418</v>
      </c>
      <c r="AP160" s="460">
        <f t="shared" si="53"/>
        <v>3.0067371174092408</v>
      </c>
      <c r="AQ160" s="443"/>
      <c r="AR160" s="462" t="s">
        <v>1100</v>
      </c>
    </row>
    <row r="161" spans="1:50" s="352" customFormat="1" ht="15.75">
      <c r="A161" s="442" t="s">
        <v>1326</v>
      </c>
      <c r="B161" s="443" t="s">
        <v>1412</v>
      </c>
      <c r="C161" s="444">
        <v>21</v>
      </c>
      <c r="D161" s="445" t="s">
        <v>1109</v>
      </c>
      <c r="E161" s="446">
        <v>1981</v>
      </c>
      <c r="F161" s="444">
        <v>1992</v>
      </c>
      <c r="G161" s="447"/>
      <c r="H161" s="448">
        <f t="shared" si="40"/>
        <v>107.70207747437178</v>
      </c>
      <c r="I161" s="449">
        <v>106</v>
      </c>
      <c r="J161" s="450">
        <f t="shared" si="46"/>
        <v>100.06440000000001</v>
      </c>
      <c r="K161" s="450">
        <f t="shared" si="39"/>
        <v>30.5</v>
      </c>
      <c r="L161" s="450"/>
      <c r="M161" s="450">
        <v>30.5</v>
      </c>
      <c r="N161" s="450">
        <f t="shared" si="42"/>
        <v>17.06016</v>
      </c>
      <c r="O161" s="450">
        <v>5.2</v>
      </c>
      <c r="P161" s="450">
        <f t="shared" si="42"/>
        <v>4.9212000000000007</v>
      </c>
      <c r="Q161" s="451">
        <v>1.5</v>
      </c>
      <c r="R161" s="452">
        <f t="shared" si="43"/>
        <v>5.8653846153846159</v>
      </c>
      <c r="S161" s="453">
        <f t="shared" si="44"/>
        <v>20.333333333333332</v>
      </c>
      <c r="T161" s="444">
        <v>13</v>
      </c>
      <c r="U161" s="454">
        <f t="shared" si="41"/>
        <v>1770</v>
      </c>
      <c r="V161" s="454">
        <v>1770</v>
      </c>
      <c r="W161" s="454"/>
      <c r="X161" s="455"/>
      <c r="Y161" s="456">
        <v>25</v>
      </c>
      <c r="Z161" s="457"/>
      <c r="AA161" s="458">
        <f t="shared" si="45"/>
        <v>1.8906572782012951</v>
      </c>
      <c r="AB161" s="459">
        <f t="shared" si="47"/>
        <v>3.5745849436155295</v>
      </c>
      <c r="AC161" s="459">
        <f t="shared" si="48"/>
        <v>0.74329765849297413</v>
      </c>
      <c r="AD161" s="459">
        <f t="shared" si="49"/>
        <v>0.55249140912113803</v>
      </c>
      <c r="AE161" s="459">
        <f t="shared" si="50"/>
        <v>105.79547148925384</v>
      </c>
      <c r="AF161" s="460">
        <f t="shared" si="51"/>
        <v>1.4971751412429379</v>
      </c>
      <c r="AG161" s="457"/>
      <c r="AH161" s="457"/>
      <c r="AI161" s="457"/>
      <c r="AJ161" s="457"/>
      <c r="AK161" s="446"/>
      <c r="AL161" s="443"/>
      <c r="AM161" s="443"/>
      <c r="AN161" s="461"/>
      <c r="AO161" s="456">
        <f t="shared" si="52"/>
        <v>197.72003097732477</v>
      </c>
      <c r="AP161" s="460">
        <f t="shared" si="53"/>
        <v>5.7043066525044877</v>
      </c>
      <c r="AQ161" s="443"/>
      <c r="AR161" s="462" t="s">
        <v>1100</v>
      </c>
      <c r="AV161" s="349"/>
      <c r="AW161" s="349"/>
      <c r="AX161" s="349"/>
    </row>
    <row r="162" spans="1:50" s="352" customFormat="1" ht="15.75">
      <c r="A162" s="442" t="s">
        <v>1326</v>
      </c>
      <c r="B162" s="443" t="s">
        <v>1413</v>
      </c>
      <c r="C162" s="444">
        <v>6</v>
      </c>
      <c r="D162" s="445" t="s">
        <v>1210</v>
      </c>
      <c r="E162" s="446">
        <v>1975</v>
      </c>
      <c r="F162" s="444">
        <v>1976</v>
      </c>
      <c r="G162" s="447"/>
      <c r="H162" s="448">
        <f t="shared" si="40"/>
        <v>111.76630681302731</v>
      </c>
      <c r="I162" s="449">
        <v>110</v>
      </c>
      <c r="J162" s="450">
        <f t="shared" si="46"/>
        <v>109.9068</v>
      </c>
      <c r="K162" s="450">
        <f t="shared" si="39"/>
        <v>33.5</v>
      </c>
      <c r="L162" s="450"/>
      <c r="M162" s="450">
        <v>33.5</v>
      </c>
      <c r="N162" s="450">
        <f t="shared" si="42"/>
        <v>20.997120000000002</v>
      </c>
      <c r="O162" s="450">
        <v>6.4</v>
      </c>
      <c r="P162" s="450">
        <f t="shared" si="42"/>
        <v>6.5616000000000003</v>
      </c>
      <c r="Q162" s="451">
        <v>2</v>
      </c>
      <c r="R162" s="452">
        <f t="shared" si="43"/>
        <v>5.234375</v>
      </c>
      <c r="S162" s="453">
        <f t="shared" si="44"/>
        <v>16.75</v>
      </c>
      <c r="T162" s="444">
        <v>26</v>
      </c>
      <c r="U162" s="454">
        <f t="shared" si="41"/>
        <v>5000</v>
      </c>
      <c r="V162" s="454">
        <v>5000</v>
      </c>
      <c r="W162" s="454"/>
      <c r="X162" s="455"/>
      <c r="Y162" s="456">
        <v>30</v>
      </c>
      <c r="Z162" s="457"/>
      <c r="AA162" s="458">
        <f t="shared" si="45"/>
        <v>2.2548254098171179</v>
      </c>
      <c r="AB162" s="459">
        <f t="shared" si="47"/>
        <v>5.0842376287569335</v>
      </c>
      <c r="AC162" s="459">
        <f t="shared" si="48"/>
        <v>0.85108223796476656</v>
      </c>
      <c r="AD162" s="459">
        <f t="shared" si="49"/>
        <v>0.72434097577911549</v>
      </c>
      <c r="AE162" s="459">
        <f t="shared" si="50"/>
        <v>82.855052189944558</v>
      </c>
      <c r="AF162" s="460">
        <f t="shared" si="51"/>
        <v>0.66</v>
      </c>
      <c r="AG162" s="446"/>
      <c r="AH162" s="446"/>
      <c r="AI162" s="446"/>
      <c r="AJ162" s="446"/>
      <c r="AK162" s="446"/>
      <c r="AL162" s="443"/>
      <c r="AM162" s="443"/>
      <c r="AN162" s="461"/>
      <c r="AO162" s="456">
        <f t="shared" si="52"/>
        <v>123.97160293193997</v>
      </c>
      <c r="AP162" s="460">
        <f t="shared" si="53"/>
        <v>3.2967932830361719</v>
      </c>
      <c r="AQ162" s="443"/>
      <c r="AR162" s="462" t="s">
        <v>1100</v>
      </c>
      <c r="AV162" s="349"/>
      <c r="AW162" s="349"/>
      <c r="AX162" s="349"/>
    </row>
    <row r="163" spans="1:50" s="352" customFormat="1" ht="15.75">
      <c r="A163" s="442" t="s">
        <v>1326</v>
      </c>
      <c r="B163" s="443" t="s">
        <v>1414</v>
      </c>
      <c r="C163" s="444">
        <v>5</v>
      </c>
      <c r="D163" s="445" t="s">
        <v>1109</v>
      </c>
      <c r="E163" s="446">
        <v>1963</v>
      </c>
      <c r="F163" s="444">
        <v>1983</v>
      </c>
      <c r="G163" s="447"/>
      <c r="H163" s="448">
        <f t="shared" si="40"/>
        <v>111.76630681302731</v>
      </c>
      <c r="I163" s="449">
        <v>110</v>
      </c>
      <c r="J163" s="450">
        <f t="shared" si="46"/>
        <v>101.70480000000001</v>
      </c>
      <c r="K163" s="450">
        <f t="shared" si="39"/>
        <v>31</v>
      </c>
      <c r="L163" s="450"/>
      <c r="M163" s="450">
        <v>31</v>
      </c>
      <c r="N163" s="450">
        <f t="shared" si="42"/>
        <v>17.06016</v>
      </c>
      <c r="O163" s="450">
        <v>5.2</v>
      </c>
      <c r="P163" s="450">
        <f t="shared" si="42"/>
        <v>4.9212000000000007</v>
      </c>
      <c r="Q163" s="451">
        <v>1.5</v>
      </c>
      <c r="R163" s="452">
        <f t="shared" si="43"/>
        <v>5.9615384615384617</v>
      </c>
      <c r="S163" s="453">
        <f t="shared" si="44"/>
        <v>20.666666666666664</v>
      </c>
      <c r="T163" s="444">
        <v>15</v>
      </c>
      <c r="U163" s="454">
        <f t="shared" si="41"/>
        <v>3000</v>
      </c>
      <c r="V163" s="454">
        <v>3000</v>
      </c>
      <c r="W163" s="454"/>
      <c r="X163" s="455"/>
      <c r="Y163" s="456">
        <v>24</v>
      </c>
      <c r="Z163" s="457"/>
      <c r="AA163" s="458">
        <f t="shared" si="45"/>
        <v>1.8038603278536942</v>
      </c>
      <c r="AB163" s="459">
        <f t="shared" si="47"/>
        <v>3.2539120824044372</v>
      </c>
      <c r="AC163" s="459">
        <f t="shared" si="48"/>
        <v>0.70778779671876779</v>
      </c>
      <c r="AD163" s="459">
        <f t="shared" si="49"/>
        <v>0.50096356518400775</v>
      </c>
      <c r="AE163" s="459">
        <f t="shared" si="50"/>
        <v>104.56066455391013</v>
      </c>
      <c r="AF163" s="460">
        <f t="shared" si="51"/>
        <v>0.88</v>
      </c>
      <c r="AG163" s="457"/>
      <c r="AH163" s="457"/>
      <c r="AI163" s="457"/>
      <c r="AJ163" s="457"/>
      <c r="AK163" s="446"/>
      <c r="AL163" s="443"/>
      <c r="AM163" s="443"/>
      <c r="AN163" s="461"/>
      <c r="AO163" s="456">
        <f t="shared" si="52"/>
        <v>105.78910116858877</v>
      </c>
      <c r="AP163" s="460">
        <f t="shared" si="53"/>
        <v>3.0401396984213127</v>
      </c>
      <c r="AQ163" s="443"/>
      <c r="AR163" s="462" t="s">
        <v>1100</v>
      </c>
      <c r="AV163" s="349"/>
      <c r="AW163" s="349"/>
      <c r="AX163" s="349"/>
    </row>
    <row r="164" spans="1:50" s="352" customFormat="1" ht="15.75">
      <c r="A164" s="442" t="s">
        <v>1326</v>
      </c>
      <c r="B164" s="443" t="s">
        <v>1415</v>
      </c>
      <c r="C164" s="444">
        <v>3</v>
      </c>
      <c r="D164" s="445" t="s">
        <v>1416</v>
      </c>
      <c r="E164" s="446">
        <v>1986</v>
      </c>
      <c r="F164" s="444"/>
      <c r="G164" s="447"/>
      <c r="H164" s="448">
        <f t="shared" si="40"/>
        <v>111.76630681302731</v>
      </c>
      <c r="I164" s="449">
        <v>110</v>
      </c>
      <c r="J164" s="450">
        <f t="shared" si="46"/>
        <v>108.2664</v>
      </c>
      <c r="K164" s="450">
        <f t="shared" si="39"/>
        <v>33</v>
      </c>
      <c r="L164" s="450"/>
      <c r="M164" s="450">
        <v>33</v>
      </c>
      <c r="N164" s="450">
        <f t="shared" si="42"/>
        <v>21.981360000000002</v>
      </c>
      <c r="O164" s="450">
        <v>6.7</v>
      </c>
      <c r="P164" s="450">
        <f t="shared" si="42"/>
        <v>6.8896800000000002</v>
      </c>
      <c r="Q164" s="451">
        <v>2.1</v>
      </c>
      <c r="R164" s="452">
        <f t="shared" si="43"/>
        <v>4.9253731343283578</v>
      </c>
      <c r="S164" s="453">
        <f t="shared" si="44"/>
        <v>15.714285714285714</v>
      </c>
      <c r="T164" s="444">
        <v>20</v>
      </c>
      <c r="U164" s="454">
        <f t="shared" si="41"/>
        <v>3483</v>
      </c>
      <c r="V164" s="454">
        <v>3483</v>
      </c>
      <c r="W164" s="454"/>
      <c r="X164" s="455"/>
      <c r="Y164" s="456">
        <v>30</v>
      </c>
      <c r="Z164" s="457"/>
      <c r="AA164" s="458">
        <f t="shared" si="45"/>
        <v>2.2548254098171179</v>
      </c>
      <c r="AB164" s="459">
        <f t="shared" si="47"/>
        <v>5.0842376287569335</v>
      </c>
      <c r="AC164" s="459">
        <f t="shared" si="48"/>
        <v>0.8575055912636933</v>
      </c>
      <c r="AD164" s="459">
        <f t="shared" si="49"/>
        <v>0.73531583904849629</v>
      </c>
      <c r="AE164" s="459">
        <f t="shared" si="50"/>
        <v>86.678541829466496</v>
      </c>
      <c r="AF164" s="460">
        <f t="shared" si="51"/>
        <v>0.94745908699397074</v>
      </c>
      <c r="AG164" s="457"/>
      <c r="AH164" s="457"/>
      <c r="AI164" s="457"/>
      <c r="AJ164" s="457"/>
      <c r="AK164" s="446"/>
      <c r="AL164" s="443"/>
      <c r="AM164" s="443"/>
      <c r="AN164" s="461"/>
      <c r="AO164" s="456">
        <f t="shared" si="52"/>
        <v>177.96669958647715</v>
      </c>
      <c r="AP164" s="460">
        <f t="shared" si="53"/>
        <v>4.8043995067693199</v>
      </c>
      <c r="AQ164" s="443"/>
      <c r="AR164" s="462" t="s">
        <v>1100</v>
      </c>
    </row>
    <row r="165" spans="1:50" s="352" customFormat="1" ht="15.75">
      <c r="A165" s="442" t="s">
        <v>1326</v>
      </c>
      <c r="B165" s="443" t="s">
        <v>1417</v>
      </c>
      <c r="C165" s="444">
        <v>7</v>
      </c>
      <c r="D165" s="445" t="s">
        <v>1369</v>
      </c>
      <c r="E165" s="446">
        <v>1980</v>
      </c>
      <c r="F165" s="444">
        <v>1988</v>
      </c>
      <c r="G165" s="447"/>
      <c r="H165" s="448">
        <f t="shared" si="40"/>
        <v>116.84659348634673</v>
      </c>
      <c r="I165" s="449">
        <v>115</v>
      </c>
      <c r="J165" s="450">
        <f t="shared" si="46"/>
        <v>114.828</v>
      </c>
      <c r="K165" s="450">
        <f t="shared" si="39"/>
        <v>35</v>
      </c>
      <c r="L165" s="450"/>
      <c r="M165" s="450">
        <v>35</v>
      </c>
      <c r="N165" s="450">
        <f t="shared" si="42"/>
        <v>20.669039999999999</v>
      </c>
      <c r="O165" s="450">
        <v>6.3</v>
      </c>
      <c r="P165" s="450">
        <f t="shared" si="42"/>
        <v>4.2650399999999999</v>
      </c>
      <c r="Q165" s="451">
        <v>1.3</v>
      </c>
      <c r="R165" s="452">
        <f t="shared" si="43"/>
        <v>5.5555555555555562</v>
      </c>
      <c r="S165" s="453">
        <f t="shared" si="44"/>
        <v>26.923076923076923</v>
      </c>
      <c r="T165" s="444">
        <v>22</v>
      </c>
      <c r="U165" s="454">
        <f t="shared" si="41"/>
        <v>5344</v>
      </c>
      <c r="V165" s="454">
        <v>5344</v>
      </c>
      <c r="W165" s="454"/>
      <c r="X165" s="455"/>
      <c r="Y165" s="456">
        <v>28</v>
      </c>
      <c r="Z165" s="457"/>
      <c r="AA165" s="458">
        <f t="shared" si="45"/>
        <v>2.0889698459545594</v>
      </c>
      <c r="AB165" s="459">
        <f t="shared" si="47"/>
        <v>4.3637950173074156</v>
      </c>
      <c r="AC165" s="459">
        <f t="shared" si="48"/>
        <v>0.77713538662095316</v>
      </c>
      <c r="AD165" s="459">
        <f t="shared" si="49"/>
        <v>0.60393940913849831</v>
      </c>
      <c r="AE165" s="459">
        <f t="shared" si="50"/>
        <v>75.954662526040167</v>
      </c>
      <c r="AF165" s="460">
        <f t="shared" si="51"/>
        <v>0.60254491017964074</v>
      </c>
      <c r="AG165" s="446"/>
      <c r="AH165" s="446"/>
      <c r="AI165" s="446"/>
      <c r="AJ165" s="446"/>
      <c r="AK165" s="446"/>
      <c r="AL165" s="443"/>
      <c r="AM165" s="443"/>
      <c r="AN165" s="461"/>
      <c r="AO165" s="456">
        <f t="shared" si="52"/>
        <v>97.141813034676588</v>
      </c>
      <c r="AP165" s="460">
        <f t="shared" si="53"/>
        <v>2.5095018448837507</v>
      </c>
      <c r="AQ165" s="443"/>
      <c r="AR165" s="462" t="s">
        <v>1100</v>
      </c>
      <c r="AV165" s="349"/>
      <c r="AW165" s="349"/>
      <c r="AX165" s="349"/>
    </row>
    <row r="166" spans="1:50" s="352" customFormat="1" ht="15.75">
      <c r="A166" s="442" t="s">
        <v>1326</v>
      </c>
      <c r="B166" s="443" t="s">
        <v>1396</v>
      </c>
      <c r="C166" s="444">
        <v>2</v>
      </c>
      <c r="D166" s="445" t="s">
        <v>1154</v>
      </c>
      <c r="E166" s="446">
        <v>1975</v>
      </c>
      <c r="F166" s="444" t="s">
        <v>567</v>
      </c>
      <c r="G166" s="447"/>
      <c r="H166" s="448">
        <f t="shared" si="40"/>
        <v>116.84659348634673</v>
      </c>
      <c r="I166" s="449">
        <v>115</v>
      </c>
      <c r="J166" s="450">
        <f t="shared" si="46"/>
        <v>104.98560000000001</v>
      </c>
      <c r="K166" s="450">
        <f t="shared" si="39"/>
        <v>32</v>
      </c>
      <c r="L166" s="450"/>
      <c r="M166" s="450">
        <v>32</v>
      </c>
      <c r="N166" s="450">
        <f t="shared" si="42"/>
        <v>19.028639999999999</v>
      </c>
      <c r="O166" s="450">
        <v>5.8</v>
      </c>
      <c r="P166" s="450">
        <f t="shared" si="42"/>
        <v>5.2492800000000006</v>
      </c>
      <c r="Q166" s="451">
        <v>1.6</v>
      </c>
      <c r="R166" s="452">
        <f t="shared" si="43"/>
        <v>5.5172413793103452</v>
      </c>
      <c r="S166" s="453">
        <f t="shared" si="44"/>
        <v>20</v>
      </c>
      <c r="T166" s="444">
        <v>17</v>
      </c>
      <c r="U166" s="454">
        <f t="shared" si="41"/>
        <v>2610</v>
      </c>
      <c r="V166" s="454">
        <v>2610</v>
      </c>
      <c r="W166" s="454"/>
      <c r="X166" s="455"/>
      <c r="Y166" s="456">
        <v>30</v>
      </c>
      <c r="Z166" s="457"/>
      <c r="AA166" s="458">
        <f t="shared" si="45"/>
        <v>2.2381819778084564</v>
      </c>
      <c r="AB166" s="459">
        <f t="shared" si="47"/>
        <v>5.0094585657865736</v>
      </c>
      <c r="AC166" s="459">
        <f t="shared" si="48"/>
        <v>0.87080104445203887</v>
      </c>
      <c r="AD166" s="459">
        <f t="shared" si="49"/>
        <v>0.7582944590187618</v>
      </c>
      <c r="AE166" s="459">
        <f t="shared" si="50"/>
        <v>99.382206903197357</v>
      </c>
      <c r="AF166" s="460">
        <f t="shared" si="51"/>
        <v>1.3218390804597702</v>
      </c>
      <c r="AG166" s="446"/>
      <c r="AH166" s="446"/>
      <c r="AI166" s="446"/>
      <c r="AJ166" s="446"/>
      <c r="AK166" s="446"/>
      <c r="AL166" s="443"/>
      <c r="AM166" s="443"/>
      <c r="AN166" s="461"/>
      <c r="AO166" s="456">
        <f t="shared" si="52"/>
        <v>244.63681678080314</v>
      </c>
      <c r="AP166" s="460">
        <f t="shared" si="53"/>
        <v>6.9122780188179487</v>
      </c>
      <c r="AQ166" s="443"/>
      <c r="AR166" s="462" t="s">
        <v>1100</v>
      </c>
      <c r="AV166" s="349"/>
      <c r="AW166" s="349"/>
      <c r="AX166" s="349"/>
    </row>
    <row r="167" spans="1:50" s="352" customFormat="1" ht="15.75">
      <c r="A167" s="442" t="s">
        <v>1326</v>
      </c>
      <c r="B167" s="443" t="s">
        <v>1418</v>
      </c>
      <c r="C167" s="444">
        <v>1</v>
      </c>
      <c r="D167" s="445" t="s">
        <v>1419</v>
      </c>
      <c r="E167" s="446">
        <v>1965</v>
      </c>
      <c r="F167" s="444"/>
      <c r="G167" s="447"/>
      <c r="H167" s="448">
        <f t="shared" si="40"/>
        <v>116.84659348634673</v>
      </c>
      <c r="I167" s="449">
        <v>115</v>
      </c>
      <c r="J167" s="450">
        <f t="shared" si="46"/>
        <v>106.95408</v>
      </c>
      <c r="K167" s="450">
        <f t="shared" si="39"/>
        <v>32.6</v>
      </c>
      <c r="L167" s="450"/>
      <c r="M167" s="450">
        <v>32.6</v>
      </c>
      <c r="N167" s="450">
        <f t="shared" si="42"/>
        <v>20.012879999999999</v>
      </c>
      <c r="O167" s="450">
        <v>6.1</v>
      </c>
      <c r="P167" s="450">
        <f t="shared" si="42"/>
        <v>6.8896800000000002</v>
      </c>
      <c r="Q167" s="451">
        <v>2.1</v>
      </c>
      <c r="R167" s="452">
        <f t="shared" si="43"/>
        <v>5.3442622950819674</v>
      </c>
      <c r="S167" s="453">
        <f t="shared" si="44"/>
        <v>15.523809523809524</v>
      </c>
      <c r="T167" s="444">
        <v>30</v>
      </c>
      <c r="U167" s="454">
        <f t="shared" si="41"/>
        <v>4500</v>
      </c>
      <c r="V167" s="454">
        <v>4500</v>
      </c>
      <c r="W167" s="454"/>
      <c r="X167" s="455"/>
      <c r="Y167" s="456">
        <v>24</v>
      </c>
      <c r="Z167" s="457"/>
      <c r="AA167" s="458">
        <f t="shared" si="45"/>
        <v>1.7905455822467651</v>
      </c>
      <c r="AB167" s="459">
        <f t="shared" si="47"/>
        <v>3.2060534821034068</v>
      </c>
      <c r="AC167" s="459">
        <f t="shared" si="48"/>
        <v>0.69020025814296893</v>
      </c>
      <c r="AD167" s="459">
        <f t="shared" si="49"/>
        <v>0.47637639634062096</v>
      </c>
      <c r="AE167" s="459">
        <f t="shared" si="50"/>
        <v>93.99522056483471</v>
      </c>
      <c r="AF167" s="460">
        <f t="shared" si="51"/>
        <v>0.61333333333333329</v>
      </c>
      <c r="AG167" s="457"/>
      <c r="AH167" s="457"/>
      <c r="AI167" s="457"/>
      <c r="AJ167" s="457"/>
      <c r="AK167" s="446"/>
      <c r="AL167" s="443"/>
      <c r="AM167" s="443"/>
      <c r="AN167" s="461"/>
      <c r="AO167" s="456">
        <f t="shared" si="52"/>
        <v>72.6473491112273</v>
      </c>
      <c r="AP167" s="460">
        <f t="shared" si="53"/>
        <v>2.014890876533181</v>
      </c>
      <c r="AQ167" s="443"/>
      <c r="AR167" s="462" t="s">
        <v>1100</v>
      </c>
      <c r="AV167" s="349"/>
      <c r="AW167" s="349"/>
      <c r="AX167" s="349"/>
    </row>
    <row r="168" spans="1:50" s="352" customFormat="1" ht="15.75">
      <c r="A168" s="442" t="s">
        <v>1326</v>
      </c>
      <c r="B168" s="443" t="s">
        <v>1420</v>
      </c>
      <c r="C168" s="444">
        <v>2</v>
      </c>
      <c r="D168" s="445" t="s">
        <v>1193</v>
      </c>
      <c r="E168" s="446">
        <v>1981</v>
      </c>
      <c r="F168" s="444">
        <v>1983</v>
      </c>
      <c r="G168" s="447"/>
      <c r="H168" s="448">
        <f t="shared" si="40"/>
        <v>116.84659348634673</v>
      </c>
      <c r="I168" s="449">
        <v>115</v>
      </c>
      <c r="J168" s="450">
        <f t="shared" si="46"/>
        <v>103.34520000000001</v>
      </c>
      <c r="K168" s="450">
        <f t="shared" si="39"/>
        <v>31.5</v>
      </c>
      <c r="L168" s="450"/>
      <c r="M168" s="450">
        <v>31.5</v>
      </c>
      <c r="N168" s="450">
        <f t="shared" si="42"/>
        <v>21.981360000000002</v>
      </c>
      <c r="O168" s="450">
        <v>6.7</v>
      </c>
      <c r="P168" s="450">
        <f t="shared" si="42"/>
        <v>6.8896800000000002</v>
      </c>
      <c r="Q168" s="451">
        <v>2.1</v>
      </c>
      <c r="R168" s="452">
        <f t="shared" si="43"/>
        <v>4.7014925373134329</v>
      </c>
      <c r="S168" s="453">
        <f t="shared" si="44"/>
        <v>15</v>
      </c>
      <c r="T168" s="444">
        <v>19</v>
      </c>
      <c r="U168" s="454">
        <f t="shared" si="41"/>
        <v>5320</v>
      </c>
      <c r="V168" s="454">
        <v>5320</v>
      </c>
      <c r="W168" s="454"/>
      <c r="X168" s="455"/>
      <c r="Y168" s="456">
        <v>25</v>
      </c>
      <c r="Z168" s="457"/>
      <c r="AA168" s="458">
        <f t="shared" si="45"/>
        <v>1.8651516481737136</v>
      </c>
      <c r="AB168" s="459">
        <f t="shared" si="47"/>
        <v>3.4787906706851204</v>
      </c>
      <c r="AC168" s="459">
        <f t="shared" si="48"/>
        <v>0.73140412858266568</v>
      </c>
      <c r="AD168" s="459">
        <f t="shared" si="49"/>
        <v>0.5349519993077686</v>
      </c>
      <c r="AE168" s="459">
        <f t="shared" si="50"/>
        <v>104.19020922639253</v>
      </c>
      <c r="AF168" s="460">
        <f t="shared" si="51"/>
        <v>0.54041353383458646</v>
      </c>
      <c r="AG168" s="457"/>
      <c r="AH168" s="457"/>
      <c r="AI168" s="457"/>
      <c r="AJ168" s="457"/>
      <c r="AK168" s="446"/>
      <c r="AL168" s="443"/>
      <c r="AM168" s="443"/>
      <c r="AN168" s="461"/>
      <c r="AO168" s="456">
        <f t="shared" si="52"/>
        <v>69.455549877068549</v>
      </c>
      <c r="AP168" s="460">
        <f t="shared" si="53"/>
        <v>1.9936355029013058</v>
      </c>
      <c r="AQ168" s="443"/>
      <c r="AR168" s="462" t="s">
        <v>1100</v>
      </c>
      <c r="AV168" s="349"/>
      <c r="AW168" s="349"/>
      <c r="AX168" s="349"/>
    </row>
    <row r="169" spans="1:50" s="352" customFormat="1" ht="15.75">
      <c r="A169" s="442" t="s">
        <v>1326</v>
      </c>
      <c r="B169" s="443" t="s">
        <v>1421</v>
      </c>
      <c r="C169" s="444">
        <v>2</v>
      </c>
      <c r="D169" s="445" t="s">
        <v>1369</v>
      </c>
      <c r="E169" s="446">
        <v>1992</v>
      </c>
      <c r="F169" s="444">
        <v>1993</v>
      </c>
      <c r="G169" s="447"/>
      <c r="H169" s="448">
        <f t="shared" si="40"/>
        <v>116.84659348634673</v>
      </c>
      <c r="I169" s="449">
        <v>115</v>
      </c>
      <c r="J169" s="450">
        <f t="shared" si="46"/>
        <v>114.828</v>
      </c>
      <c r="K169" s="450">
        <f t="shared" si="39"/>
        <v>35</v>
      </c>
      <c r="L169" s="450"/>
      <c r="M169" s="450">
        <v>35</v>
      </c>
      <c r="N169" s="450">
        <f t="shared" si="42"/>
        <v>21.981360000000002</v>
      </c>
      <c r="O169" s="450">
        <v>6.7</v>
      </c>
      <c r="P169" s="450">
        <f t="shared" si="42"/>
        <v>4.2650399999999999</v>
      </c>
      <c r="Q169" s="451">
        <v>1.3</v>
      </c>
      <c r="R169" s="452">
        <f t="shared" si="43"/>
        <v>5.2238805970149249</v>
      </c>
      <c r="S169" s="453">
        <f t="shared" si="44"/>
        <v>26.923076923076923</v>
      </c>
      <c r="T169" s="444">
        <v>13</v>
      </c>
      <c r="U169" s="454">
        <f t="shared" si="41"/>
        <v>5200</v>
      </c>
      <c r="V169" s="454">
        <v>5200</v>
      </c>
      <c r="W169" s="454"/>
      <c r="X169" s="455"/>
      <c r="Y169" s="456">
        <v>35</v>
      </c>
      <c r="Z169" s="457"/>
      <c r="AA169" s="458">
        <f t="shared" si="45"/>
        <v>2.611212307443199</v>
      </c>
      <c r="AB169" s="459">
        <f t="shared" si="47"/>
        <v>6.8184297145428356</v>
      </c>
      <c r="AC169" s="459">
        <f t="shared" si="48"/>
        <v>0.9714192332761914</v>
      </c>
      <c r="AD169" s="459">
        <f t="shared" si="49"/>
        <v>0.94365532677890351</v>
      </c>
      <c r="AE169" s="459">
        <f t="shared" si="50"/>
        <v>75.954662526040167</v>
      </c>
      <c r="AF169" s="460">
        <f t="shared" si="51"/>
        <v>0.77403846153846156</v>
      </c>
      <c r="AG169" s="446"/>
      <c r="AH169" s="446"/>
      <c r="AI169" s="446"/>
      <c r="AJ169" s="446"/>
      <c r="AK169" s="446"/>
      <c r="AL169" s="443"/>
      <c r="AM169" s="443"/>
      <c r="AN169" s="461"/>
      <c r="AO169" s="456">
        <f t="shared" si="52"/>
        <v>194.98416799027635</v>
      </c>
      <c r="AP169" s="460">
        <f t="shared" si="53"/>
        <v>5.0371010588411824</v>
      </c>
      <c r="AQ169" s="443"/>
      <c r="AR169" s="462" t="s">
        <v>1100</v>
      </c>
      <c r="AV169" s="349"/>
      <c r="AW169" s="349"/>
      <c r="AX169" s="349"/>
    </row>
    <row r="170" spans="1:50" s="352" customFormat="1" ht="15.75">
      <c r="A170" s="442" t="s">
        <v>1326</v>
      </c>
      <c r="B170" s="443" t="s">
        <v>1422</v>
      </c>
      <c r="C170" s="444">
        <v>1</v>
      </c>
      <c r="D170" s="445" t="s">
        <v>1423</v>
      </c>
      <c r="E170" s="446">
        <v>1965</v>
      </c>
      <c r="F170" s="444" t="s">
        <v>567</v>
      </c>
      <c r="G170" s="447"/>
      <c r="H170" s="448">
        <f>I170*2240/2204.6</f>
        <v>116.84659348634673</v>
      </c>
      <c r="I170" s="449">
        <v>115</v>
      </c>
      <c r="J170" s="450">
        <f t="shared" si="46"/>
        <v>106.95408</v>
      </c>
      <c r="K170" s="450">
        <f t="shared" si="39"/>
        <v>32.6</v>
      </c>
      <c r="L170" s="450"/>
      <c r="M170" s="450">
        <v>32.6</v>
      </c>
      <c r="N170" s="450">
        <f t="shared" si="42"/>
        <v>20.012879999999999</v>
      </c>
      <c r="O170" s="450">
        <v>6.1</v>
      </c>
      <c r="P170" s="450">
        <f t="shared" si="42"/>
        <v>6.8896800000000002</v>
      </c>
      <c r="Q170" s="451">
        <v>2.1</v>
      </c>
      <c r="R170" s="452">
        <f t="shared" si="43"/>
        <v>5.3442622950819674</v>
      </c>
      <c r="S170" s="453">
        <f t="shared" si="44"/>
        <v>15.523809523809524</v>
      </c>
      <c r="T170" s="444">
        <v>19</v>
      </c>
      <c r="U170" s="454">
        <f t="shared" si="41"/>
        <v>3400</v>
      </c>
      <c r="V170" s="454">
        <v>3400</v>
      </c>
      <c r="W170" s="454"/>
      <c r="X170" s="455"/>
      <c r="Y170" s="456">
        <v>24</v>
      </c>
      <c r="Z170" s="457"/>
      <c r="AA170" s="458">
        <f t="shared" si="45"/>
        <v>1.7905455822467651</v>
      </c>
      <c r="AB170" s="459">
        <f t="shared" si="47"/>
        <v>3.2060534821034068</v>
      </c>
      <c r="AC170" s="459">
        <f t="shared" si="48"/>
        <v>0.69020025814296893</v>
      </c>
      <c r="AD170" s="459">
        <f t="shared" si="49"/>
        <v>0.47637639634062096</v>
      </c>
      <c r="AE170" s="459">
        <f t="shared" si="50"/>
        <v>93.99522056483471</v>
      </c>
      <c r="AF170" s="460">
        <f t="shared" si="51"/>
        <v>0.81176470588235294</v>
      </c>
      <c r="AG170" s="446"/>
      <c r="AH170" s="446"/>
      <c r="AI170" s="446"/>
      <c r="AJ170" s="446"/>
      <c r="AK170" s="446"/>
      <c r="AL170" s="443"/>
      <c r="AM170" s="443"/>
      <c r="AN170" s="461"/>
      <c r="AO170" s="456">
        <f t="shared" si="52"/>
        <v>96.150903235447885</v>
      </c>
      <c r="AP170" s="460">
        <f t="shared" si="53"/>
        <v>2.6667673365880336</v>
      </c>
      <c r="AQ170" s="443"/>
      <c r="AR170" s="462" t="s">
        <v>1100</v>
      </c>
      <c r="AV170" s="349"/>
      <c r="AW170" s="349"/>
      <c r="AX170" s="349"/>
    </row>
    <row r="171" spans="1:50" s="352" customFormat="1" ht="15.75">
      <c r="A171" s="485" t="s">
        <v>1326</v>
      </c>
      <c r="B171" s="505" t="s">
        <v>1424</v>
      </c>
      <c r="C171" s="487"/>
      <c r="D171" s="488" t="s">
        <v>1206</v>
      </c>
      <c r="E171" s="489">
        <v>2004</v>
      </c>
      <c r="F171" s="487"/>
      <c r="G171" s="490" t="s">
        <v>1190</v>
      </c>
      <c r="H171" s="491">
        <f>I171*2240/2204.6</f>
        <v>117.86265082101062</v>
      </c>
      <c r="I171" s="492">
        <v>116</v>
      </c>
      <c r="J171" s="493">
        <f t="shared" si="46"/>
        <v>115.5</v>
      </c>
      <c r="K171" s="493">
        <f t="shared" ref="K171:K213" si="54">IF(M171="",L171,M171)</f>
        <v>35.204828090709583</v>
      </c>
      <c r="L171" s="493">
        <v>35.204828090709583</v>
      </c>
      <c r="M171" s="493"/>
      <c r="N171" s="493">
        <f t="shared" si="42"/>
        <v>22.3</v>
      </c>
      <c r="O171" s="493">
        <v>6.7971226530114608</v>
      </c>
      <c r="P171" s="493">
        <f t="shared" si="42"/>
        <v>4</v>
      </c>
      <c r="Q171" s="494">
        <v>1.2192148256522799</v>
      </c>
      <c r="R171" s="495">
        <f t="shared" si="43"/>
        <v>5.1793721973094167</v>
      </c>
      <c r="S171" s="496">
        <f t="shared" si="44"/>
        <v>28.875</v>
      </c>
      <c r="T171" s="487"/>
      <c r="U171" s="563">
        <f t="shared" si="41"/>
        <v>4600</v>
      </c>
      <c r="V171" s="497"/>
      <c r="W171" s="497">
        <v>4600</v>
      </c>
      <c r="X171" s="498"/>
      <c r="Y171" s="499">
        <v>32</v>
      </c>
      <c r="Z171" s="500" t="s">
        <v>1425</v>
      </c>
      <c r="AA171" s="501">
        <f>Y171*1.6878/SQRT(32.174*(H171*2204.6/2240*35)^(1/3))</f>
        <v>2.3839515594120546</v>
      </c>
      <c r="AB171" s="502">
        <f t="shared" si="47"/>
        <v>5.683225037623167</v>
      </c>
      <c r="AC171" s="502">
        <f t="shared" si="48"/>
        <v>0.8855672356079588</v>
      </c>
      <c r="AD171" s="502">
        <f t="shared" si="49"/>
        <v>0.78422932878232199</v>
      </c>
      <c r="AE171" s="502">
        <f t="shared" si="50"/>
        <v>75.285620908828861</v>
      </c>
      <c r="AF171" s="503">
        <f t="shared" si="51"/>
        <v>0.80695652173913046</v>
      </c>
      <c r="AG171" s="504">
        <v>300</v>
      </c>
      <c r="AH171" s="504">
        <v>28</v>
      </c>
      <c r="AI171" s="504"/>
      <c r="AJ171" s="504"/>
      <c r="AK171" s="489">
        <v>2</v>
      </c>
      <c r="AL171" s="505"/>
      <c r="AM171" s="505"/>
      <c r="AN171" s="506"/>
      <c r="AO171" s="499">
        <f t="shared" si="52"/>
        <v>169.43277717635902</v>
      </c>
      <c r="AP171" s="503">
        <f t="shared" si="53"/>
        <v>4.3641326557500477</v>
      </c>
      <c r="AQ171" s="505"/>
      <c r="AR171" s="507" t="s">
        <v>1149</v>
      </c>
      <c r="AV171" s="349"/>
      <c r="AW171" s="349"/>
      <c r="AX171" s="349"/>
    </row>
    <row r="172" spans="1:50" s="352" customFormat="1" ht="15.75">
      <c r="A172" s="442" t="s">
        <v>1326</v>
      </c>
      <c r="B172" s="443" t="s">
        <v>1426</v>
      </c>
      <c r="C172" s="444">
        <v>1</v>
      </c>
      <c r="D172" s="445" t="s">
        <v>1379</v>
      </c>
      <c r="E172" s="446">
        <v>2000</v>
      </c>
      <c r="F172" s="444" t="s">
        <v>567</v>
      </c>
      <c r="G172" s="447"/>
      <c r="H172" s="448">
        <f t="shared" ref="H172:H209" si="55">I172*2240/2204.6</f>
        <v>118.8787081556745</v>
      </c>
      <c r="I172" s="449">
        <v>117</v>
      </c>
      <c r="J172" s="450">
        <f t="shared" si="46"/>
        <v>103.01712000000001</v>
      </c>
      <c r="K172" s="450">
        <f t="shared" si="54"/>
        <v>31.4</v>
      </c>
      <c r="L172" s="450"/>
      <c r="M172" s="450">
        <v>31.4</v>
      </c>
      <c r="N172" s="450">
        <f t="shared" si="42"/>
        <v>19.684800000000003</v>
      </c>
      <c r="O172" s="450">
        <v>6</v>
      </c>
      <c r="P172" s="450">
        <f t="shared" si="42"/>
        <v>7.2177600000000011</v>
      </c>
      <c r="Q172" s="451">
        <v>2.2000000000000002</v>
      </c>
      <c r="R172" s="452">
        <f t="shared" si="43"/>
        <v>5.2333333333333325</v>
      </c>
      <c r="S172" s="453">
        <f t="shared" si="44"/>
        <v>14.272727272727272</v>
      </c>
      <c r="T172" s="444">
        <v>6</v>
      </c>
      <c r="U172" s="454">
        <f t="shared" si="41"/>
        <v>4087</v>
      </c>
      <c r="V172" s="454">
        <v>4087</v>
      </c>
      <c r="W172" s="454"/>
      <c r="X172" s="455"/>
      <c r="Y172" s="456">
        <v>23</v>
      </c>
      <c r="Z172" s="457"/>
      <c r="AA172" s="458">
        <f t="shared" si="45"/>
        <v>1.7110156116268747</v>
      </c>
      <c r="AB172" s="459">
        <f t="shared" si="47"/>
        <v>2.927574423230888</v>
      </c>
      <c r="AC172" s="459">
        <f t="shared" si="48"/>
        <v>0.67396243031486824</v>
      </c>
      <c r="AD172" s="459">
        <f t="shared" si="49"/>
        <v>0.45422535747592363</v>
      </c>
      <c r="AE172" s="459">
        <f t="shared" si="50"/>
        <v>107.0182016348819</v>
      </c>
      <c r="AF172" s="460">
        <f t="shared" si="51"/>
        <v>0.65842916564717402</v>
      </c>
      <c r="AG172" s="446"/>
      <c r="AH172" s="446"/>
      <c r="AI172" s="446"/>
      <c r="AJ172" s="446"/>
      <c r="AK172" s="446"/>
      <c r="AL172" s="443"/>
      <c r="AM172" s="443"/>
      <c r="AN172" s="461"/>
      <c r="AO172" s="456">
        <f t="shared" si="52"/>
        <v>71.214666503437385</v>
      </c>
      <c r="AP172" s="460">
        <f t="shared" si="53"/>
        <v>2.0624582347350282</v>
      </c>
      <c r="AQ172" s="443"/>
      <c r="AR172" s="462" t="s">
        <v>1100</v>
      </c>
      <c r="AV172" s="349"/>
      <c r="AW172" s="349"/>
      <c r="AX172" s="349"/>
    </row>
    <row r="173" spans="1:50" s="352" customFormat="1" ht="15.75">
      <c r="A173" s="442" t="s">
        <v>1326</v>
      </c>
      <c r="B173" s="443" t="s">
        <v>1427</v>
      </c>
      <c r="C173" s="444">
        <v>2</v>
      </c>
      <c r="D173" s="445" t="s">
        <v>1204</v>
      </c>
      <c r="E173" s="446">
        <v>1971</v>
      </c>
      <c r="F173" s="444"/>
      <c r="G173" s="447"/>
      <c r="H173" s="448">
        <f t="shared" si="55"/>
        <v>120.91082282500227</v>
      </c>
      <c r="I173" s="449">
        <v>119</v>
      </c>
      <c r="J173" s="450">
        <f t="shared" si="46"/>
        <v>119.42112</v>
      </c>
      <c r="K173" s="450">
        <f t="shared" si="54"/>
        <v>36.4</v>
      </c>
      <c r="L173" s="450"/>
      <c r="M173" s="450">
        <v>36.4</v>
      </c>
      <c r="N173" s="450">
        <f t="shared" si="42"/>
        <v>19.028639999999999</v>
      </c>
      <c r="O173" s="450">
        <v>5.8</v>
      </c>
      <c r="P173" s="450">
        <f t="shared" si="42"/>
        <v>5.9054400000000005</v>
      </c>
      <c r="Q173" s="451">
        <v>1.8</v>
      </c>
      <c r="R173" s="452">
        <f t="shared" si="43"/>
        <v>6.2758620689655178</v>
      </c>
      <c r="S173" s="453">
        <f t="shared" si="44"/>
        <v>20.222222222222221</v>
      </c>
      <c r="T173" s="444">
        <v>19</v>
      </c>
      <c r="U173" s="454">
        <f t="shared" si="41"/>
        <v>9000</v>
      </c>
      <c r="V173" s="454">
        <v>9000</v>
      </c>
      <c r="W173" s="454"/>
      <c r="X173" s="455"/>
      <c r="Y173" s="456">
        <v>42</v>
      </c>
      <c r="Z173" s="457"/>
      <c r="AA173" s="458">
        <f t="shared" si="45"/>
        <v>3.1156493672098629</v>
      </c>
      <c r="AB173" s="459">
        <f t="shared" si="47"/>
        <v>9.7072709793952185</v>
      </c>
      <c r="AC173" s="459">
        <f t="shared" si="48"/>
        <v>1.1430659137741481</v>
      </c>
      <c r="AD173" s="459">
        <f t="shared" si="49"/>
        <v>1.3065996832323283</v>
      </c>
      <c r="AE173" s="459">
        <f t="shared" si="50"/>
        <v>69.872059050066241</v>
      </c>
      <c r="AF173" s="460">
        <f t="shared" si="51"/>
        <v>0.55533333333333335</v>
      </c>
      <c r="AG173" s="457"/>
      <c r="AH173" s="457"/>
      <c r="AI173" s="457"/>
      <c r="AJ173" s="457"/>
      <c r="AK173" s="446"/>
      <c r="AL173" s="443"/>
      <c r="AM173" s="443"/>
      <c r="AN173" s="461"/>
      <c r="AO173" s="456">
        <f t="shared" si="52"/>
        <v>199.16055874392202</v>
      </c>
      <c r="AP173" s="460">
        <f t="shared" si="53"/>
        <v>5.0038123909740584</v>
      </c>
      <c r="AQ173" s="443"/>
      <c r="AR173" s="462" t="s">
        <v>1100</v>
      </c>
      <c r="AV173" s="349"/>
      <c r="AW173" s="349"/>
      <c r="AX173" s="349"/>
    </row>
    <row r="174" spans="1:50" s="352" customFormat="1" ht="15.75">
      <c r="A174" s="442" t="s">
        <v>1326</v>
      </c>
      <c r="B174" s="443" t="s">
        <v>1428</v>
      </c>
      <c r="C174" s="444">
        <v>3</v>
      </c>
      <c r="D174" s="445" t="s">
        <v>1429</v>
      </c>
      <c r="E174" s="446">
        <v>1994</v>
      </c>
      <c r="F174" s="444" t="s">
        <v>567</v>
      </c>
      <c r="G174" s="447"/>
      <c r="H174" s="448">
        <f t="shared" si="55"/>
        <v>121.92688015966615</v>
      </c>
      <c r="I174" s="449">
        <v>120</v>
      </c>
      <c r="J174" s="450">
        <f t="shared" si="46"/>
        <v>114.828</v>
      </c>
      <c r="K174" s="450">
        <f t="shared" si="54"/>
        <v>35</v>
      </c>
      <c r="L174" s="450"/>
      <c r="M174" s="450">
        <v>35</v>
      </c>
      <c r="N174" s="450">
        <f t="shared" si="42"/>
        <v>17.716320000000003</v>
      </c>
      <c r="O174" s="450">
        <v>5.4</v>
      </c>
      <c r="P174" s="450">
        <f t="shared" si="42"/>
        <v>5.9054400000000005</v>
      </c>
      <c r="Q174" s="451">
        <v>1.8</v>
      </c>
      <c r="R174" s="452">
        <f t="shared" si="43"/>
        <v>6.4814814814814801</v>
      </c>
      <c r="S174" s="453">
        <f t="shared" si="44"/>
        <v>19.444444444444443</v>
      </c>
      <c r="T174" s="444">
        <v>39</v>
      </c>
      <c r="U174" s="454">
        <f t="shared" si="41"/>
        <v>4400</v>
      </c>
      <c r="V174" s="454">
        <v>4400</v>
      </c>
      <c r="W174" s="454"/>
      <c r="X174" s="455"/>
      <c r="Y174" s="456">
        <v>28</v>
      </c>
      <c r="Z174" s="457"/>
      <c r="AA174" s="458">
        <f t="shared" si="45"/>
        <v>2.0742046494229696</v>
      </c>
      <c r="AB174" s="459">
        <f t="shared" si="47"/>
        <v>4.3023249276878639</v>
      </c>
      <c r="AC174" s="459">
        <f t="shared" si="48"/>
        <v>0.77713538662095316</v>
      </c>
      <c r="AD174" s="459">
        <f t="shared" si="49"/>
        <v>0.60393940913849831</v>
      </c>
      <c r="AE174" s="459">
        <f t="shared" si="50"/>
        <v>79.257039157607124</v>
      </c>
      <c r="AF174" s="460">
        <f t="shared" si="51"/>
        <v>0.76363636363636367</v>
      </c>
      <c r="AG174" s="446"/>
      <c r="AH174" s="446"/>
      <c r="AI174" s="446"/>
      <c r="AJ174" s="446"/>
      <c r="AK174" s="446"/>
      <c r="AL174" s="443"/>
      <c r="AM174" s="443"/>
      <c r="AN174" s="461"/>
      <c r="AO174" s="456">
        <f t="shared" si="52"/>
        <v>121.3786347334793</v>
      </c>
      <c r="AP174" s="460">
        <f t="shared" si="53"/>
        <v>3.1804216266542529</v>
      </c>
      <c r="AQ174" s="443"/>
      <c r="AR174" s="462" t="s">
        <v>1100</v>
      </c>
      <c r="AV174" s="349"/>
      <c r="AW174" s="349"/>
      <c r="AX174" s="349"/>
    </row>
    <row r="175" spans="1:50" s="352" customFormat="1" ht="15.75">
      <c r="A175" s="442" t="s">
        <v>1326</v>
      </c>
      <c r="B175" s="443" t="s">
        <v>1430</v>
      </c>
      <c r="C175" s="444">
        <v>10</v>
      </c>
      <c r="D175" s="445" t="s">
        <v>1220</v>
      </c>
      <c r="E175" s="446">
        <v>1989</v>
      </c>
      <c r="F175" s="444">
        <v>2001</v>
      </c>
      <c r="G175" s="447"/>
      <c r="H175" s="448">
        <f t="shared" si="55"/>
        <v>121.92688015966615</v>
      </c>
      <c r="I175" s="449">
        <v>120</v>
      </c>
      <c r="J175" s="450">
        <f t="shared" si="46"/>
        <v>108.59448</v>
      </c>
      <c r="K175" s="450">
        <f t="shared" si="54"/>
        <v>33.1</v>
      </c>
      <c r="L175" s="450"/>
      <c r="M175" s="450">
        <v>33.1</v>
      </c>
      <c r="N175" s="450">
        <f t="shared" si="42"/>
        <v>21.653279999999999</v>
      </c>
      <c r="O175" s="450">
        <v>6.6</v>
      </c>
      <c r="P175" s="450">
        <f t="shared" si="42"/>
        <v>6.5616000000000003</v>
      </c>
      <c r="Q175" s="451">
        <v>2</v>
      </c>
      <c r="R175" s="452">
        <f t="shared" si="43"/>
        <v>5.0151515151515156</v>
      </c>
      <c r="S175" s="453">
        <f t="shared" si="44"/>
        <v>16.55</v>
      </c>
      <c r="T175" s="444">
        <v>10</v>
      </c>
      <c r="U175" s="454">
        <f t="shared" si="41"/>
        <v>5200</v>
      </c>
      <c r="V175" s="454">
        <v>5200</v>
      </c>
      <c r="W175" s="454"/>
      <c r="X175" s="455"/>
      <c r="Y175" s="456">
        <v>22</v>
      </c>
      <c r="Z175" s="457"/>
      <c r="AA175" s="458">
        <f t="shared" si="45"/>
        <v>1.6297322245466188</v>
      </c>
      <c r="AB175" s="459">
        <f t="shared" si="47"/>
        <v>2.656027123725671</v>
      </c>
      <c r="AC175" s="459">
        <f t="shared" si="48"/>
        <v>0.62788680956747389</v>
      </c>
      <c r="AD175" s="459">
        <f t="shared" si="49"/>
        <v>0.3942418456288212</v>
      </c>
      <c r="AE175" s="459">
        <f t="shared" si="50"/>
        <v>93.703971002604305</v>
      </c>
      <c r="AF175" s="460">
        <f t="shared" si="51"/>
        <v>0.50769230769230766</v>
      </c>
      <c r="AG175" s="457"/>
      <c r="AH175" s="457"/>
      <c r="AI175" s="457"/>
      <c r="AJ175" s="457"/>
      <c r="AK175" s="446"/>
      <c r="AL175" s="443"/>
      <c r="AM175" s="443"/>
      <c r="AN175" s="461"/>
      <c r="AO175" s="456">
        <f t="shared" si="52"/>
        <v>49.817912960665801</v>
      </c>
      <c r="AP175" s="460">
        <f t="shared" si="53"/>
        <v>1.3802826527009193</v>
      </c>
      <c r="AQ175" s="443"/>
      <c r="AR175" s="462" t="s">
        <v>1100</v>
      </c>
    </row>
    <row r="176" spans="1:50" s="352" customFormat="1" ht="15.75">
      <c r="A176" s="442" t="s">
        <v>1326</v>
      </c>
      <c r="B176" s="443" t="s">
        <v>1431</v>
      </c>
      <c r="C176" s="444">
        <v>1</v>
      </c>
      <c r="D176" s="445" t="s">
        <v>1385</v>
      </c>
      <c r="E176" s="446">
        <v>1974</v>
      </c>
      <c r="F176" s="444" t="s">
        <v>567</v>
      </c>
      <c r="G176" s="447"/>
      <c r="H176" s="448">
        <f t="shared" si="55"/>
        <v>132.087453506305</v>
      </c>
      <c r="I176" s="449">
        <v>130</v>
      </c>
      <c r="J176" s="450">
        <f t="shared" si="46"/>
        <v>113.1876</v>
      </c>
      <c r="K176" s="450">
        <f t="shared" si="54"/>
        <v>34.5</v>
      </c>
      <c r="L176" s="450"/>
      <c r="M176" s="450">
        <v>34.5</v>
      </c>
      <c r="N176" s="450">
        <f t="shared" si="42"/>
        <v>23.949840000000002</v>
      </c>
      <c r="O176" s="450">
        <v>7.3</v>
      </c>
      <c r="P176" s="450">
        <f t="shared" si="42"/>
        <v>6.8896800000000002</v>
      </c>
      <c r="Q176" s="451">
        <v>2.1</v>
      </c>
      <c r="R176" s="452">
        <f t="shared" si="43"/>
        <v>4.7260273972602738</v>
      </c>
      <c r="S176" s="453">
        <f t="shared" si="44"/>
        <v>16.428571428571427</v>
      </c>
      <c r="T176" s="444">
        <v>20</v>
      </c>
      <c r="U176" s="454">
        <f t="shared" si="41"/>
        <v>6000</v>
      </c>
      <c r="V176" s="454">
        <v>6000</v>
      </c>
      <c r="W176" s="454"/>
      <c r="X176" s="455"/>
      <c r="Y176" s="456">
        <v>32</v>
      </c>
      <c r="Z176" s="457"/>
      <c r="AA176" s="458">
        <f t="shared" si="45"/>
        <v>2.339105801127324</v>
      </c>
      <c r="AB176" s="459">
        <f t="shared" si="47"/>
        <v>5.4714159488675005</v>
      </c>
      <c r="AC176" s="459">
        <f t="shared" si="48"/>
        <v>0.89456748035701361</v>
      </c>
      <c r="AD176" s="459">
        <f t="shared" si="49"/>
        <v>0.80025097691229596</v>
      </c>
      <c r="AE176" s="459">
        <f t="shared" si="50"/>
        <v>89.649278407331821</v>
      </c>
      <c r="AF176" s="460">
        <f t="shared" si="51"/>
        <v>0.69333333333333336</v>
      </c>
      <c r="AG176" s="446"/>
      <c r="AH176" s="446"/>
      <c r="AI176" s="446"/>
      <c r="AJ176" s="446"/>
      <c r="AK176" s="446"/>
      <c r="AL176" s="443"/>
      <c r="AM176" s="443"/>
      <c r="AN176" s="461"/>
      <c r="AO176" s="456">
        <f t="shared" si="52"/>
        <v>140.15037133472515</v>
      </c>
      <c r="AP176" s="460">
        <f t="shared" si="53"/>
        <v>3.8262471625278152</v>
      </c>
      <c r="AQ176" s="443"/>
      <c r="AR176" s="462" t="s">
        <v>1100</v>
      </c>
      <c r="AV176" s="349"/>
      <c r="AW176" s="349"/>
      <c r="AX176" s="349"/>
    </row>
    <row r="177" spans="1:50" s="352" customFormat="1" ht="15.75">
      <c r="A177" s="442" t="s">
        <v>1326</v>
      </c>
      <c r="B177" s="443" t="s">
        <v>1432</v>
      </c>
      <c r="C177" s="444">
        <v>1</v>
      </c>
      <c r="D177" s="445" t="s">
        <v>1355</v>
      </c>
      <c r="E177" s="446">
        <v>1966</v>
      </c>
      <c r="F177" s="444"/>
      <c r="G177" s="447"/>
      <c r="H177" s="448">
        <f t="shared" si="55"/>
        <v>132.087453506305</v>
      </c>
      <c r="I177" s="449">
        <v>130</v>
      </c>
      <c r="J177" s="450">
        <f t="shared" si="46"/>
        <v>101.37672000000001</v>
      </c>
      <c r="K177" s="450">
        <f t="shared" si="54"/>
        <v>30.9</v>
      </c>
      <c r="L177" s="450"/>
      <c r="M177" s="450">
        <v>30.9</v>
      </c>
      <c r="N177" s="450">
        <f t="shared" si="42"/>
        <v>20.997120000000002</v>
      </c>
      <c r="O177" s="450">
        <v>6.4</v>
      </c>
      <c r="P177" s="450">
        <f t="shared" si="42"/>
        <v>4.9212000000000007</v>
      </c>
      <c r="Q177" s="451">
        <v>1.5</v>
      </c>
      <c r="R177" s="452">
        <f t="shared" si="43"/>
        <v>4.828125</v>
      </c>
      <c r="S177" s="453">
        <f t="shared" si="44"/>
        <v>20.599999999999998</v>
      </c>
      <c r="T177" s="444">
        <v>20</v>
      </c>
      <c r="U177" s="454">
        <f t="shared" si="41"/>
        <v>1450</v>
      </c>
      <c r="V177" s="454">
        <v>1450</v>
      </c>
      <c r="W177" s="454"/>
      <c r="X177" s="455"/>
      <c r="Y177" s="456">
        <v>21</v>
      </c>
      <c r="Z177" s="457"/>
      <c r="AA177" s="458">
        <f t="shared" si="45"/>
        <v>1.5350381819898062</v>
      </c>
      <c r="AB177" s="459">
        <f t="shared" si="47"/>
        <v>2.3563422201665696</v>
      </c>
      <c r="AC177" s="459">
        <f t="shared" si="48"/>
        <v>0.62031563939090795</v>
      </c>
      <c r="AD177" s="459">
        <f t="shared" si="49"/>
        <v>0.38479149247295097</v>
      </c>
      <c r="AE177" s="459">
        <f t="shared" si="50"/>
        <v>124.77530645600487</v>
      </c>
      <c r="AF177" s="460">
        <f t="shared" si="51"/>
        <v>1.8827586206896552</v>
      </c>
      <c r="AG177" s="457"/>
      <c r="AH177" s="457"/>
      <c r="AI177" s="457"/>
      <c r="AJ177" s="457"/>
      <c r="AK177" s="446"/>
      <c r="AL177" s="443"/>
      <c r="AM177" s="443"/>
      <c r="AN177" s="461"/>
      <c r="AO177" s="456">
        <f t="shared" si="52"/>
        <v>163.90245179454593</v>
      </c>
      <c r="AP177" s="460">
        <f t="shared" si="53"/>
        <v>4.9960276536045365</v>
      </c>
      <c r="AQ177" s="443"/>
      <c r="AR177" s="462" t="s">
        <v>1100</v>
      </c>
    </row>
    <row r="178" spans="1:50" s="352" customFormat="1" ht="15.75">
      <c r="A178" s="442" t="s">
        <v>1326</v>
      </c>
      <c r="B178" s="443" t="s">
        <v>1433</v>
      </c>
      <c r="C178" s="444">
        <v>1</v>
      </c>
      <c r="D178" s="445" t="s">
        <v>1204</v>
      </c>
      <c r="E178" s="446">
        <v>1965</v>
      </c>
      <c r="F178" s="444"/>
      <c r="G178" s="447"/>
      <c r="H178" s="448">
        <f t="shared" si="55"/>
        <v>132.087453506305</v>
      </c>
      <c r="I178" s="449">
        <v>130</v>
      </c>
      <c r="J178" s="450">
        <f t="shared" si="46"/>
        <v>101.37672000000001</v>
      </c>
      <c r="K178" s="450">
        <f t="shared" si="54"/>
        <v>30.9</v>
      </c>
      <c r="L178" s="450"/>
      <c r="M178" s="450">
        <v>30.9</v>
      </c>
      <c r="N178" s="450">
        <f t="shared" si="42"/>
        <v>20.997120000000002</v>
      </c>
      <c r="O178" s="450">
        <v>6.4</v>
      </c>
      <c r="P178" s="450">
        <f t="shared" si="42"/>
        <v>4.9212000000000007</v>
      </c>
      <c r="Q178" s="451">
        <v>1.5</v>
      </c>
      <c r="R178" s="452">
        <f t="shared" si="43"/>
        <v>4.828125</v>
      </c>
      <c r="S178" s="453">
        <f t="shared" si="44"/>
        <v>20.599999999999998</v>
      </c>
      <c r="T178" s="444">
        <v>15</v>
      </c>
      <c r="U178" s="454">
        <f t="shared" si="41"/>
        <v>3520</v>
      </c>
      <c r="V178" s="454">
        <v>3520</v>
      </c>
      <c r="W178" s="454"/>
      <c r="X178" s="455"/>
      <c r="Y178" s="456">
        <v>21</v>
      </c>
      <c r="Z178" s="457"/>
      <c r="AA178" s="458">
        <f t="shared" si="45"/>
        <v>1.5350381819898062</v>
      </c>
      <c r="AB178" s="459">
        <f t="shared" si="47"/>
        <v>2.3563422201665696</v>
      </c>
      <c r="AC178" s="459">
        <f t="shared" si="48"/>
        <v>0.62031563939090795</v>
      </c>
      <c r="AD178" s="459">
        <f t="shared" si="49"/>
        <v>0.38479149247295097</v>
      </c>
      <c r="AE178" s="459">
        <f t="shared" si="50"/>
        <v>124.77530645600487</v>
      </c>
      <c r="AF178" s="460">
        <f t="shared" si="51"/>
        <v>0.77556818181818177</v>
      </c>
      <c r="AG178" s="457"/>
      <c r="AH178" s="457"/>
      <c r="AI178" s="457"/>
      <c r="AJ178" s="457"/>
      <c r="AK178" s="446"/>
      <c r="AL178" s="443"/>
      <c r="AM178" s="443"/>
      <c r="AN178" s="461"/>
      <c r="AO178" s="456">
        <f t="shared" si="52"/>
        <v>67.516634972185116</v>
      </c>
      <c r="AP178" s="460">
        <f t="shared" si="53"/>
        <v>2.0580227550359593</v>
      </c>
      <c r="AQ178" s="443"/>
      <c r="AR178" s="462" t="s">
        <v>1100</v>
      </c>
    </row>
    <row r="179" spans="1:50" s="352" customFormat="1" ht="15.75">
      <c r="A179" s="442" t="s">
        <v>1326</v>
      </c>
      <c r="B179" s="443" t="s">
        <v>1434</v>
      </c>
      <c r="C179" s="444">
        <v>1</v>
      </c>
      <c r="D179" s="445" t="s">
        <v>1379</v>
      </c>
      <c r="E179" s="446">
        <v>1964</v>
      </c>
      <c r="F179" s="444" t="s">
        <v>567</v>
      </c>
      <c r="G179" s="447"/>
      <c r="H179" s="448">
        <f t="shared" si="55"/>
        <v>136.15168284496053</v>
      </c>
      <c r="I179" s="449">
        <v>134</v>
      </c>
      <c r="J179" s="450">
        <f t="shared" si="46"/>
        <v>117.12456000000002</v>
      </c>
      <c r="K179" s="450">
        <f t="shared" si="54"/>
        <v>35.700000000000003</v>
      </c>
      <c r="L179" s="450"/>
      <c r="M179" s="450">
        <v>35.700000000000003</v>
      </c>
      <c r="N179" s="450">
        <f t="shared" si="42"/>
        <v>21.653279999999999</v>
      </c>
      <c r="O179" s="450">
        <v>6.6</v>
      </c>
      <c r="P179" s="450">
        <f t="shared" si="42"/>
        <v>7.5458400000000001</v>
      </c>
      <c r="Q179" s="451">
        <v>2.2999999999999998</v>
      </c>
      <c r="R179" s="452">
        <f t="shared" si="43"/>
        <v>5.4090909090909101</v>
      </c>
      <c r="S179" s="453">
        <f t="shared" si="44"/>
        <v>15.521739130434785</v>
      </c>
      <c r="T179" s="444">
        <v>9</v>
      </c>
      <c r="U179" s="454">
        <f t="shared" si="41"/>
        <v>4050</v>
      </c>
      <c r="V179" s="454">
        <v>4050</v>
      </c>
      <c r="W179" s="454"/>
      <c r="X179" s="455"/>
      <c r="Y179" s="456">
        <v>23</v>
      </c>
      <c r="Z179" s="457"/>
      <c r="AA179" s="458">
        <f t="shared" si="45"/>
        <v>1.6727619818384931</v>
      </c>
      <c r="AB179" s="459">
        <f t="shared" si="47"/>
        <v>2.798132647884243</v>
      </c>
      <c r="AC179" s="459">
        <f t="shared" si="48"/>
        <v>0.63207178404743525</v>
      </c>
      <c r="AD179" s="459">
        <f t="shared" si="49"/>
        <v>0.39951474018890765</v>
      </c>
      <c r="AE179" s="459">
        <f t="shared" si="50"/>
        <v>83.399007287915822</v>
      </c>
      <c r="AF179" s="460">
        <f t="shared" si="51"/>
        <v>0.76098765432098769</v>
      </c>
      <c r="AG179" s="446"/>
      <c r="AH179" s="446"/>
      <c r="AI179" s="446"/>
      <c r="AJ179" s="446"/>
      <c r="AK179" s="446"/>
      <c r="AL179" s="443"/>
      <c r="AM179" s="443"/>
      <c r="AN179" s="461"/>
      <c r="AO179" s="456">
        <f t="shared" si="52"/>
        <v>78.668043709610032</v>
      </c>
      <c r="AP179" s="460">
        <f t="shared" si="53"/>
        <v>2.0965978969128205</v>
      </c>
      <c r="AQ179" s="443"/>
      <c r="AR179" s="462" t="s">
        <v>1100</v>
      </c>
      <c r="AV179" s="349"/>
      <c r="AW179" s="349"/>
      <c r="AX179" s="349"/>
    </row>
    <row r="180" spans="1:50" s="352" customFormat="1" ht="15.75">
      <c r="A180" s="421" t="s">
        <v>1326</v>
      </c>
      <c r="B180" s="422" t="s">
        <v>1435</v>
      </c>
      <c r="C180" s="423">
        <v>3</v>
      </c>
      <c r="D180" s="424" t="s">
        <v>1436</v>
      </c>
      <c r="E180" s="425">
        <v>1967</v>
      </c>
      <c r="F180" s="423" t="s">
        <v>567</v>
      </c>
      <c r="G180" s="426"/>
      <c r="H180" s="427">
        <f t="shared" si="55"/>
        <v>137.16774017962442</v>
      </c>
      <c r="I180" s="428">
        <v>135</v>
      </c>
      <c r="J180" s="429">
        <f t="shared" si="46"/>
        <v>119.7492</v>
      </c>
      <c r="K180" s="429">
        <f t="shared" si="54"/>
        <v>36.5</v>
      </c>
      <c r="L180" s="429"/>
      <c r="M180" s="429">
        <v>36.5</v>
      </c>
      <c r="N180" s="429">
        <f t="shared" si="42"/>
        <v>20.012879999999999</v>
      </c>
      <c r="O180" s="429">
        <v>6.1</v>
      </c>
      <c r="P180" s="429">
        <f t="shared" si="42"/>
        <v>4.9212000000000007</v>
      </c>
      <c r="Q180" s="430">
        <v>1.5</v>
      </c>
      <c r="R180" s="431">
        <f t="shared" si="43"/>
        <v>5.9836065573770494</v>
      </c>
      <c r="S180" s="432">
        <f t="shared" si="44"/>
        <v>24.333333333333329</v>
      </c>
      <c r="T180" s="423">
        <v>20</v>
      </c>
      <c r="U180" s="433">
        <f t="shared" si="41"/>
        <v>7200</v>
      </c>
      <c r="V180" s="433">
        <v>7200</v>
      </c>
      <c r="W180" s="433"/>
      <c r="X180" s="434"/>
      <c r="Y180" s="435">
        <v>32</v>
      </c>
      <c r="Z180" s="436"/>
      <c r="AA180" s="437">
        <f t="shared" si="45"/>
        <v>2.324438874018226</v>
      </c>
      <c r="AB180" s="438">
        <f t="shared" si="47"/>
        <v>5.4030160790471182</v>
      </c>
      <c r="AC180" s="438">
        <f t="shared" si="48"/>
        <v>0.86971352082991205</v>
      </c>
      <c r="AD180" s="438">
        <f t="shared" si="49"/>
        <v>0.75640160831436187</v>
      </c>
      <c r="AE180" s="438">
        <f t="shared" si="50"/>
        <v>78.616898451588611</v>
      </c>
      <c r="AF180" s="439">
        <f t="shared" si="51"/>
        <v>0.6</v>
      </c>
      <c r="AG180" s="436">
        <v>800</v>
      </c>
      <c r="AH180" s="425"/>
      <c r="AI180" s="425"/>
      <c r="AJ180" s="425"/>
      <c r="AK180" s="425"/>
      <c r="AL180" s="422"/>
      <c r="AM180" s="422"/>
      <c r="AN180" s="440"/>
      <c r="AO180" s="435">
        <f t="shared" si="52"/>
        <v>119.76776655719898</v>
      </c>
      <c r="AP180" s="439">
        <f t="shared" si="53"/>
        <v>3.1297411590223567</v>
      </c>
      <c r="AQ180" s="422"/>
      <c r="AR180" s="441" t="s">
        <v>1090</v>
      </c>
      <c r="AV180" s="349"/>
      <c r="AW180" s="349"/>
      <c r="AX180" s="349"/>
    </row>
    <row r="181" spans="1:50" s="352" customFormat="1" ht="15.75">
      <c r="A181" s="464" t="s">
        <v>1326</v>
      </c>
      <c r="B181" s="465" t="s">
        <v>1437</v>
      </c>
      <c r="C181" s="466">
        <v>3</v>
      </c>
      <c r="D181" s="467" t="s">
        <v>1438</v>
      </c>
      <c r="E181" s="468">
        <v>1966</v>
      </c>
      <c r="F181" s="466">
        <v>1967</v>
      </c>
      <c r="G181" s="469" t="s">
        <v>1190</v>
      </c>
      <c r="H181" s="470">
        <f t="shared" si="55"/>
        <v>140.21591218361607</v>
      </c>
      <c r="I181" s="471">
        <v>138</v>
      </c>
      <c r="J181" s="472">
        <f t="shared" si="46"/>
        <v>119.7492</v>
      </c>
      <c r="K181" s="472">
        <f>IF(M181="",#REF!,M181)</f>
        <v>36.5</v>
      </c>
      <c r="L181" s="472">
        <v>36.576444769568397</v>
      </c>
      <c r="M181" s="472">
        <v>36.5</v>
      </c>
      <c r="N181" s="472">
        <f t="shared" si="42"/>
        <v>20.340960000000003</v>
      </c>
      <c r="O181" s="472">
        <v>6.2</v>
      </c>
      <c r="P181" s="472">
        <f t="shared" si="42"/>
        <v>5.9054400000000005</v>
      </c>
      <c r="Q181" s="473">
        <v>1.8</v>
      </c>
      <c r="R181" s="474">
        <f t="shared" si="43"/>
        <v>5.887096774193548</v>
      </c>
      <c r="S181" s="475">
        <f t="shared" si="44"/>
        <v>20.277777777777775</v>
      </c>
      <c r="T181" s="466">
        <v>20</v>
      </c>
      <c r="U181" s="476">
        <f t="shared" ref="U181:U217" si="56">IF(V181="",W181,V181)</f>
        <v>6000</v>
      </c>
      <c r="V181" s="476">
        <v>6000</v>
      </c>
      <c r="W181" s="476">
        <v>6000</v>
      </c>
      <c r="X181" s="477"/>
      <c r="Y181" s="478">
        <v>32</v>
      </c>
      <c r="Z181" s="479"/>
      <c r="AA181" s="480">
        <f t="shared" si="45"/>
        <v>2.3159396795747824</v>
      </c>
      <c r="AB181" s="481">
        <f t="shared" si="47"/>
        <v>5.3635765994289457</v>
      </c>
      <c r="AC181" s="481">
        <f t="shared" si="48"/>
        <v>0.86971352082991205</v>
      </c>
      <c r="AD181" s="481">
        <f t="shared" si="49"/>
        <v>0.75640160831436187</v>
      </c>
      <c r="AE181" s="481">
        <f t="shared" si="50"/>
        <v>80.36394063940169</v>
      </c>
      <c r="AF181" s="482">
        <f t="shared" si="51"/>
        <v>0.73599999999999999</v>
      </c>
      <c r="AG181" s="479">
        <v>550</v>
      </c>
      <c r="AH181" s="468">
        <v>32</v>
      </c>
      <c r="AI181" s="468"/>
      <c r="AJ181" s="468"/>
      <c r="AK181" s="468">
        <v>2</v>
      </c>
      <c r="AL181" s="465"/>
      <c r="AM181" s="465"/>
      <c r="AN181" s="483"/>
      <c r="AO181" s="478">
        <f t="shared" si="52"/>
        <v>145.84271555490781</v>
      </c>
      <c r="AP181" s="482">
        <f t="shared" si="53"/>
        <v>3.8391491550674242</v>
      </c>
      <c r="AQ181" s="465"/>
      <c r="AR181" s="484" t="s">
        <v>1140</v>
      </c>
      <c r="AV181" s="349"/>
      <c r="AW181" s="349"/>
      <c r="AX181" s="349"/>
    </row>
    <row r="182" spans="1:50" s="352" customFormat="1" ht="15.75">
      <c r="A182" s="442" t="s">
        <v>1326</v>
      </c>
      <c r="B182" s="443" t="s">
        <v>1439</v>
      </c>
      <c r="C182" s="444">
        <v>2</v>
      </c>
      <c r="D182" s="445" t="s">
        <v>1193</v>
      </c>
      <c r="E182" s="446">
        <v>1994</v>
      </c>
      <c r="F182" s="444"/>
      <c r="G182" s="447"/>
      <c r="H182" s="448">
        <f t="shared" si="55"/>
        <v>144.28014152227161</v>
      </c>
      <c r="I182" s="449">
        <v>142</v>
      </c>
      <c r="J182" s="450">
        <f t="shared" si="46"/>
        <v>116.14032</v>
      </c>
      <c r="K182" s="450">
        <f t="shared" si="54"/>
        <v>35.4</v>
      </c>
      <c r="L182" s="450"/>
      <c r="M182" s="450">
        <v>35.4</v>
      </c>
      <c r="N182" s="450">
        <f t="shared" si="42"/>
        <v>24.934080000000002</v>
      </c>
      <c r="O182" s="450">
        <v>7.6</v>
      </c>
      <c r="P182" s="450">
        <f t="shared" si="42"/>
        <v>6.8896800000000002</v>
      </c>
      <c r="Q182" s="451">
        <v>2.1</v>
      </c>
      <c r="R182" s="452">
        <f t="shared" si="43"/>
        <v>4.6578947368421053</v>
      </c>
      <c r="S182" s="453">
        <f t="shared" si="44"/>
        <v>16.857142857142858</v>
      </c>
      <c r="T182" s="444">
        <v>25</v>
      </c>
      <c r="U182" s="454">
        <f t="shared" si="56"/>
        <v>8240</v>
      </c>
      <c r="V182" s="454">
        <v>8240</v>
      </c>
      <c r="W182" s="454"/>
      <c r="X182" s="455"/>
      <c r="Y182" s="456">
        <v>25</v>
      </c>
      <c r="Z182" s="457"/>
      <c r="AA182" s="458">
        <f t="shared" si="45"/>
        <v>1.800731925644989</v>
      </c>
      <c r="AB182" s="459">
        <f t="shared" si="47"/>
        <v>3.2426354680371099</v>
      </c>
      <c r="AC182" s="459">
        <f t="shared" si="48"/>
        <v>0.68993956949396862</v>
      </c>
      <c r="AD182" s="459">
        <f t="shared" si="49"/>
        <v>0.47601660955352276</v>
      </c>
      <c r="AE182" s="459">
        <f t="shared" si="50"/>
        <v>90.644047450925697</v>
      </c>
      <c r="AF182" s="460">
        <f t="shared" si="51"/>
        <v>0.43082524271844658</v>
      </c>
      <c r="AG182" s="457"/>
      <c r="AH182" s="457"/>
      <c r="AI182" s="457"/>
      <c r="AJ182" s="457"/>
      <c r="AK182" s="446"/>
      <c r="AL182" s="443"/>
      <c r="AM182" s="443"/>
      <c r="AN182" s="461"/>
      <c r="AO182" s="456">
        <f t="shared" si="52"/>
        <v>51.61212145241705</v>
      </c>
      <c r="AP182" s="460">
        <f t="shared" si="53"/>
        <v>1.414255822494787</v>
      </c>
      <c r="AQ182" s="443"/>
      <c r="AR182" s="462" t="s">
        <v>1100</v>
      </c>
      <c r="AV182" s="349"/>
      <c r="AW182" s="349"/>
      <c r="AX182" s="349"/>
    </row>
    <row r="183" spans="1:50" s="352" customFormat="1" ht="15.75">
      <c r="A183" s="442" t="s">
        <v>1326</v>
      </c>
      <c r="B183" s="443" t="s">
        <v>1440</v>
      </c>
      <c r="C183" s="444">
        <v>8</v>
      </c>
      <c r="D183" s="445" t="s">
        <v>1441</v>
      </c>
      <c r="E183" s="446">
        <v>1987</v>
      </c>
      <c r="F183" s="444">
        <v>1990</v>
      </c>
      <c r="G183" s="447"/>
      <c r="H183" s="448">
        <f t="shared" si="55"/>
        <v>145.29619885693552</v>
      </c>
      <c r="I183" s="449">
        <v>143</v>
      </c>
      <c r="J183" s="450">
        <f t="shared" si="46"/>
        <v>104.98560000000001</v>
      </c>
      <c r="K183" s="450">
        <f t="shared" si="54"/>
        <v>32</v>
      </c>
      <c r="L183" s="450"/>
      <c r="M183" s="450">
        <v>32</v>
      </c>
      <c r="N183" s="450">
        <f t="shared" si="42"/>
        <v>29.527200000000001</v>
      </c>
      <c r="O183" s="450">
        <v>9</v>
      </c>
      <c r="P183" s="450">
        <f t="shared" si="42"/>
        <v>5.9054400000000005</v>
      </c>
      <c r="Q183" s="451">
        <v>1.8</v>
      </c>
      <c r="R183" s="452">
        <f t="shared" si="43"/>
        <v>3.5555555555555558</v>
      </c>
      <c r="S183" s="453">
        <f t="shared" si="44"/>
        <v>17.777777777777779</v>
      </c>
      <c r="T183" s="444">
        <v>18</v>
      </c>
      <c r="U183" s="454">
        <f t="shared" si="56"/>
        <v>4890</v>
      </c>
      <c r="V183" s="454">
        <v>4890</v>
      </c>
      <c r="W183" s="454"/>
      <c r="X183" s="455"/>
      <c r="Y183" s="456">
        <v>40</v>
      </c>
      <c r="Z183" s="457"/>
      <c r="AA183" s="458">
        <f t="shared" si="45"/>
        <v>2.8778032463507612</v>
      </c>
      <c r="AB183" s="459">
        <f t="shared" si="47"/>
        <v>8.2817515247069799</v>
      </c>
      <c r="AC183" s="459">
        <f t="shared" si="48"/>
        <v>1.1610680592693852</v>
      </c>
      <c r="AD183" s="459">
        <f t="shared" si="49"/>
        <v>1.3480790382555765</v>
      </c>
      <c r="AE183" s="459">
        <f t="shared" si="50"/>
        <v>123.57961380136715</v>
      </c>
      <c r="AF183" s="460">
        <f t="shared" si="51"/>
        <v>1.1697341513292434</v>
      </c>
      <c r="AG183" s="446"/>
      <c r="AH183" s="446"/>
      <c r="AI183" s="446"/>
      <c r="AJ183" s="446"/>
      <c r="AK183" s="446"/>
      <c r="AL183" s="443"/>
      <c r="AM183" s="443"/>
      <c r="AN183" s="461"/>
      <c r="AO183" s="456">
        <f t="shared" si="52"/>
        <v>357.90008909594087</v>
      </c>
      <c r="AP183" s="460">
        <f t="shared" si="53"/>
        <v>10.874448797714557</v>
      </c>
      <c r="AQ183" s="443"/>
      <c r="AR183" s="462" t="s">
        <v>1100</v>
      </c>
      <c r="AV183" s="349"/>
      <c r="AW183" s="349"/>
      <c r="AX183" s="349"/>
    </row>
    <row r="184" spans="1:50" s="352" customFormat="1" ht="15.75">
      <c r="A184" s="442" t="s">
        <v>1326</v>
      </c>
      <c r="B184" s="443" t="s">
        <v>1442</v>
      </c>
      <c r="C184" s="444">
        <v>6</v>
      </c>
      <c r="D184" s="445" t="s">
        <v>1443</v>
      </c>
      <c r="E184" s="446">
        <v>1976</v>
      </c>
      <c r="F184" s="444">
        <v>1977</v>
      </c>
      <c r="G184" s="447"/>
      <c r="H184" s="448">
        <f t="shared" si="55"/>
        <v>147.32831352626329</v>
      </c>
      <c r="I184" s="449">
        <v>145</v>
      </c>
      <c r="J184" s="450">
        <f t="shared" si="46"/>
        <v>118.76496000000002</v>
      </c>
      <c r="K184" s="450">
        <f t="shared" si="54"/>
        <v>36.200000000000003</v>
      </c>
      <c r="L184" s="450"/>
      <c r="M184" s="450">
        <v>36.200000000000003</v>
      </c>
      <c r="N184" s="450">
        <f t="shared" si="42"/>
        <v>19.028639999999999</v>
      </c>
      <c r="O184" s="450">
        <v>5.8</v>
      </c>
      <c r="P184" s="450">
        <f t="shared" si="42"/>
        <v>6.2335200000000004</v>
      </c>
      <c r="Q184" s="451">
        <v>1.9</v>
      </c>
      <c r="R184" s="452">
        <f t="shared" si="43"/>
        <v>6.2413793103448283</v>
      </c>
      <c r="S184" s="453">
        <f t="shared" si="44"/>
        <v>19.05263157894737</v>
      </c>
      <c r="T184" s="444">
        <v>19</v>
      </c>
      <c r="U184" s="454">
        <f t="shared" si="56"/>
        <v>6000</v>
      </c>
      <c r="V184" s="454">
        <v>6000</v>
      </c>
      <c r="W184" s="454"/>
      <c r="X184" s="455"/>
      <c r="Y184" s="456">
        <v>22</v>
      </c>
      <c r="Z184" s="457"/>
      <c r="AA184" s="458">
        <f t="shared" si="45"/>
        <v>1.5791320941764508</v>
      </c>
      <c r="AB184" s="459">
        <f t="shared" si="47"/>
        <v>2.4936581708581032</v>
      </c>
      <c r="AC184" s="459">
        <f t="shared" si="48"/>
        <v>0.60040053597563836</v>
      </c>
      <c r="AD184" s="459">
        <f t="shared" si="49"/>
        <v>0.36048080359983381</v>
      </c>
      <c r="AE184" s="459">
        <f t="shared" si="50"/>
        <v>86.557164644176112</v>
      </c>
      <c r="AF184" s="460">
        <f t="shared" si="51"/>
        <v>0.53166666666666662</v>
      </c>
      <c r="AG184" s="446"/>
      <c r="AH184" s="446"/>
      <c r="AI184" s="446"/>
      <c r="AJ184" s="446"/>
      <c r="AK184" s="446"/>
      <c r="AL184" s="443"/>
      <c r="AM184" s="443"/>
      <c r="AN184" s="461"/>
      <c r="AO184" s="456">
        <f t="shared" si="52"/>
        <v>48.981129261013272</v>
      </c>
      <c r="AP184" s="460">
        <f t="shared" si="53"/>
        <v>1.3216799522912031</v>
      </c>
      <c r="AQ184" s="443"/>
      <c r="AR184" s="462" t="s">
        <v>1100</v>
      </c>
      <c r="AV184" s="349"/>
      <c r="AW184" s="349"/>
      <c r="AX184" s="349"/>
    </row>
    <row r="185" spans="1:50" s="352" customFormat="1" ht="15.75">
      <c r="A185" s="421" t="s">
        <v>1326</v>
      </c>
      <c r="B185" s="422" t="s">
        <v>1444</v>
      </c>
      <c r="C185" s="423">
        <v>8</v>
      </c>
      <c r="D185" s="424" t="s">
        <v>1238</v>
      </c>
      <c r="E185" s="425">
        <v>1967</v>
      </c>
      <c r="F185" s="423">
        <v>1968</v>
      </c>
      <c r="G185" s="426"/>
      <c r="H185" s="427">
        <f t="shared" si="55"/>
        <v>148.34437086092717</v>
      </c>
      <c r="I185" s="428">
        <v>146</v>
      </c>
      <c r="J185" s="429">
        <f t="shared" si="46"/>
        <v>107.61023999999999</v>
      </c>
      <c r="K185" s="429">
        <f t="shared" si="54"/>
        <v>32.799999999999997</v>
      </c>
      <c r="L185" s="429"/>
      <c r="M185" s="429">
        <v>32.799999999999997</v>
      </c>
      <c r="N185" s="429">
        <f t="shared" si="42"/>
        <v>20.012879999999999</v>
      </c>
      <c r="O185" s="429">
        <v>6.1</v>
      </c>
      <c r="P185" s="429">
        <f t="shared" si="42"/>
        <v>7.2177600000000011</v>
      </c>
      <c r="Q185" s="430">
        <v>2.2000000000000002</v>
      </c>
      <c r="R185" s="431">
        <f t="shared" si="43"/>
        <v>5.3770491803278686</v>
      </c>
      <c r="S185" s="432">
        <f t="shared" si="44"/>
        <v>14.909090909090905</v>
      </c>
      <c r="T185" s="423">
        <v>19</v>
      </c>
      <c r="U185" s="433">
        <f t="shared" si="56"/>
        <v>4000</v>
      </c>
      <c r="V185" s="433">
        <v>4000</v>
      </c>
      <c r="W185" s="433"/>
      <c r="X185" s="434"/>
      <c r="Y185" s="435">
        <v>21</v>
      </c>
      <c r="Z185" s="436"/>
      <c r="AA185" s="437">
        <f t="shared" si="45"/>
        <v>1.5056277082119847</v>
      </c>
      <c r="AB185" s="438">
        <f t="shared" si="47"/>
        <v>2.2669147957356732</v>
      </c>
      <c r="AC185" s="438">
        <f t="shared" si="48"/>
        <v>0.60208117507905767</v>
      </c>
      <c r="AD185" s="438">
        <f t="shared" si="49"/>
        <v>0.36250174138457891</v>
      </c>
      <c r="AE185" s="438">
        <f t="shared" si="50"/>
        <v>117.16342419814956</v>
      </c>
      <c r="AF185" s="439">
        <f t="shared" si="51"/>
        <v>0.76649999999999996</v>
      </c>
      <c r="AG185" s="436">
        <v>1200</v>
      </c>
      <c r="AH185" s="425"/>
      <c r="AI185" s="425"/>
      <c r="AJ185" s="425"/>
      <c r="AK185" s="425"/>
      <c r="AL185" s="422"/>
      <c r="AM185" s="422"/>
      <c r="AN185" s="440"/>
      <c r="AO185" s="435">
        <f t="shared" si="52"/>
        <v>64.194792104663421</v>
      </c>
      <c r="AP185" s="439">
        <f t="shared" si="53"/>
        <v>1.91613888232198</v>
      </c>
      <c r="AQ185" s="422"/>
      <c r="AR185" s="441" t="s">
        <v>1090</v>
      </c>
      <c r="AV185" s="349"/>
      <c r="AW185" s="349"/>
      <c r="AX185" s="349"/>
    </row>
    <row r="186" spans="1:50" s="352" customFormat="1" ht="15.75">
      <c r="A186" s="442" t="s">
        <v>1326</v>
      </c>
      <c r="B186" s="443" t="s">
        <v>1445</v>
      </c>
      <c r="C186" s="444">
        <v>1</v>
      </c>
      <c r="D186" s="445" t="s">
        <v>1446</v>
      </c>
      <c r="E186" s="446">
        <v>1982</v>
      </c>
      <c r="F186" s="444" t="s">
        <v>567</v>
      </c>
      <c r="G186" s="447"/>
      <c r="H186" s="448">
        <f t="shared" si="55"/>
        <v>149.86845686292298</v>
      </c>
      <c r="I186" s="449">
        <v>147.5</v>
      </c>
      <c r="J186" s="450">
        <f t="shared" si="46"/>
        <v>132.54432</v>
      </c>
      <c r="K186" s="450">
        <f t="shared" si="54"/>
        <v>40.4</v>
      </c>
      <c r="L186" s="450"/>
      <c r="M186" s="450">
        <v>40.4</v>
      </c>
      <c r="N186" s="450">
        <f t="shared" ref="N186:P249" si="57">O186*3.2808</f>
        <v>19.356720000000003</v>
      </c>
      <c r="O186" s="450">
        <v>5.9</v>
      </c>
      <c r="P186" s="450">
        <f t="shared" si="57"/>
        <v>5.2492800000000006</v>
      </c>
      <c r="Q186" s="451">
        <v>1.6</v>
      </c>
      <c r="R186" s="452">
        <f t="shared" si="43"/>
        <v>6.8474576271186427</v>
      </c>
      <c r="S186" s="453">
        <f t="shared" si="44"/>
        <v>25.249999999999996</v>
      </c>
      <c r="T186" s="444">
        <v>20</v>
      </c>
      <c r="U186" s="454">
        <f>IF(V186="",W186,V186)</f>
        <v>4340</v>
      </c>
      <c r="V186" s="454">
        <v>4340</v>
      </c>
      <c r="W186" s="454"/>
      <c r="X186" s="455"/>
      <c r="Y186" s="456">
        <v>26.3</v>
      </c>
      <c r="Z186" s="457"/>
      <c r="AA186" s="458">
        <f t="shared" si="45"/>
        <v>1.882409870952791</v>
      </c>
      <c r="AB186" s="459">
        <f t="shared" si="47"/>
        <v>3.5434669222605031</v>
      </c>
      <c r="AC186" s="459">
        <f t="shared" si="48"/>
        <v>0.67941908426600117</v>
      </c>
      <c r="AD186" s="459">
        <f t="shared" si="49"/>
        <v>0.4616102920648516</v>
      </c>
      <c r="AE186" s="459">
        <f t="shared" si="50"/>
        <v>63.344462615078463</v>
      </c>
      <c r="AF186" s="460">
        <f t="shared" si="51"/>
        <v>0.89383640552995391</v>
      </c>
      <c r="AG186" s="446"/>
      <c r="AH186" s="446"/>
      <c r="AI186" s="446"/>
      <c r="AJ186" s="446"/>
      <c r="AK186" s="446"/>
      <c r="AL186" s="443"/>
      <c r="AM186" s="443"/>
      <c r="AN186" s="461"/>
      <c r="AO186" s="456">
        <f t="shared" si="52"/>
        <v>117.01427949424091</v>
      </c>
      <c r="AP186" s="460">
        <f t="shared" si="53"/>
        <v>2.8453667349760323</v>
      </c>
      <c r="AQ186" s="443"/>
      <c r="AR186" s="462" t="s">
        <v>1100</v>
      </c>
    </row>
    <row r="187" spans="1:50" s="352" customFormat="1" ht="15.75">
      <c r="A187" s="421" t="s">
        <v>1447</v>
      </c>
      <c r="B187" s="422" t="s">
        <v>1448</v>
      </c>
      <c r="C187" s="423">
        <v>30</v>
      </c>
      <c r="D187" s="424" t="s">
        <v>1449</v>
      </c>
      <c r="E187" s="425">
        <v>1974</v>
      </c>
      <c r="F187" s="423">
        <v>1982</v>
      </c>
      <c r="G187" s="426"/>
      <c r="H187" s="427">
        <f>I187*2240/2204.6</f>
        <v>150.37648553025494</v>
      </c>
      <c r="I187" s="428">
        <v>148</v>
      </c>
      <c r="J187" s="429">
        <f t="shared" si="46"/>
        <v>112.85952</v>
      </c>
      <c r="K187" s="429">
        <f>IF(M187="",L187,M187)</f>
        <v>34.4</v>
      </c>
      <c r="L187" s="429"/>
      <c r="M187" s="429">
        <v>34.4</v>
      </c>
      <c r="N187" s="429">
        <f t="shared" si="57"/>
        <v>28.542960000000001</v>
      </c>
      <c r="O187" s="429">
        <v>8.6999999999999993</v>
      </c>
      <c r="P187" s="429">
        <f t="shared" si="57"/>
        <v>7.2177600000000011</v>
      </c>
      <c r="Q187" s="430">
        <v>2.2000000000000002</v>
      </c>
      <c r="R187" s="431">
        <f t="shared" si="43"/>
        <v>3.9540229885057472</v>
      </c>
      <c r="S187" s="432">
        <f t="shared" si="44"/>
        <v>15.636363636363635</v>
      </c>
      <c r="T187" s="423">
        <v>24</v>
      </c>
      <c r="U187" s="433">
        <f>IF(V187="",W187,V187)</f>
        <v>3000</v>
      </c>
      <c r="V187" s="433">
        <v>3000</v>
      </c>
      <c r="W187" s="433"/>
      <c r="X187" s="434">
        <v>2240</v>
      </c>
      <c r="Y187" s="435">
        <v>24</v>
      </c>
      <c r="Z187" s="436"/>
      <c r="AA187" s="437">
        <f t="shared" si="45"/>
        <v>1.7168198878166423</v>
      </c>
      <c r="AB187" s="438">
        <f t="shared" si="47"/>
        <v>2.9474705272027482</v>
      </c>
      <c r="AC187" s="438">
        <f t="shared" si="48"/>
        <v>0.67190008516078992</v>
      </c>
      <c r="AD187" s="438">
        <f t="shared" si="49"/>
        <v>0.45144972443907672</v>
      </c>
      <c r="AE187" s="438">
        <f t="shared" si="50"/>
        <v>102.95492316914783</v>
      </c>
      <c r="AF187" s="439">
        <f t="shared" si="51"/>
        <v>1.1839999999999999</v>
      </c>
      <c r="AG187" s="436">
        <v>1537</v>
      </c>
      <c r="AH187" s="425"/>
      <c r="AI187" s="425"/>
      <c r="AJ187" s="425"/>
      <c r="AK187" s="425">
        <v>2</v>
      </c>
      <c r="AL187" s="422" t="s">
        <v>1080</v>
      </c>
      <c r="AM187" s="422">
        <v>4</v>
      </c>
      <c r="AN187" s="440"/>
      <c r="AO187" s="435">
        <f t="shared" si="52"/>
        <v>128.92989055741884</v>
      </c>
      <c r="AP187" s="439">
        <f t="shared" si="53"/>
        <v>3.6860890423776391</v>
      </c>
      <c r="AQ187" s="422"/>
      <c r="AR187" s="441" t="s">
        <v>1090</v>
      </c>
      <c r="AV187" s="349"/>
      <c r="AW187" s="349"/>
      <c r="AX187" s="349"/>
    </row>
    <row r="188" spans="1:50" s="352" customFormat="1" ht="15.75">
      <c r="A188" s="442" t="s">
        <v>1326</v>
      </c>
      <c r="B188" s="443" t="s">
        <v>1450</v>
      </c>
      <c r="C188" s="444">
        <v>4</v>
      </c>
      <c r="D188" s="445" t="s">
        <v>1206</v>
      </c>
      <c r="E188" s="446">
        <v>1993</v>
      </c>
      <c r="F188" s="444" t="s">
        <v>567</v>
      </c>
      <c r="G188" s="447"/>
      <c r="H188" s="448">
        <f t="shared" si="55"/>
        <v>152.40860019958271</v>
      </c>
      <c r="I188" s="449">
        <v>150</v>
      </c>
      <c r="J188" s="450">
        <f t="shared" si="46"/>
        <v>103.34520000000001</v>
      </c>
      <c r="K188" s="450">
        <f t="shared" si="54"/>
        <v>31.5</v>
      </c>
      <c r="L188" s="450"/>
      <c r="M188" s="450">
        <v>31.5</v>
      </c>
      <c r="N188" s="450">
        <f t="shared" si="57"/>
        <v>21.325200000000002</v>
      </c>
      <c r="O188" s="450">
        <v>6.5</v>
      </c>
      <c r="P188" s="450">
        <f t="shared" si="57"/>
        <v>6.5616000000000003</v>
      </c>
      <c r="Q188" s="451">
        <v>2</v>
      </c>
      <c r="R188" s="452">
        <f t="shared" si="43"/>
        <v>4.8461538461538458</v>
      </c>
      <c r="S188" s="453">
        <f t="shared" si="44"/>
        <v>15.75</v>
      </c>
      <c r="T188" s="444">
        <v>11</v>
      </c>
      <c r="U188" s="454">
        <f t="shared" si="56"/>
        <v>5800</v>
      </c>
      <c r="V188" s="454">
        <v>5800</v>
      </c>
      <c r="W188" s="454"/>
      <c r="X188" s="455"/>
      <c r="Y188" s="456">
        <v>28</v>
      </c>
      <c r="Z188" s="457"/>
      <c r="AA188" s="458">
        <f t="shared" si="45"/>
        <v>1.9984805899948046</v>
      </c>
      <c r="AB188" s="459">
        <f t="shared" si="47"/>
        <v>3.9939246685859824</v>
      </c>
      <c r="AC188" s="459">
        <f t="shared" si="48"/>
        <v>0.8191726240125855</v>
      </c>
      <c r="AD188" s="459">
        <f t="shared" si="49"/>
        <v>0.67104378793166475</v>
      </c>
      <c r="AE188" s="459">
        <f t="shared" si="50"/>
        <v>135.90027290399027</v>
      </c>
      <c r="AF188" s="460">
        <f t="shared" si="51"/>
        <v>0.72413793103448276</v>
      </c>
      <c r="AG188" s="446"/>
      <c r="AH188" s="446"/>
      <c r="AI188" s="446"/>
      <c r="AJ188" s="446"/>
      <c r="AK188" s="446"/>
      <c r="AL188" s="443"/>
      <c r="AM188" s="443"/>
      <c r="AN188" s="461"/>
      <c r="AO188" s="456">
        <f t="shared" si="52"/>
        <v>106.84977365170518</v>
      </c>
      <c r="AP188" s="460">
        <f t="shared" si="53"/>
        <v>3.351018955287048</v>
      </c>
      <c r="AQ188" s="443"/>
      <c r="AR188" s="462" t="s">
        <v>1100</v>
      </c>
      <c r="AV188" s="349"/>
      <c r="AW188" s="349"/>
      <c r="AX188" s="349"/>
    </row>
    <row r="189" spans="1:50" s="352" customFormat="1" ht="15.75">
      <c r="A189" s="442" t="s">
        <v>1326</v>
      </c>
      <c r="B189" s="443" t="s">
        <v>1451</v>
      </c>
      <c r="C189" s="444">
        <v>9</v>
      </c>
      <c r="D189" s="445" t="s">
        <v>1364</v>
      </c>
      <c r="E189" s="446">
        <v>1969</v>
      </c>
      <c r="F189" s="444">
        <v>1973</v>
      </c>
      <c r="G189" s="447"/>
      <c r="H189" s="448">
        <f t="shared" si="55"/>
        <v>157.48888687290213</v>
      </c>
      <c r="I189" s="449">
        <v>155</v>
      </c>
      <c r="J189" s="450">
        <f t="shared" si="46"/>
        <v>83.98848000000001</v>
      </c>
      <c r="K189" s="450">
        <f t="shared" si="54"/>
        <v>25.6</v>
      </c>
      <c r="L189" s="450"/>
      <c r="M189" s="450">
        <v>25.6</v>
      </c>
      <c r="N189" s="450">
        <f t="shared" si="57"/>
        <v>19.684800000000003</v>
      </c>
      <c r="O189" s="450">
        <v>6</v>
      </c>
      <c r="P189" s="450">
        <f t="shared" si="57"/>
        <v>9.1862399999999997</v>
      </c>
      <c r="Q189" s="451">
        <v>2.8</v>
      </c>
      <c r="R189" s="452">
        <f t="shared" si="43"/>
        <v>4.2666666666666666</v>
      </c>
      <c r="S189" s="453">
        <f t="shared" si="44"/>
        <v>9.1428571428571441</v>
      </c>
      <c r="T189" s="444">
        <v>19</v>
      </c>
      <c r="U189" s="454">
        <f t="shared" si="56"/>
        <v>385</v>
      </c>
      <c r="V189" s="454">
        <v>385</v>
      </c>
      <c r="W189" s="454"/>
      <c r="X189" s="455"/>
      <c r="Y189" s="456">
        <v>11</v>
      </c>
      <c r="Z189" s="457"/>
      <c r="AA189" s="458">
        <f t="shared" si="45"/>
        <v>0.78083843416373422</v>
      </c>
      <c r="AB189" s="459">
        <f t="shared" si="47"/>
        <v>0.60970866026727233</v>
      </c>
      <c r="AC189" s="459">
        <f t="shared" si="48"/>
        <v>0.35698122721663877</v>
      </c>
      <c r="AD189" s="459">
        <f t="shared" si="49"/>
        <v>0.12743559658509748</v>
      </c>
      <c r="AE189" s="459">
        <f t="shared" si="50"/>
        <v>261.6209590692186</v>
      </c>
      <c r="AF189" s="460">
        <f t="shared" si="51"/>
        <v>4.4285714285714288</v>
      </c>
      <c r="AG189" s="457"/>
      <c r="AH189" s="457"/>
      <c r="AI189" s="457"/>
      <c r="AJ189" s="457"/>
      <c r="AK189" s="446"/>
      <c r="AL189" s="443"/>
      <c r="AM189" s="443"/>
      <c r="AN189" s="461"/>
      <c r="AO189" s="456">
        <f t="shared" si="52"/>
        <v>99.755869424456648</v>
      </c>
      <c r="AP189" s="460">
        <f t="shared" si="53"/>
        <v>3.8918772805848745</v>
      </c>
      <c r="AQ189" s="443"/>
      <c r="AR189" s="462" t="s">
        <v>1100</v>
      </c>
      <c r="AV189" s="349"/>
      <c r="AW189" s="349"/>
      <c r="AX189" s="349"/>
    </row>
    <row r="190" spans="1:50" s="352" customFormat="1" ht="15.75">
      <c r="A190" s="442" t="s">
        <v>1326</v>
      </c>
      <c r="B190" s="443" t="s">
        <v>1452</v>
      </c>
      <c r="C190" s="444">
        <v>1</v>
      </c>
      <c r="D190" s="445" t="s">
        <v>1453</v>
      </c>
      <c r="E190" s="446">
        <v>1981</v>
      </c>
      <c r="F190" s="444"/>
      <c r="G190" s="447"/>
      <c r="H190" s="448">
        <f t="shared" si="55"/>
        <v>157.99691554023406</v>
      </c>
      <c r="I190" s="449">
        <v>155.5</v>
      </c>
      <c r="J190" s="450">
        <f t="shared" si="46"/>
        <v>123.03</v>
      </c>
      <c r="K190" s="450">
        <f t="shared" si="54"/>
        <v>37.5</v>
      </c>
      <c r="L190" s="450"/>
      <c r="M190" s="450">
        <v>37.5</v>
      </c>
      <c r="N190" s="450">
        <f t="shared" si="57"/>
        <v>22.637520000000002</v>
      </c>
      <c r="O190" s="450">
        <v>6.9</v>
      </c>
      <c r="P190" s="450">
        <f t="shared" si="57"/>
        <v>5.5773600000000005</v>
      </c>
      <c r="Q190" s="451">
        <v>1.7</v>
      </c>
      <c r="R190" s="452">
        <f t="shared" si="43"/>
        <v>5.4347826086956514</v>
      </c>
      <c r="S190" s="453">
        <f t="shared" si="44"/>
        <v>22.058823529411764</v>
      </c>
      <c r="T190" s="444">
        <v>28</v>
      </c>
      <c r="U190" s="454">
        <f t="shared" si="56"/>
        <v>5000</v>
      </c>
      <c r="V190" s="454">
        <v>5000</v>
      </c>
      <c r="W190" s="454"/>
      <c r="X190" s="455"/>
      <c r="Y190" s="456">
        <v>29</v>
      </c>
      <c r="Z190" s="457"/>
      <c r="AA190" s="458">
        <f t="shared" si="45"/>
        <v>2.0574693712342165</v>
      </c>
      <c r="AB190" s="459">
        <f t="shared" si="47"/>
        <v>4.2331802135669223</v>
      </c>
      <c r="AC190" s="459">
        <f t="shared" si="48"/>
        <v>0.77759782961732082</v>
      </c>
      <c r="AD190" s="459">
        <f t="shared" si="49"/>
        <v>0.60465838462556787</v>
      </c>
      <c r="AE190" s="459">
        <f t="shared" si="50"/>
        <v>83.502085314167161</v>
      </c>
      <c r="AF190" s="460">
        <f t="shared" si="51"/>
        <v>0.90190000000000003</v>
      </c>
      <c r="AG190" s="457"/>
      <c r="AH190" s="457"/>
      <c r="AI190" s="457"/>
      <c r="AJ190" s="457"/>
      <c r="AK190" s="446"/>
      <c r="AL190" s="443"/>
      <c r="AM190" s="443"/>
      <c r="AN190" s="461"/>
      <c r="AO190" s="456">
        <f t="shared" si="52"/>
        <v>141.05145971162864</v>
      </c>
      <c r="AP190" s="460">
        <f t="shared" si="53"/>
        <v>3.7607389986182236</v>
      </c>
      <c r="AQ190" s="443"/>
      <c r="AR190" s="462" t="s">
        <v>1100</v>
      </c>
      <c r="AV190" s="349"/>
      <c r="AW190" s="349"/>
      <c r="AX190" s="349"/>
    </row>
    <row r="191" spans="1:50" s="352" customFormat="1" ht="15.75">
      <c r="A191" s="442" t="s">
        <v>1326</v>
      </c>
      <c r="B191" s="443" t="s">
        <v>1454</v>
      </c>
      <c r="C191" s="444">
        <v>7</v>
      </c>
      <c r="D191" s="445" t="s">
        <v>1455</v>
      </c>
      <c r="E191" s="446">
        <v>1989</v>
      </c>
      <c r="F191" s="444">
        <v>1995</v>
      </c>
      <c r="G191" s="447"/>
      <c r="H191" s="448">
        <f t="shared" si="55"/>
        <v>164.60128821554932</v>
      </c>
      <c r="I191" s="449">
        <v>162</v>
      </c>
      <c r="J191" s="450">
        <f t="shared" si="46"/>
        <v>103.34520000000001</v>
      </c>
      <c r="K191" s="450">
        <f t="shared" si="54"/>
        <v>31.5</v>
      </c>
      <c r="L191" s="450"/>
      <c r="M191" s="450">
        <v>31.5</v>
      </c>
      <c r="N191" s="450">
        <f t="shared" si="57"/>
        <v>26.574480000000001</v>
      </c>
      <c r="O191" s="450">
        <v>8.1</v>
      </c>
      <c r="P191" s="450">
        <f t="shared" si="57"/>
        <v>6.8896800000000002</v>
      </c>
      <c r="Q191" s="451">
        <v>2.1</v>
      </c>
      <c r="R191" s="452">
        <f t="shared" si="43"/>
        <v>3.8888888888888888</v>
      </c>
      <c r="S191" s="453">
        <f t="shared" si="44"/>
        <v>15</v>
      </c>
      <c r="T191" s="444">
        <v>17</v>
      </c>
      <c r="U191" s="454">
        <f t="shared" si="56"/>
        <v>2820</v>
      </c>
      <c r="V191" s="454">
        <v>2820</v>
      </c>
      <c r="W191" s="454"/>
      <c r="X191" s="455"/>
      <c r="Y191" s="456">
        <v>20</v>
      </c>
      <c r="Z191" s="457"/>
      <c r="AA191" s="458">
        <f t="shared" si="45"/>
        <v>1.409292929290979</v>
      </c>
      <c r="AB191" s="459">
        <f t="shared" si="47"/>
        <v>1.9861065605495485</v>
      </c>
      <c r="AC191" s="459">
        <f t="shared" si="48"/>
        <v>0.58512330286613246</v>
      </c>
      <c r="AD191" s="459">
        <f t="shared" si="49"/>
        <v>0.34236927955697177</v>
      </c>
      <c r="AE191" s="459">
        <f t="shared" si="50"/>
        <v>146.77229473630948</v>
      </c>
      <c r="AF191" s="460">
        <f t="shared" si="51"/>
        <v>1.1489361702127661</v>
      </c>
      <c r="AG191" s="457"/>
      <c r="AH191" s="457"/>
      <c r="AI191" s="457"/>
      <c r="AJ191" s="457"/>
      <c r="AK191" s="446"/>
      <c r="AL191" s="443"/>
      <c r="AM191" s="443"/>
      <c r="AN191" s="461"/>
      <c r="AO191" s="456">
        <f t="shared" si="52"/>
        <v>84.304525503692545</v>
      </c>
      <c r="AP191" s="460">
        <f t="shared" si="53"/>
        <v>2.7126603415728536</v>
      </c>
      <c r="AQ191" s="443"/>
      <c r="AR191" s="462" t="s">
        <v>1100</v>
      </c>
      <c r="AV191" s="349"/>
      <c r="AW191" s="349"/>
      <c r="AX191" s="349"/>
    </row>
    <row r="192" spans="1:50" s="352" customFormat="1" ht="15.75">
      <c r="A192" s="442" t="s">
        <v>1326</v>
      </c>
      <c r="B192" s="443" t="s">
        <v>1456</v>
      </c>
      <c r="C192" s="444">
        <v>10</v>
      </c>
      <c r="D192" s="445" t="s">
        <v>1457</v>
      </c>
      <c r="E192" s="446">
        <v>1991</v>
      </c>
      <c r="F192" s="444" t="s">
        <v>567</v>
      </c>
      <c r="G192" s="447"/>
      <c r="H192" s="448">
        <f t="shared" si="55"/>
        <v>164.60128821554932</v>
      </c>
      <c r="I192" s="449">
        <v>162</v>
      </c>
      <c r="J192" s="450">
        <f t="shared" si="46"/>
        <v>103.34520000000001</v>
      </c>
      <c r="K192" s="450">
        <f t="shared" si="54"/>
        <v>31.5</v>
      </c>
      <c r="L192" s="450"/>
      <c r="M192" s="450">
        <v>31.5</v>
      </c>
      <c r="N192" s="450">
        <f t="shared" si="57"/>
        <v>26.574480000000001</v>
      </c>
      <c r="O192" s="450">
        <v>8.1</v>
      </c>
      <c r="P192" s="450">
        <f t="shared" si="57"/>
        <v>6.8896800000000002</v>
      </c>
      <c r="Q192" s="451">
        <v>2.1</v>
      </c>
      <c r="R192" s="452">
        <f t="shared" si="43"/>
        <v>3.8888888888888888</v>
      </c>
      <c r="S192" s="453">
        <f t="shared" si="44"/>
        <v>15</v>
      </c>
      <c r="T192" s="444">
        <v>17</v>
      </c>
      <c r="U192" s="454">
        <f t="shared" si="56"/>
        <v>4400</v>
      </c>
      <c r="V192" s="454">
        <v>4400</v>
      </c>
      <c r="W192" s="454"/>
      <c r="X192" s="455"/>
      <c r="Y192" s="456">
        <v>20</v>
      </c>
      <c r="Z192" s="457"/>
      <c r="AA192" s="458">
        <f t="shared" si="45"/>
        <v>1.409292929290979</v>
      </c>
      <c r="AB192" s="459">
        <f t="shared" si="47"/>
        <v>1.9861065605495485</v>
      </c>
      <c r="AC192" s="459">
        <f t="shared" si="48"/>
        <v>0.58512330286613246</v>
      </c>
      <c r="AD192" s="459">
        <f t="shared" si="49"/>
        <v>0.34236927955697177</v>
      </c>
      <c r="AE192" s="459">
        <f t="shared" si="50"/>
        <v>146.77229473630948</v>
      </c>
      <c r="AF192" s="460">
        <f t="shared" si="51"/>
        <v>0.73636363636363633</v>
      </c>
      <c r="AG192" s="446"/>
      <c r="AH192" s="446"/>
      <c r="AI192" s="446"/>
      <c r="AJ192" s="446"/>
      <c r="AK192" s="446"/>
      <c r="AL192" s="443"/>
      <c r="AM192" s="443"/>
      <c r="AN192" s="461"/>
      <c r="AO192" s="456">
        <f t="shared" si="52"/>
        <v>54.031536800093861</v>
      </c>
      <c r="AP192" s="460">
        <f t="shared" si="53"/>
        <v>1.7385686734626018</v>
      </c>
      <c r="AQ192" s="443"/>
      <c r="AR192" s="462" t="s">
        <v>1100</v>
      </c>
    </row>
    <row r="193" spans="1:50" s="352" customFormat="1" ht="15.75">
      <c r="A193" s="442" t="s">
        <v>1326</v>
      </c>
      <c r="B193" s="443" t="s">
        <v>1458</v>
      </c>
      <c r="C193" s="444">
        <v>2</v>
      </c>
      <c r="D193" s="445" t="s">
        <v>1459</v>
      </c>
      <c r="E193" s="446">
        <v>1987</v>
      </c>
      <c r="F193" s="444">
        <v>1994</v>
      </c>
      <c r="G193" s="447"/>
      <c r="H193" s="448">
        <f t="shared" si="55"/>
        <v>167.64946021954097</v>
      </c>
      <c r="I193" s="449">
        <v>165</v>
      </c>
      <c r="J193" s="450">
        <f t="shared" si="46"/>
        <v>103.34520000000001</v>
      </c>
      <c r="K193" s="450">
        <f t="shared" si="54"/>
        <v>31.5</v>
      </c>
      <c r="L193" s="450"/>
      <c r="M193" s="450">
        <v>31.5</v>
      </c>
      <c r="N193" s="450">
        <f t="shared" si="57"/>
        <v>26.574480000000001</v>
      </c>
      <c r="O193" s="450">
        <v>8.1</v>
      </c>
      <c r="P193" s="450">
        <f t="shared" si="57"/>
        <v>6.8896800000000002</v>
      </c>
      <c r="Q193" s="451">
        <v>2.1</v>
      </c>
      <c r="R193" s="452">
        <f t="shared" si="43"/>
        <v>3.8888888888888888</v>
      </c>
      <c r="S193" s="453">
        <f t="shared" si="44"/>
        <v>15</v>
      </c>
      <c r="T193" s="444">
        <v>18</v>
      </c>
      <c r="U193" s="454">
        <f t="shared" si="56"/>
        <v>4400</v>
      </c>
      <c r="V193" s="454">
        <v>4400</v>
      </c>
      <c r="W193" s="454"/>
      <c r="X193" s="455"/>
      <c r="Y193" s="456">
        <v>18</v>
      </c>
      <c r="Z193" s="457"/>
      <c r="AA193" s="458">
        <f t="shared" si="45"/>
        <v>1.2644906648138352</v>
      </c>
      <c r="AB193" s="459">
        <f t="shared" si="47"/>
        <v>1.5989366414013348</v>
      </c>
      <c r="AC193" s="459">
        <f t="shared" si="48"/>
        <v>0.52661097257951917</v>
      </c>
      <c r="AD193" s="459">
        <f t="shared" si="49"/>
        <v>0.2773191164411471</v>
      </c>
      <c r="AE193" s="459">
        <f t="shared" si="50"/>
        <v>149.49030019438928</v>
      </c>
      <c r="AF193" s="460">
        <f t="shared" si="51"/>
        <v>0.67500000000000004</v>
      </c>
      <c r="AG193" s="446"/>
      <c r="AH193" s="446"/>
      <c r="AI193" s="446"/>
      <c r="AJ193" s="446"/>
      <c r="AK193" s="446"/>
      <c r="AL193" s="443"/>
      <c r="AM193" s="443"/>
      <c r="AN193" s="461"/>
      <c r="AO193" s="456">
        <f t="shared" si="52"/>
        <v>39.873785503520125</v>
      </c>
      <c r="AP193" s="460">
        <f t="shared" si="53"/>
        <v>1.2908872400459817</v>
      </c>
      <c r="AQ193" s="443"/>
      <c r="AR193" s="462" t="s">
        <v>1100</v>
      </c>
    </row>
    <row r="194" spans="1:50" s="352" customFormat="1" ht="15.75">
      <c r="A194" s="464" t="s">
        <v>1326</v>
      </c>
      <c r="B194" s="465" t="s">
        <v>1460</v>
      </c>
      <c r="C194" s="466">
        <v>49</v>
      </c>
      <c r="D194" s="467" t="s">
        <v>1377</v>
      </c>
      <c r="E194" s="468">
        <v>1986</v>
      </c>
      <c r="F194" s="466">
        <v>1992</v>
      </c>
      <c r="G194" s="469" t="s">
        <v>1461</v>
      </c>
      <c r="H194" s="470">
        <f t="shared" si="55"/>
        <v>170.69763222353262</v>
      </c>
      <c r="I194" s="471">
        <v>168</v>
      </c>
      <c r="J194" s="472">
        <f t="shared" si="46"/>
        <v>109.9068</v>
      </c>
      <c r="K194" s="472">
        <f>IF(M194="",#REF!,M194)</f>
        <v>33.5</v>
      </c>
      <c r="L194" s="472">
        <v>33.528407705437694</v>
      </c>
      <c r="M194" s="472">
        <v>33.5</v>
      </c>
      <c r="N194" s="472">
        <f t="shared" si="57"/>
        <v>20.997120000000002</v>
      </c>
      <c r="O194" s="472">
        <v>6.4</v>
      </c>
      <c r="P194" s="472">
        <f t="shared" si="57"/>
        <v>7.2177600000000011</v>
      </c>
      <c r="Q194" s="473">
        <v>2.2000000000000002</v>
      </c>
      <c r="R194" s="474">
        <f t="shared" si="43"/>
        <v>5.234375</v>
      </c>
      <c r="S194" s="475">
        <f t="shared" si="44"/>
        <v>15.227272727272725</v>
      </c>
      <c r="T194" s="466">
        <v>16</v>
      </c>
      <c r="U194" s="476">
        <f t="shared" si="56"/>
        <v>6246</v>
      </c>
      <c r="V194" s="476">
        <v>6246</v>
      </c>
      <c r="W194" s="476">
        <v>5760</v>
      </c>
      <c r="X194" s="477"/>
      <c r="Y194" s="478">
        <v>29</v>
      </c>
      <c r="Z194" s="479"/>
      <c r="AA194" s="480">
        <f t="shared" si="45"/>
        <v>2.0311261489831538</v>
      </c>
      <c r="AB194" s="481">
        <f t="shared" si="47"/>
        <v>4.1254734330831369</v>
      </c>
      <c r="AC194" s="481">
        <f t="shared" si="48"/>
        <v>0.82271283003260776</v>
      </c>
      <c r="AD194" s="481">
        <f t="shared" si="49"/>
        <v>0.67685640070026254</v>
      </c>
      <c r="AE194" s="481">
        <f t="shared" si="50"/>
        <v>126.54226152646078</v>
      </c>
      <c r="AF194" s="482">
        <f t="shared" si="51"/>
        <v>0.78001921229586935</v>
      </c>
      <c r="AG194" s="479"/>
      <c r="AH194" s="468"/>
      <c r="AI194" s="468"/>
      <c r="AJ194" s="468"/>
      <c r="AK194" s="468"/>
      <c r="AL194" s="465"/>
      <c r="AM194" s="465"/>
      <c r="AN194" s="483"/>
      <c r="AO194" s="478">
        <f t="shared" si="52"/>
        <v>118.88622441253456</v>
      </c>
      <c r="AP194" s="482">
        <f t="shared" si="53"/>
        <v>3.640881693397533</v>
      </c>
      <c r="AQ194" s="465"/>
      <c r="AR194" s="484" t="s">
        <v>1140</v>
      </c>
      <c r="AV194" s="349"/>
      <c r="AW194" s="349"/>
      <c r="AX194" s="349"/>
    </row>
    <row r="195" spans="1:50" s="352" customFormat="1" ht="15.75">
      <c r="A195" s="442" t="s">
        <v>1326</v>
      </c>
      <c r="B195" s="443" t="s">
        <v>1462</v>
      </c>
      <c r="C195" s="444">
        <v>6</v>
      </c>
      <c r="D195" s="445" t="s">
        <v>1371</v>
      </c>
      <c r="E195" s="446">
        <v>1991</v>
      </c>
      <c r="F195" s="444">
        <v>1993</v>
      </c>
      <c r="G195" s="447"/>
      <c r="H195" s="448">
        <f t="shared" si="55"/>
        <v>172.72974689286039</v>
      </c>
      <c r="I195" s="449">
        <v>170</v>
      </c>
      <c r="J195" s="450">
        <f t="shared" si="46"/>
        <v>106.95408</v>
      </c>
      <c r="K195" s="450">
        <f t="shared" si="54"/>
        <v>32.6</v>
      </c>
      <c r="L195" s="450"/>
      <c r="M195" s="450">
        <v>32.6</v>
      </c>
      <c r="N195" s="450">
        <f t="shared" si="57"/>
        <v>26.902559999999998</v>
      </c>
      <c r="O195" s="450">
        <v>8.1999999999999993</v>
      </c>
      <c r="P195" s="450">
        <f t="shared" si="57"/>
        <v>5.2492800000000006</v>
      </c>
      <c r="Q195" s="451">
        <v>1.6</v>
      </c>
      <c r="R195" s="452">
        <f t="shared" si="43"/>
        <v>3.9756097560975614</v>
      </c>
      <c r="S195" s="453">
        <f t="shared" si="44"/>
        <v>20.375</v>
      </c>
      <c r="T195" s="444">
        <v>18</v>
      </c>
      <c r="U195" s="454">
        <f t="shared" si="56"/>
        <v>6260</v>
      </c>
      <c r="V195" s="454">
        <v>6260</v>
      </c>
      <c r="W195" s="454"/>
      <c r="X195" s="455"/>
      <c r="Y195" s="456">
        <v>24</v>
      </c>
      <c r="Z195" s="457"/>
      <c r="AA195" s="458">
        <f t="shared" si="45"/>
        <v>1.6776197665672301</v>
      </c>
      <c r="AB195" s="459">
        <f t="shared" si="47"/>
        <v>2.8144080811770875</v>
      </c>
      <c r="AC195" s="459">
        <f t="shared" si="48"/>
        <v>0.69020025814296893</v>
      </c>
      <c r="AD195" s="459">
        <f t="shared" si="49"/>
        <v>0.47637639634062096</v>
      </c>
      <c r="AE195" s="459">
        <f t="shared" si="50"/>
        <v>138.94945648714696</v>
      </c>
      <c r="AF195" s="460">
        <f t="shared" si="51"/>
        <v>0.65175718849840258</v>
      </c>
      <c r="AG195" s="446"/>
      <c r="AH195" s="446"/>
      <c r="AI195" s="446"/>
      <c r="AJ195" s="446"/>
      <c r="AK195" s="446"/>
      <c r="AL195" s="443"/>
      <c r="AM195" s="443"/>
      <c r="AN195" s="461"/>
      <c r="AO195" s="456">
        <f t="shared" si="52"/>
        <v>67.768104669154013</v>
      </c>
      <c r="AP195" s="460">
        <f t="shared" si="53"/>
        <v>2.1411189339462195</v>
      </c>
      <c r="AQ195" s="443"/>
      <c r="AR195" s="462" t="s">
        <v>1100</v>
      </c>
    </row>
    <row r="196" spans="1:50" s="352" customFormat="1" ht="15.75">
      <c r="A196" s="442" t="s">
        <v>1326</v>
      </c>
      <c r="B196" s="443" t="s">
        <v>1463</v>
      </c>
      <c r="C196" s="444">
        <v>23</v>
      </c>
      <c r="D196" s="445" t="s">
        <v>1464</v>
      </c>
      <c r="E196" s="446">
        <v>1960</v>
      </c>
      <c r="F196" s="444">
        <v>1983</v>
      </c>
      <c r="G196" s="447"/>
      <c r="H196" s="448">
        <f t="shared" si="55"/>
        <v>172.72974689286039</v>
      </c>
      <c r="I196" s="449">
        <v>170</v>
      </c>
      <c r="J196" s="450">
        <f t="shared" si="46"/>
        <v>137.7936</v>
      </c>
      <c r="K196" s="450">
        <f t="shared" si="54"/>
        <v>42</v>
      </c>
      <c r="L196" s="450"/>
      <c r="M196" s="450">
        <v>42</v>
      </c>
      <c r="N196" s="450">
        <f t="shared" si="57"/>
        <v>19.684800000000003</v>
      </c>
      <c r="O196" s="450">
        <v>6</v>
      </c>
      <c r="P196" s="450">
        <f t="shared" si="57"/>
        <v>5.9054400000000005</v>
      </c>
      <c r="Q196" s="451">
        <v>1.8</v>
      </c>
      <c r="R196" s="452">
        <f t="shared" si="43"/>
        <v>6.9999999999999991</v>
      </c>
      <c r="S196" s="453">
        <f t="shared" si="44"/>
        <v>23.333333333333332</v>
      </c>
      <c r="T196" s="444">
        <v>31</v>
      </c>
      <c r="U196" s="454">
        <f t="shared" si="56"/>
        <v>6600</v>
      </c>
      <c r="V196" s="454">
        <v>6600</v>
      </c>
      <c r="W196" s="454"/>
      <c r="X196" s="455"/>
      <c r="Y196" s="456">
        <v>28</v>
      </c>
      <c r="Z196" s="457"/>
      <c r="AA196" s="458">
        <f t="shared" si="45"/>
        <v>1.957223060995102</v>
      </c>
      <c r="AB196" s="459">
        <f t="shared" si="47"/>
        <v>3.8307221104910369</v>
      </c>
      <c r="AC196" s="459">
        <f t="shared" si="48"/>
        <v>0.70942430247965749</v>
      </c>
      <c r="AD196" s="459">
        <f t="shared" si="49"/>
        <v>0.50328284094874853</v>
      </c>
      <c r="AE196" s="459">
        <f t="shared" si="50"/>
        <v>64.977317982220342</v>
      </c>
      <c r="AF196" s="460">
        <f t="shared" si="51"/>
        <v>0.72121212121212119</v>
      </c>
      <c r="AG196" s="446"/>
      <c r="AH196" s="446"/>
      <c r="AI196" s="446"/>
      <c r="AJ196" s="446"/>
      <c r="AK196" s="446"/>
      <c r="AL196" s="443"/>
      <c r="AM196" s="443"/>
      <c r="AN196" s="461"/>
      <c r="AO196" s="456">
        <f t="shared" si="52"/>
        <v>102.06952790650543</v>
      </c>
      <c r="AP196" s="460">
        <f t="shared" si="53"/>
        <v>2.5031096135704765</v>
      </c>
      <c r="AQ196" s="443"/>
      <c r="AR196" s="462" t="s">
        <v>1100</v>
      </c>
      <c r="AV196" s="349"/>
      <c r="AW196" s="349"/>
      <c r="AX196" s="349"/>
    </row>
    <row r="197" spans="1:50" s="352" customFormat="1" ht="15.75">
      <c r="A197" s="464" t="s">
        <v>1326</v>
      </c>
      <c r="B197" s="465" t="s">
        <v>1465</v>
      </c>
      <c r="C197" s="466">
        <v>1</v>
      </c>
      <c r="D197" s="467" t="s">
        <v>1466</v>
      </c>
      <c r="E197" s="468">
        <v>1969</v>
      </c>
      <c r="F197" s="466">
        <v>2000</v>
      </c>
      <c r="G197" s="469" t="s">
        <v>1190</v>
      </c>
      <c r="H197" s="470">
        <f t="shared" si="55"/>
        <v>172.72974689286039</v>
      </c>
      <c r="I197" s="471">
        <v>170</v>
      </c>
      <c r="J197" s="472">
        <f t="shared" si="46"/>
        <v>131.88816000000003</v>
      </c>
      <c r="K197" s="472">
        <f t="shared" si="54"/>
        <v>40.200000000000003</v>
      </c>
      <c r="L197" s="472">
        <v>40.234089246525237</v>
      </c>
      <c r="M197" s="472">
        <v>40.200000000000003</v>
      </c>
      <c r="N197" s="472">
        <f t="shared" si="57"/>
        <v>20.997120000000002</v>
      </c>
      <c r="O197" s="472">
        <v>6.4</v>
      </c>
      <c r="P197" s="472">
        <f t="shared" si="57"/>
        <v>5.5773600000000005</v>
      </c>
      <c r="Q197" s="473">
        <v>1.7</v>
      </c>
      <c r="R197" s="474">
        <f t="shared" si="43"/>
        <v>6.2812500000000009</v>
      </c>
      <c r="S197" s="475">
        <f t="shared" si="44"/>
        <v>23.647058823529413</v>
      </c>
      <c r="T197" s="466">
        <v>31</v>
      </c>
      <c r="U197" s="476">
        <f t="shared" si="56"/>
        <v>9600</v>
      </c>
      <c r="V197" s="476">
        <v>9600</v>
      </c>
      <c r="W197" s="476">
        <v>9600</v>
      </c>
      <c r="X197" s="477"/>
      <c r="Y197" s="478">
        <v>22</v>
      </c>
      <c r="Z197" s="479"/>
      <c r="AA197" s="480">
        <f t="shared" si="45"/>
        <v>1.5378181193532943</v>
      </c>
      <c r="AB197" s="481">
        <f t="shared" si="47"/>
        <v>2.3648845682113029</v>
      </c>
      <c r="AC197" s="481">
        <f t="shared" si="48"/>
        <v>0.5697473711420119</v>
      </c>
      <c r="AD197" s="481">
        <f t="shared" si="49"/>
        <v>0.32461206692323347</v>
      </c>
      <c r="AE197" s="481">
        <f t="shared" si="50"/>
        <v>74.102266794457961</v>
      </c>
      <c r="AF197" s="482">
        <f t="shared" si="51"/>
        <v>0.38958333333333334</v>
      </c>
      <c r="AG197" s="479"/>
      <c r="AH197" s="468"/>
      <c r="AI197" s="468"/>
      <c r="AJ197" s="468"/>
      <c r="AK197" s="468">
        <v>6</v>
      </c>
      <c r="AL197" s="465"/>
      <c r="AM197" s="465"/>
      <c r="AN197" s="483"/>
      <c r="AO197" s="478">
        <f t="shared" si="52"/>
        <v>34.037899919805618</v>
      </c>
      <c r="AP197" s="482">
        <f t="shared" si="53"/>
        <v>0.87210696800481036</v>
      </c>
      <c r="AQ197" s="465"/>
      <c r="AR197" s="484" t="s">
        <v>1140</v>
      </c>
      <c r="AV197" s="349"/>
      <c r="AW197" s="349"/>
      <c r="AX197" s="349"/>
    </row>
    <row r="198" spans="1:50" s="352" customFormat="1" ht="15.75">
      <c r="A198" s="485" t="s">
        <v>1326</v>
      </c>
      <c r="B198" s="505" t="s">
        <v>1467</v>
      </c>
      <c r="C198" s="487"/>
      <c r="D198" s="488" t="s">
        <v>768</v>
      </c>
      <c r="E198" s="489"/>
      <c r="F198" s="487"/>
      <c r="G198" s="490" t="s">
        <v>1461</v>
      </c>
      <c r="H198" s="491">
        <f t="shared" si="55"/>
        <v>182.89032023949923</v>
      </c>
      <c r="I198" s="492">
        <v>180</v>
      </c>
      <c r="J198" s="493">
        <f t="shared" si="46"/>
        <v>123.00000000000001</v>
      </c>
      <c r="K198" s="493">
        <f t="shared" si="54"/>
        <v>37.490855888807609</v>
      </c>
      <c r="L198" s="493">
        <v>37.490855888807609</v>
      </c>
      <c r="M198" s="493"/>
      <c r="N198" s="493">
        <f>O198*3.2808</f>
        <v>20.997120000000002</v>
      </c>
      <c r="O198" s="493">
        <v>6.4</v>
      </c>
      <c r="P198" s="493">
        <f t="shared" si="57"/>
        <v>7.5</v>
      </c>
      <c r="Q198" s="494">
        <f>7.5/3.2808</f>
        <v>2.2860277980980248</v>
      </c>
      <c r="R198" s="495">
        <f t="shared" ref="R198:R261" si="58">J198/N198</f>
        <v>5.8579462326261886</v>
      </c>
      <c r="S198" s="496">
        <f t="shared" ref="S198:S261" si="59">J198/P198</f>
        <v>16.400000000000002</v>
      </c>
      <c r="T198" s="487"/>
      <c r="U198" s="497">
        <f t="shared" si="56"/>
        <v>5760</v>
      </c>
      <c r="V198" s="497"/>
      <c r="W198" s="497">
        <v>5760</v>
      </c>
      <c r="X198" s="498"/>
      <c r="Y198" s="499">
        <v>28</v>
      </c>
      <c r="Z198" s="500"/>
      <c r="AA198" s="501">
        <f t="shared" si="45"/>
        <v>1.9386662966524508</v>
      </c>
      <c r="AB198" s="502">
        <f t="shared" si="47"/>
        <v>3.7584270097761285</v>
      </c>
      <c r="AC198" s="502">
        <f t="shared" si="48"/>
        <v>0.75087566481043722</v>
      </c>
      <c r="AD198" s="502">
        <f t="shared" si="49"/>
        <v>0.56381426400451606</v>
      </c>
      <c r="AE198" s="502">
        <f t="shared" si="50"/>
        <v>96.729105304140447</v>
      </c>
      <c r="AF198" s="503">
        <f t="shared" si="51"/>
        <v>0.875</v>
      </c>
      <c r="AG198" s="489"/>
      <c r="AH198" s="489"/>
      <c r="AI198" s="489"/>
      <c r="AJ198" s="489"/>
      <c r="AK198" s="489"/>
      <c r="AL198" s="505"/>
      <c r="AM198" s="505"/>
      <c r="AN198" s="506"/>
      <c r="AO198" s="499">
        <f t="shared" si="52"/>
        <v>121.49729640987854</v>
      </c>
      <c r="AP198" s="503">
        <f t="shared" si="53"/>
        <v>3.4021138211382111</v>
      </c>
      <c r="AQ198" s="505"/>
      <c r="AR198" s="507" t="s">
        <v>1149</v>
      </c>
      <c r="AV198" s="349"/>
      <c r="AW198" s="349"/>
      <c r="AX198" s="349"/>
    </row>
    <row r="199" spans="1:50" s="352" customFormat="1" ht="15.75">
      <c r="A199" s="442" t="s">
        <v>1326</v>
      </c>
      <c r="B199" s="443" t="s">
        <v>1468</v>
      </c>
      <c r="C199" s="444">
        <v>14</v>
      </c>
      <c r="D199" s="445" t="s">
        <v>1161</v>
      </c>
      <c r="E199" s="446">
        <v>1977</v>
      </c>
      <c r="F199" s="444" t="s">
        <v>567</v>
      </c>
      <c r="G199" s="447"/>
      <c r="H199" s="448">
        <f t="shared" si="55"/>
        <v>182.89032023949923</v>
      </c>
      <c r="I199" s="449">
        <v>180</v>
      </c>
      <c r="J199" s="450">
        <f t="shared" si="46"/>
        <v>131.88816000000003</v>
      </c>
      <c r="K199" s="450">
        <f t="shared" si="54"/>
        <v>40.200000000000003</v>
      </c>
      <c r="L199" s="450"/>
      <c r="M199" s="450">
        <v>40.200000000000003</v>
      </c>
      <c r="N199" s="450">
        <f t="shared" si="57"/>
        <v>20.997120000000002</v>
      </c>
      <c r="O199" s="450">
        <v>6.4</v>
      </c>
      <c r="P199" s="450">
        <f t="shared" si="57"/>
        <v>5.5773600000000005</v>
      </c>
      <c r="Q199" s="451">
        <v>1.7</v>
      </c>
      <c r="R199" s="452">
        <f t="shared" si="58"/>
        <v>6.2812500000000009</v>
      </c>
      <c r="S199" s="453">
        <f t="shared" si="59"/>
        <v>23.647058823529413</v>
      </c>
      <c r="T199" s="444">
        <v>25</v>
      </c>
      <c r="U199" s="454">
        <f t="shared" si="56"/>
        <v>4800</v>
      </c>
      <c r="V199" s="454">
        <v>4800</v>
      </c>
      <c r="W199" s="454"/>
      <c r="X199" s="455"/>
      <c r="Y199" s="456">
        <v>22</v>
      </c>
      <c r="Z199" s="457"/>
      <c r="AA199" s="458">
        <f t="shared" si="45"/>
        <v>1.52323780451264</v>
      </c>
      <c r="AB199" s="459">
        <f t="shared" si="47"/>
        <v>2.3202534090964879</v>
      </c>
      <c r="AC199" s="459">
        <f t="shared" si="48"/>
        <v>0.5697473711420119</v>
      </c>
      <c r="AD199" s="459">
        <f t="shared" si="49"/>
        <v>0.32461206692323347</v>
      </c>
      <c r="AE199" s="459">
        <f t="shared" si="50"/>
        <v>78.461223664720194</v>
      </c>
      <c r="AF199" s="460">
        <f t="shared" si="51"/>
        <v>0.82499999999999996</v>
      </c>
      <c r="AG199" s="446"/>
      <c r="AH199" s="446"/>
      <c r="AI199" s="446"/>
      <c r="AJ199" s="446"/>
      <c r="AK199" s="446"/>
      <c r="AL199" s="443"/>
      <c r="AM199" s="443"/>
      <c r="AN199" s="461"/>
      <c r="AO199" s="456">
        <f t="shared" si="52"/>
        <v>70.719927779102775</v>
      </c>
      <c r="AP199" s="460">
        <f t="shared" si="53"/>
        <v>1.8468147557748922</v>
      </c>
      <c r="AQ199" s="443"/>
      <c r="AR199" s="462" t="s">
        <v>1100</v>
      </c>
      <c r="AV199" s="349"/>
      <c r="AW199" s="349"/>
      <c r="AX199" s="349"/>
    </row>
    <row r="200" spans="1:50" s="352" customFormat="1" ht="15.75">
      <c r="A200" s="442" t="s">
        <v>1326</v>
      </c>
      <c r="B200" s="443" t="s">
        <v>1469</v>
      </c>
      <c r="C200" s="444">
        <v>1</v>
      </c>
      <c r="D200" s="445" t="s">
        <v>1423</v>
      </c>
      <c r="E200" s="446">
        <v>1994</v>
      </c>
      <c r="F200" s="444" t="s">
        <v>567</v>
      </c>
      <c r="G200" s="447"/>
      <c r="H200" s="448">
        <f t="shared" si="55"/>
        <v>182.89032023949923</v>
      </c>
      <c r="I200" s="449">
        <v>180</v>
      </c>
      <c r="J200" s="450">
        <f t="shared" si="46"/>
        <v>127.9512</v>
      </c>
      <c r="K200" s="450">
        <f t="shared" si="54"/>
        <v>39</v>
      </c>
      <c r="L200" s="450"/>
      <c r="M200" s="450">
        <v>39</v>
      </c>
      <c r="N200" s="450">
        <f t="shared" si="57"/>
        <v>21.981360000000002</v>
      </c>
      <c r="O200" s="450">
        <v>6.7</v>
      </c>
      <c r="P200" s="450">
        <f t="shared" si="57"/>
        <v>5.5773600000000005</v>
      </c>
      <c r="Q200" s="451">
        <v>1.7</v>
      </c>
      <c r="R200" s="452">
        <f t="shared" si="58"/>
        <v>5.8208955223880592</v>
      </c>
      <c r="S200" s="453">
        <f t="shared" si="59"/>
        <v>22.941176470588232</v>
      </c>
      <c r="T200" s="444">
        <v>25</v>
      </c>
      <c r="U200" s="454">
        <f t="shared" si="56"/>
        <v>5984</v>
      </c>
      <c r="V200" s="454">
        <v>5984</v>
      </c>
      <c r="W200" s="454"/>
      <c r="X200" s="455"/>
      <c r="Y200" s="456">
        <v>23</v>
      </c>
      <c r="Z200" s="457"/>
      <c r="AA200" s="458">
        <f t="shared" si="45"/>
        <v>1.5924758865359419</v>
      </c>
      <c r="AB200" s="459">
        <f t="shared" si="47"/>
        <v>2.5359794491984338</v>
      </c>
      <c r="AC200" s="459">
        <f t="shared" si="48"/>
        <v>0.60473932135119823</v>
      </c>
      <c r="AD200" s="459">
        <f t="shared" si="49"/>
        <v>0.36570964678830781</v>
      </c>
      <c r="AE200" s="459">
        <f t="shared" si="50"/>
        <v>85.928932227846175</v>
      </c>
      <c r="AF200" s="460">
        <f t="shared" si="51"/>
        <v>0.6918449197860963</v>
      </c>
      <c r="AG200" s="446"/>
      <c r="AH200" s="446"/>
      <c r="AI200" s="446"/>
      <c r="AJ200" s="446"/>
      <c r="AK200" s="446"/>
      <c r="AL200" s="443"/>
      <c r="AM200" s="443"/>
      <c r="AN200" s="461"/>
      <c r="AO200" s="456">
        <f t="shared" si="52"/>
        <v>64.819686553700691</v>
      </c>
      <c r="AP200" s="460">
        <f t="shared" si="53"/>
        <v>1.7448170643634087</v>
      </c>
      <c r="AQ200" s="443"/>
      <c r="AR200" s="462" t="s">
        <v>1100</v>
      </c>
      <c r="AV200" s="349"/>
      <c r="AW200" s="349"/>
      <c r="AX200" s="349"/>
    </row>
    <row r="201" spans="1:50" s="352" customFormat="1" ht="15.75">
      <c r="A201" s="442" t="s">
        <v>1326</v>
      </c>
      <c r="B201" s="443" t="s">
        <v>1470</v>
      </c>
      <c r="C201" s="444">
        <v>2</v>
      </c>
      <c r="D201" s="445" t="s">
        <v>1210</v>
      </c>
      <c r="E201" s="446">
        <v>1998</v>
      </c>
      <c r="F201" s="444" t="s">
        <v>567</v>
      </c>
      <c r="G201" s="447"/>
      <c r="H201" s="448">
        <f t="shared" si="55"/>
        <v>182.89032023949923</v>
      </c>
      <c r="I201" s="449">
        <v>180</v>
      </c>
      <c r="J201" s="450">
        <f t="shared" si="46"/>
        <v>108.2664</v>
      </c>
      <c r="K201" s="450">
        <f t="shared" si="54"/>
        <v>33</v>
      </c>
      <c r="L201" s="450"/>
      <c r="M201" s="450">
        <v>33</v>
      </c>
      <c r="N201" s="450">
        <f t="shared" si="57"/>
        <v>21.981360000000002</v>
      </c>
      <c r="O201" s="450">
        <v>6.7</v>
      </c>
      <c r="P201" s="450">
        <f t="shared" si="57"/>
        <v>6.8896800000000002</v>
      </c>
      <c r="Q201" s="451">
        <v>2.1</v>
      </c>
      <c r="R201" s="452">
        <f t="shared" si="58"/>
        <v>4.9253731343283578</v>
      </c>
      <c r="S201" s="453">
        <f t="shared" si="59"/>
        <v>15.714285714285714</v>
      </c>
      <c r="T201" s="444">
        <v>14</v>
      </c>
      <c r="U201" s="454">
        <f t="shared" si="56"/>
        <v>5911</v>
      </c>
      <c r="V201" s="454">
        <v>5911</v>
      </c>
      <c r="W201" s="454"/>
      <c r="X201" s="455"/>
      <c r="Y201" s="456">
        <v>33</v>
      </c>
      <c r="Z201" s="457"/>
      <c r="AA201" s="458">
        <f t="shared" si="45"/>
        <v>2.2848567067689602</v>
      </c>
      <c r="AB201" s="459">
        <f t="shared" si="47"/>
        <v>5.2205701704670986</v>
      </c>
      <c r="AC201" s="459">
        <f t="shared" si="48"/>
        <v>0.94325615039006261</v>
      </c>
      <c r="AD201" s="459">
        <f t="shared" si="49"/>
        <v>0.88973216524868037</v>
      </c>
      <c r="AE201" s="459">
        <f t="shared" si="50"/>
        <v>141.83761390276337</v>
      </c>
      <c r="AF201" s="460">
        <f t="shared" si="51"/>
        <v>1.0049061072576553</v>
      </c>
      <c r="AG201" s="446"/>
      <c r="AH201" s="446"/>
      <c r="AI201" s="446"/>
      <c r="AJ201" s="446"/>
      <c r="AK201" s="446"/>
      <c r="AL201" s="443"/>
      <c r="AM201" s="443"/>
      <c r="AN201" s="461"/>
      <c r="AO201" s="456">
        <f t="shared" si="52"/>
        <v>193.81878362738368</v>
      </c>
      <c r="AP201" s="460">
        <f t="shared" si="53"/>
        <v>6.1658010055768706</v>
      </c>
      <c r="AQ201" s="443"/>
      <c r="AR201" s="462" t="s">
        <v>1100</v>
      </c>
    </row>
    <row r="202" spans="1:50" s="352" customFormat="1" ht="15.75">
      <c r="A202" s="442" t="s">
        <v>1326</v>
      </c>
      <c r="B202" s="443" t="s">
        <v>1471</v>
      </c>
      <c r="C202" s="444">
        <v>10</v>
      </c>
      <c r="D202" s="445" t="s">
        <v>1161</v>
      </c>
      <c r="E202" s="446">
        <v>1979</v>
      </c>
      <c r="F202" s="444">
        <v>1981</v>
      </c>
      <c r="G202" s="447"/>
      <c r="H202" s="448">
        <f t="shared" si="55"/>
        <v>182.89032023949923</v>
      </c>
      <c r="I202" s="449">
        <v>180</v>
      </c>
      <c r="J202" s="450">
        <f t="shared" si="46"/>
        <v>113.51568</v>
      </c>
      <c r="K202" s="450">
        <f t="shared" si="54"/>
        <v>34.6</v>
      </c>
      <c r="L202" s="450"/>
      <c r="M202" s="450">
        <v>34.6</v>
      </c>
      <c r="N202" s="450">
        <f t="shared" si="57"/>
        <v>28.214880000000001</v>
      </c>
      <c r="O202" s="450">
        <v>8.6</v>
      </c>
      <c r="P202" s="450">
        <f t="shared" si="57"/>
        <v>9.8424000000000014</v>
      </c>
      <c r="Q202" s="451">
        <v>3</v>
      </c>
      <c r="R202" s="452">
        <f t="shared" si="58"/>
        <v>4.0232558139534884</v>
      </c>
      <c r="S202" s="453">
        <f t="shared" si="59"/>
        <v>11.533333333333331</v>
      </c>
      <c r="T202" s="444">
        <v>24</v>
      </c>
      <c r="U202" s="454">
        <f t="shared" si="56"/>
        <v>7200</v>
      </c>
      <c r="V202" s="454">
        <v>7200</v>
      </c>
      <c r="W202" s="454"/>
      <c r="X202" s="455"/>
      <c r="Y202" s="456">
        <v>33</v>
      </c>
      <c r="Z202" s="457"/>
      <c r="AA202" s="458">
        <f t="shared" si="45"/>
        <v>2.2848567067689602</v>
      </c>
      <c r="AB202" s="459">
        <f t="shared" si="47"/>
        <v>5.2205701704670986</v>
      </c>
      <c r="AC202" s="459">
        <f t="shared" si="48"/>
        <v>0.92118862417343439</v>
      </c>
      <c r="AD202" s="459">
        <f t="shared" si="49"/>
        <v>0.84858848130654496</v>
      </c>
      <c r="AE202" s="459">
        <f t="shared" si="50"/>
        <v>123.05660802878002</v>
      </c>
      <c r="AF202" s="460">
        <f t="shared" si="51"/>
        <v>0.82499999999999996</v>
      </c>
      <c r="AG202" s="446"/>
      <c r="AH202" s="446"/>
      <c r="AI202" s="446"/>
      <c r="AJ202" s="446"/>
      <c r="AK202" s="446"/>
      <c r="AL202" s="443"/>
      <c r="AM202" s="443"/>
      <c r="AN202" s="461"/>
      <c r="AO202" s="456">
        <f t="shared" si="52"/>
        <v>159.11983750298126</v>
      </c>
      <c r="AP202" s="460">
        <f t="shared" si="53"/>
        <v>4.8278726780300305</v>
      </c>
      <c r="AQ202" s="443"/>
      <c r="AR202" s="462" t="s">
        <v>1100</v>
      </c>
      <c r="AV202" s="349"/>
      <c r="AW202" s="349"/>
      <c r="AX202" s="349"/>
    </row>
    <row r="203" spans="1:50" s="352" customFormat="1" ht="15.75">
      <c r="A203" s="485" t="s">
        <v>1326</v>
      </c>
      <c r="B203" s="505" t="s">
        <v>1472</v>
      </c>
      <c r="C203" s="487"/>
      <c r="D203" s="488" t="s">
        <v>1357</v>
      </c>
      <c r="E203" s="489">
        <v>1985</v>
      </c>
      <c r="F203" s="487"/>
      <c r="G203" s="490" t="s">
        <v>1473</v>
      </c>
      <c r="H203" s="491">
        <f>I203*2240/2204.6</f>
        <v>183.90637757416312</v>
      </c>
      <c r="I203" s="492">
        <v>181</v>
      </c>
      <c r="J203" s="493">
        <f t="shared" ref="J203:J266" si="60">K203*3.2808</f>
        <v>144.30000000000001</v>
      </c>
      <c r="K203" s="493">
        <f t="shared" si="54"/>
        <v>43.983174835405997</v>
      </c>
      <c r="L203" s="493">
        <v>43.983174835405997</v>
      </c>
      <c r="M203" s="493"/>
      <c r="N203" s="493">
        <f t="shared" si="57"/>
        <v>24.3</v>
      </c>
      <c r="O203" s="493">
        <v>7.4067300658376007</v>
      </c>
      <c r="P203" s="493">
        <f t="shared" si="57"/>
        <v>7.5</v>
      </c>
      <c r="Q203" s="494">
        <v>2.2860277980980248</v>
      </c>
      <c r="R203" s="495">
        <f t="shared" si="58"/>
        <v>5.9382716049382722</v>
      </c>
      <c r="S203" s="496">
        <f t="shared" si="59"/>
        <v>19.240000000000002</v>
      </c>
      <c r="T203" s="487"/>
      <c r="U203" s="497">
        <f t="shared" si="56"/>
        <v>4025</v>
      </c>
      <c r="V203" s="497"/>
      <c r="W203" s="497">
        <v>4025</v>
      </c>
      <c r="X203" s="498"/>
      <c r="Y203" s="499">
        <v>25</v>
      </c>
      <c r="Z203" s="500" t="s">
        <v>1474</v>
      </c>
      <c r="AA203" s="501">
        <f t="shared" si="45"/>
        <v>1.7293544904966767</v>
      </c>
      <c r="AB203" s="502">
        <f t="shared" ref="AB203:AB266" si="61">AA203^2</f>
        <v>2.99066695380102</v>
      </c>
      <c r="AC203" s="502">
        <f t="shared" ref="AC203:AC266" si="62">Y203*1.687/SQRT(32.174*J203)</f>
        <v>0.61896971019623426</v>
      </c>
      <c r="AD203" s="502">
        <f t="shared" ref="AD203:AD266" si="63">AC203^2</f>
        <v>0.38312350214041024</v>
      </c>
      <c r="AE203" s="502">
        <f t="shared" ref="AE203:AE267" si="64">I203/(0.01*J203)^3</f>
        <v>60.239253534579881</v>
      </c>
      <c r="AF203" s="503">
        <f t="shared" si="51"/>
        <v>1.1242236024844721</v>
      </c>
      <c r="AG203" s="504">
        <v>2375</v>
      </c>
      <c r="AH203" s="504">
        <v>14</v>
      </c>
      <c r="AI203" s="504"/>
      <c r="AJ203" s="504"/>
      <c r="AK203" s="489">
        <v>2</v>
      </c>
      <c r="AL203" s="505"/>
      <c r="AM203" s="505"/>
      <c r="AN203" s="506"/>
      <c r="AO203" s="499">
        <f t="shared" si="52"/>
        <v>124.21475617969845</v>
      </c>
      <c r="AP203" s="503">
        <f t="shared" si="53"/>
        <v>2.9702719920111225</v>
      </c>
      <c r="AQ203" s="505"/>
      <c r="AR203" s="507" t="s">
        <v>1149</v>
      </c>
      <c r="AV203" s="349"/>
      <c r="AW203" s="349"/>
      <c r="AX203" s="349"/>
    </row>
    <row r="204" spans="1:50" s="352" customFormat="1" ht="15.75">
      <c r="A204" s="442" t="s">
        <v>1326</v>
      </c>
      <c r="B204" s="443" t="s">
        <v>1475</v>
      </c>
      <c r="C204" s="444">
        <v>2</v>
      </c>
      <c r="D204" s="445" t="s">
        <v>1204</v>
      </c>
      <c r="E204" s="446">
        <v>1991</v>
      </c>
      <c r="F204" s="444"/>
      <c r="G204" s="447"/>
      <c r="H204" s="448">
        <f>I204*2240/2204.6</f>
        <v>193.05089358613807</v>
      </c>
      <c r="I204" s="449">
        <v>190</v>
      </c>
      <c r="J204" s="450">
        <f t="shared" si="60"/>
        <v>111.87528</v>
      </c>
      <c r="K204" s="450">
        <f t="shared" si="54"/>
        <v>34.1</v>
      </c>
      <c r="L204" s="450"/>
      <c r="M204" s="450">
        <v>34.1</v>
      </c>
      <c r="N204" s="450">
        <f t="shared" si="57"/>
        <v>22.637520000000002</v>
      </c>
      <c r="O204" s="450">
        <v>6.9</v>
      </c>
      <c r="P204" s="450">
        <f t="shared" si="57"/>
        <v>6.8896800000000002</v>
      </c>
      <c r="Q204" s="451">
        <v>2.1</v>
      </c>
      <c r="R204" s="452">
        <f t="shared" si="58"/>
        <v>4.9420289855072461</v>
      </c>
      <c r="S204" s="453">
        <f t="shared" si="59"/>
        <v>16.238095238095237</v>
      </c>
      <c r="T204" s="444">
        <v>19</v>
      </c>
      <c r="U204" s="454">
        <f t="shared" si="56"/>
        <v>3012</v>
      </c>
      <c r="V204" s="454">
        <v>3012</v>
      </c>
      <c r="W204" s="454"/>
      <c r="X204" s="455"/>
      <c r="Y204" s="456">
        <v>27</v>
      </c>
      <c r="Z204" s="457"/>
      <c r="AA204" s="458">
        <f t="shared" si="45"/>
        <v>1.8526580894601548</v>
      </c>
      <c r="AB204" s="459">
        <f t="shared" si="61"/>
        <v>3.4323419964421507</v>
      </c>
      <c r="AC204" s="459">
        <f t="shared" si="62"/>
        <v>0.75920533345789798</v>
      </c>
      <c r="AD204" s="459">
        <f t="shared" si="63"/>
        <v>0.57639273835091809</v>
      </c>
      <c r="AE204" s="459">
        <f t="shared" si="64"/>
        <v>135.69104750524511</v>
      </c>
      <c r="AF204" s="460">
        <f t="shared" ref="AF204:AF265" si="65">IF(U204="","",Y204*I204/U204)</f>
        <v>1.703187250996016</v>
      </c>
      <c r="AG204" s="457"/>
      <c r="AH204" s="457"/>
      <c r="AI204" s="457"/>
      <c r="AJ204" s="457"/>
      <c r="AK204" s="446"/>
      <c r="AL204" s="443"/>
      <c r="AM204" s="443"/>
      <c r="AN204" s="461"/>
      <c r="AO204" s="456">
        <f t="shared" ref="AO204:AO265" si="66">IF(U204="","",I204^(2/3)*Y204^3/U204)</f>
        <v>215.97594963449694</v>
      </c>
      <c r="AP204" s="460">
        <f t="shared" ref="AP204:AP265" si="67">IF(U204="","",0.61*I204*Y204^3/(J204*U204))</f>
        <v>6.7699525636531881</v>
      </c>
      <c r="AQ204" s="443"/>
      <c r="AR204" s="462" t="s">
        <v>1100</v>
      </c>
      <c r="AV204" s="349"/>
      <c r="AW204" s="349"/>
      <c r="AX204" s="349"/>
    </row>
    <row r="205" spans="1:50" s="352" customFormat="1" ht="15.75">
      <c r="A205" s="442" t="s">
        <v>1326</v>
      </c>
      <c r="B205" s="443" t="s">
        <v>1476</v>
      </c>
      <c r="C205" s="444">
        <v>4</v>
      </c>
      <c r="D205" s="445" t="s">
        <v>1238</v>
      </c>
      <c r="E205" s="446">
        <v>1985</v>
      </c>
      <c r="F205" s="444" t="s">
        <v>567</v>
      </c>
      <c r="G205" s="447"/>
      <c r="H205" s="448">
        <f>I205*2240/2204.6</f>
        <v>193.05089358613807</v>
      </c>
      <c r="I205" s="449">
        <v>190</v>
      </c>
      <c r="J205" s="450">
        <f t="shared" si="60"/>
        <v>123.03</v>
      </c>
      <c r="K205" s="450">
        <f t="shared" si="54"/>
        <v>37.5</v>
      </c>
      <c r="L205" s="450"/>
      <c r="M205" s="450">
        <v>37.5</v>
      </c>
      <c r="N205" s="450">
        <f t="shared" si="57"/>
        <v>23.621760000000002</v>
      </c>
      <c r="O205" s="450">
        <v>7.2</v>
      </c>
      <c r="P205" s="450">
        <f t="shared" si="57"/>
        <v>6.5616000000000003</v>
      </c>
      <c r="Q205" s="451">
        <v>2</v>
      </c>
      <c r="R205" s="452">
        <f t="shared" si="58"/>
        <v>5.208333333333333</v>
      </c>
      <c r="S205" s="453">
        <f t="shared" si="59"/>
        <v>18.75</v>
      </c>
      <c r="T205" s="444">
        <v>18</v>
      </c>
      <c r="U205" s="454">
        <f t="shared" si="56"/>
        <v>4610</v>
      </c>
      <c r="V205" s="454">
        <v>4610</v>
      </c>
      <c r="W205" s="454"/>
      <c r="X205" s="455"/>
      <c r="Y205" s="456">
        <v>25</v>
      </c>
      <c r="Z205" s="457"/>
      <c r="AA205" s="458">
        <f t="shared" si="45"/>
        <v>1.7154241569075506</v>
      </c>
      <c r="AB205" s="459">
        <f t="shared" si="61"/>
        <v>2.9426800381019809</v>
      </c>
      <c r="AC205" s="459">
        <f t="shared" si="62"/>
        <v>0.67034295656665599</v>
      </c>
      <c r="AD205" s="459">
        <f t="shared" si="63"/>
        <v>0.44935967941852561</v>
      </c>
      <c r="AE205" s="459">
        <f t="shared" si="64"/>
        <v>102.0282714449631</v>
      </c>
      <c r="AF205" s="460">
        <f t="shared" si="65"/>
        <v>1.0303687635574836</v>
      </c>
      <c r="AG205" s="446"/>
      <c r="AH205" s="446"/>
      <c r="AI205" s="446"/>
      <c r="AJ205" s="446"/>
      <c r="AK205" s="446"/>
      <c r="AL205" s="443"/>
      <c r="AM205" s="443"/>
      <c r="AN205" s="461"/>
      <c r="AO205" s="456">
        <f t="shared" si="66"/>
        <v>112.01809118865374</v>
      </c>
      <c r="AP205" s="460">
        <f t="shared" si="67"/>
        <v>3.192945550729827</v>
      </c>
      <c r="AQ205" s="443"/>
      <c r="AR205" s="462" t="s">
        <v>1100</v>
      </c>
      <c r="AV205" s="349"/>
      <c r="AW205" s="349"/>
      <c r="AX205" s="349"/>
    </row>
    <row r="206" spans="1:50" s="352" customFormat="1" ht="15.75">
      <c r="A206" s="442" t="s">
        <v>1326</v>
      </c>
      <c r="B206" s="443" t="s">
        <v>1477</v>
      </c>
      <c r="C206" s="444">
        <v>3</v>
      </c>
      <c r="D206" s="445" t="s">
        <v>1478</v>
      </c>
      <c r="E206" s="446">
        <v>1981</v>
      </c>
      <c r="F206" s="444" t="s">
        <v>567</v>
      </c>
      <c r="G206" s="447"/>
      <c r="H206" s="448">
        <f>I206*2240/2204.6</f>
        <v>193.05089358613807</v>
      </c>
      <c r="I206" s="449">
        <v>190</v>
      </c>
      <c r="J206" s="450">
        <f t="shared" si="60"/>
        <v>137.13744</v>
      </c>
      <c r="K206" s="450">
        <f t="shared" si="54"/>
        <v>41.8</v>
      </c>
      <c r="L206" s="450"/>
      <c r="M206" s="450">
        <v>41.8</v>
      </c>
      <c r="N206" s="450">
        <f t="shared" si="57"/>
        <v>22.309440000000002</v>
      </c>
      <c r="O206" s="450">
        <v>6.8</v>
      </c>
      <c r="P206" s="450">
        <f t="shared" si="57"/>
        <v>7.87392</v>
      </c>
      <c r="Q206" s="451">
        <v>2.4</v>
      </c>
      <c r="R206" s="452">
        <f t="shared" si="58"/>
        <v>6.1470588235294112</v>
      </c>
      <c r="S206" s="453">
        <f t="shared" si="59"/>
        <v>17.416666666666668</v>
      </c>
      <c r="T206" s="444">
        <v>28</v>
      </c>
      <c r="U206" s="454">
        <f t="shared" si="56"/>
        <v>4600</v>
      </c>
      <c r="V206" s="454">
        <v>4600</v>
      </c>
      <c r="W206" s="454"/>
      <c r="X206" s="455"/>
      <c r="Y206" s="456">
        <v>28</v>
      </c>
      <c r="Z206" s="457"/>
      <c r="AA206" s="458">
        <f t="shared" si="45"/>
        <v>1.9212750557364568</v>
      </c>
      <c r="AB206" s="459">
        <f t="shared" si="61"/>
        <v>3.6912978397951255</v>
      </c>
      <c r="AC206" s="459">
        <f t="shared" si="62"/>
        <v>0.71111946452007413</v>
      </c>
      <c r="AD206" s="459">
        <f t="shared" si="63"/>
        <v>0.50569089281931701</v>
      </c>
      <c r="AE206" s="459">
        <f t="shared" si="64"/>
        <v>73.669120794371551</v>
      </c>
      <c r="AF206" s="460">
        <f t="shared" si="65"/>
        <v>1.1565217391304348</v>
      </c>
      <c r="AG206" s="446"/>
      <c r="AH206" s="446"/>
      <c r="AI206" s="446"/>
      <c r="AJ206" s="446"/>
      <c r="AK206" s="446"/>
      <c r="AL206" s="443"/>
      <c r="AM206" s="443"/>
      <c r="AN206" s="461"/>
      <c r="AO206" s="456">
        <f t="shared" si="66"/>
        <v>157.71947749753096</v>
      </c>
      <c r="AP206" s="460">
        <f t="shared" si="67"/>
        <v>4.0331433671340156</v>
      </c>
      <c r="AQ206" s="443"/>
      <c r="AR206" s="462" t="s">
        <v>1100</v>
      </c>
      <c r="AV206" s="349"/>
      <c r="AW206" s="349"/>
      <c r="AX206" s="349"/>
    </row>
    <row r="207" spans="1:50" s="352" customFormat="1" ht="15.75">
      <c r="A207" s="442" t="s">
        <v>1326</v>
      </c>
      <c r="B207" s="443" t="s">
        <v>1479</v>
      </c>
      <c r="C207" s="444">
        <v>2</v>
      </c>
      <c r="D207" s="445" t="s">
        <v>1419</v>
      </c>
      <c r="E207" s="446">
        <v>1956</v>
      </c>
      <c r="F207" s="444"/>
      <c r="G207" s="447"/>
      <c r="H207" s="448">
        <f>I207*2240/2204.6</f>
        <v>198.13118025945749</v>
      </c>
      <c r="I207" s="449">
        <v>195</v>
      </c>
      <c r="J207" s="450">
        <f t="shared" si="60"/>
        <v>141.40248000000003</v>
      </c>
      <c r="K207" s="450">
        <f t="shared" si="54"/>
        <v>43.1</v>
      </c>
      <c r="L207" s="450"/>
      <c r="M207" s="450">
        <v>43.1</v>
      </c>
      <c r="N207" s="450">
        <f t="shared" si="57"/>
        <v>20.669039999999999</v>
      </c>
      <c r="O207" s="450">
        <v>6.3</v>
      </c>
      <c r="P207" s="450">
        <f t="shared" si="57"/>
        <v>5.9054400000000005</v>
      </c>
      <c r="Q207" s="451">
        <v>1.8</v>
      </c>
      <c r="R207" s="452">
        <f t="shared" si="58"/>
        <v>6.8412698412698427</v>
      </c>
      <c r="S207" s="453">
        <f t="shared" si="59"/>
        <v>23.944444444444446</v>
      </c>
      <c r="T207" s="444">
        <v>44</v>
      </c>
      <c r="U207" s="454">
        <f t="shared" si="56"/>
        <v>3300</v>
      </c>
      <c r="V207" s="454">
        <v>3300</v>
      </c>
      <c r="W207" s="454"/>
      <c r="X207" s="455"/>
      <c r="Y207" s="456">
        <v>24</v>
      </c>
      <c r="Z207" s="457"/>
      <c r="AA207" s="458">
        <f t="shared" si="45"/>
        <v>1.6396931646346868</v>
      </c>
      <c r="AB207" s="459">
        <f t="shared" si="61"/>
        <v>2.6885936741497143</v>
      </c>
      <c r="AC207" s="459">
        <f t="shared" si="62"/>
        <v>0.60026812494591486</v>
      </c>
      <c r="AD207" s="459">
        <f t="shared" si="63"/>
        <v>0.36032182182608447</v>
      </c>
      <c r="AE207" s="459">
        <f t="shared" si="64"/>
        <v>68.970525033956164</v>
      </c>
      <c r="AF207" s="460">
        <f t="shared" si="65"/>
        <v>1.4181818181818182</v>
      </c>
      <c r="AG207" s="457"/>
      <c r="AH207" s="457"/>
      <c r="AI207" s="457"/>
      <c r="AJ207" s="457"/>
      <c r="AK207" s="446"/>
      <c r="AL207" s="443"/>
      <c r="AM207" s="443"/>
      <c r="AN207" s="461"/>
      <c r="AO207" s="456">
        <f t="shared" si="66"/>
        <v>140.86708449443015</v>
      </c>
      <c r="AP207" s="460">
        <f t="shared" si="67"/>
        <v>3.5239294504337093</v>
      </c>
      <c r="AQ207" s="443"/>
      <c r="AR207" s="462" t="s">
        <v>1100</v>
      </c>
      <c r="AV207" s="349"/>
      <c r="AW207" s="349"/>
      <c r="AX207" s="349"/>
    </row>
    <row r="208" spans="1:50" s="352" customFormat="1" ht="15.75">
      <c r="A208" s="442" t="s">
        <v>1326</v>
      </c>
      <c r="B208" s="443" t="s">
        <v>1468</v>
      </c>
      <c r="C208" s="444">
        <v>10</v>
      </c>
      <c r="D208" s="445" t="s">
        <v>1161</v>
      </c>
      <c r="E208" s="446">
        <v>1996</v>
      </c>
      <c r="F208" s="444">
        <v>2001</v>
      </c>
      <c r="G208" s="447"/>
      <c r="H208" s="448">
        <f t="shared" ref="H208:H217" si="68">I208*2240/2204.6</f>
        <v>198.13118025945749</v>
      </c>
      <c r="I208" s="449">
        <v>195</v>
      </c>
      <c r="J208" s="450">
        <f t="shared" si="60"/>
        <v>133.52856000000003</v>
      </c>
      <c r="K208" s="450">
        <f t="shared" si="54"/>
        <v>40.700000000000003</v>
      </c>
      <c r="L208" s="450"/>
      <c r="M208" s="450">
        <v>40.700000000000003</v>
      </c>
      <c r="N208" s="450">
        <f t="shared" si="57"/>
        <v>23.293679999999998</v>
      </c>
      <c r="O208" s="450">
        <v>7.1</v>
      </c>
      <c r="P208" s="450">
        <f t="shared" si="57"/>
        <v>7.2177600000000011</v>
      </c>
      <c r="Q208" s="451">
        <v>2.2000000000000002</v>
      </c>
      <c r="R208" s="452">
        <f t="shared" si="58"/>
        <v>5.7323943661971848</v>
      </c>
      <c r="S208" s="453">
        <f t="shared" si="59"/>
        <v>18.5</v>
      </c>
      <c r="T208" s="444">
        <v>25</v>
      </c>
      <c r="U208" s="454">
        <f t="shared" si="56"/>
        <v>5700</v>
      </c>
      <c r="V208" s="454">
        <v>5700</v>
      </c>
      <c r="W208" s="454"/>
      <c r="X208" s="455"/>
      <c r="Y208" s="456">
        <v>27</v>
      </c>
      <c r="Z208" s="457"/>
      <c r="AA208" s="458">
        <f t="shared" si="45"/>
        <v>1.8446548102140228</v>
      </c>
      <c r="AB208" s="459">
        <f t="shared" si="61"/>
        <v>3.4027513688457325</v>
      </c>
      <c r="AC208" s="459">
        <f t="shared" si="62"/>
        <v>0.69492707937262288</v>
      </c>
      <c r="AD208" s="459">
        <f t="shared" si="63"/>
        <v>0.48292364564536372</v>
      </c>
      <c r="AE208" s="459">
        <f t="shared" si="64"/>
        <v>81.905320645486441</v>
      </c>
      <c r="AF208" s="460">
        <f t="shared" si="65"/>
        <v>0.92368421052631577</v>
      </c>
      <c r="AG208" s="446"/>
      <c r="AH208" s="446"/>
      <c r="AI208" s="446"/>
      <c r="AJ208" s="446"/>
      <c r="AK208" s="446"/>
      <c r="AL208" s="443"/>
      <c r="AM208" s="443"/>
      <c r="AN208" s="461"/>
      <c r="AO208" s="456">
        <f t="shared" si="66"/>
        <v>116.11977287837533</v>
      </c>
      <c r="AP208" s="460">
        <f t="shared" si="67"/>
        <v>3.0761443962171637</v>
      </c>
      <c r="AQ208" s="443"/>
      <c r="AR208" s="462" t="s">
        <v>1100</v>
      </c>
      <c r="AV208" s="349"/>
      <c r="AW208" s="349"/>
      <c r="AX208" s="349"/>
    </row>
    <row r="209" spans="1:50" s="352" customFormat="1" ht="15.75">
      <c r="A209" s="485" t="s">
        <v>1326</v>
      </c>
      <c r="B209" s="505" t="s">
        <v>1480</v>
      </c>
      <c r="C209" s="487"/>
      <c r="D209" s="488" t="s">
        <v>1369</v>
      </c>
      <c r="E209" s="489">
        <v>2004</v>
      </c>
      <c r="F209" s="487"/>
      <c r="G209" s="490" t="s">
        <v>1481</v>
      </c>
      <c r="H209" s="491">
        <f t="shared" si="55"/>
        <v>198.13118025945749</v>
      </c>
      <c r="I209" s="492">
        <v>195</v>
      </c>
      <c r="J209" s="493">
        <f t="shared" si="60"/>
        <v>141.1</v>
      </c>
      <c r="K209" s="493">
        <f t="shared" si="54"/>
        <v>43.007802974884171</v>
      </c>
      <c r="L209" s="493">
        <v>43.007802974884171</v>
      </c>
      <c r="M209" s="493"/>
      <c r="N209" s="493">
        <f t="shared" si="57"/>
        <v>24.6</v>
      </c>
      <c r="O209" s="493">
        <v>7.4981711777615221</v>
      </c>
      <c r="P209" s="493">
        <f t="shared" si="57"/>
        <v>5.6</v>
      </c>
      <c r="Q209" s="494">
        <v>1.7069007559131917</v>
      </c>
      <c r="R209" s="495">
        <f t="shared" si="58"/>
        <v>5.7357723577235769</v>
      </c>
      <c r="S209" s="496">
        <f t="shared" si="59"/>
        <v>25.196428571428573</v>
      </c>
      <c r="T209" s="487"/>
      <c r="U209" s="497">
        <f t="shared" si="56"/>
        <v>7170</v>
      </c>
      <c r="V209" s="497"/>
      <c r="W209" s="497">
        <v>7170</v>
      </c>
      <c r="X209" s="498"/>
      <c r="Y209" s="499">
        <v>35</v>
      </c>
      <c r="Z209" s="500"/>
      <c r="AA209" s="501">
        <f t="shared" si="45"/>
        <v>2.3912191984255853</v>
      </c>
      <c r="AB209" s="502">
        <f t="shared" si="61"/>
        <v>5.717929254919099</v>
      </c>
      <c r="AC209" s="502">
        <f t="shared" si="62"/>
        <v>0.87632881327038459</v>
      </c>
      <c r="AD209" s="502">
        <f t="shared" si="63"/>
        <v>0.76795218896788053</v>
      </c>
      <c r="AE209" s="502">
        <f t="shared" si="64"/>
        <v>69.415038696440305</v>
      </c>
      <c r="AF209" s="503">
        <f t="shared" si="65"/>
        <v>0.95188284518828448</v>
      </c>
      <c r="AG209" s="504"/>
      <c r="AH209" s="504"/>
      <c r="AI209" s="504"/>
      <c r="AJ209" s="504"/>
      <c r="AK209" s="489">
        <v>2</v>
      </c>
      <c r="AL209" s="505"/>
      <c r="AM209" s="505"/>
      <c r="AN209" s="506"/>
      <c r="AO209" s="499">
        <f t="shared" si="66"/>
        <v>201.08270476391073</v>
      </c>
      <c r="AP209" s="503">
        <f t="shared" si="67"/>
        <v>5.0410663080577294</v>
      </c>
      <c r="AQ209" s="505"/>
      <c r="AR209" s="507" t="s">
        <v>1149</v>
      </c>
      <c r="AV209" s="349"/>
      <c r="AW209" s="349"/>
      <c r="AX209" s="349"/>
    </row>
    <row r="210" spans="1:50" s="352" customFormat="1" ht="15.75">
      <c r="A210" s="485" t="s">
        <v>1326</v>
      </c>
      <c r="B210" s="505" t="s">
        <v>1482</v>
      </c>
      <c r="C210" s="487"/>
      <c r="D210" s="488" t="s">
        <v>1357</v>
      </c>
      <c r="E210" s="489">
        <v>1990</v>
      </c>
      <c r="F210" s="487"/>
      <c r="G210" s="490" t="s">
        <v>1473</v>
      </c>
      <c r="H210" s="491">
        <f t="shared" si="68"/>
        <v>198.13118025945749</v>
      </c>
      <c r="I210" s="492">
        <v>195</v>
      </c>
      <c r="J210" s="493">
        <f t="shared" si="60"/>
        <v>147.30000000000001</v>
      </c>
      <c r="K210" s="493">
        <f t="shared" si="54"/>
        <v>44.897585954645209</v>
      </c>
      <c r="L210" s="493">
        <v>44.897585954645209</v>
      </c>
      <c r="M210" s="493"/>
      <c r="N210" s="493">
        <f t="shared" si="57"/>
        <v>23</v>
      </c>
      <c r="O210" s="493">
        <v>7.0104852475006094</v>
      </c>
      <c r="P210" s="493">
        <f t="shared" si="57"/>
        <v>6.23</v>
      </c>
      <c r="Q210" s="494">
        <v>1.8989270909534259</v>
      </c>
      <c r="R210" s="495">
        <f t="shared" si="58"/>
        <v>6.4043478260869566</v>
      </c>
      <c r="S210" s="496">
        <f t="shared" si="59"/>
        <v>23.64365971107544</v>
      </c>
      <c r="T210" s="487"/>
      <c r="U210" s="497">
        <f t="shared" si="56"/>
        <v>4025</v>
      </c>
      <c r="V210" s="497"/>
      <c r="W210" s="497">
        <v>4025</v>
      </c>
      <c r="X210" s="498"/>
      <c r="Y210" s="499">
        <v>26</v>
      </c>
      <c r="Z210" s="500" t="s">
        <v>1483</v>
      </c>
      <c r="AA210" s="501">
        <f t="shared" si="45"/>
        <v>1.7763342616875775</v>
      </c>
      <c r="AB210" s="502">
        <f t="shared" si="61"/>
        <v>3.155363409245151</v>
      </c>
      <c r="AC210" s="502">
        <f t="shared" si="62"/>
        <v>0.63713949710896745</v>
      </c>
      <c r="AD210" s="502">
        <f t="shared" si="63"/>
        <v>0.40594673877626791</v>
      </c>
      <c r="AE210" s="502">
        <f t="shared" si="64"/>
        <v>61.013560705980545</v>
      </c>
      <c r="AF210" s="503">
        <f t="shared" si="65"/>
        <v>1.2596273291925466</v>
      </c>
      <c r="AG210" s="504">
        <v>2400</v>
      </c>
      <c r="AH210" s="504">
        <v>12</v>
      </c>
      <c r="AI210" s="504"/>
      <c r="AJ210" s="504"/>
      <c r="AK210" s="489">
        <v>2</v>
      </c>
      <c r="AL210" s="505"/>
      <c r="AM210" s="505"/>
      <c r="AN210" s="506"/>
      <c r="AO210" s="499">
        <f t="shared" si="66"/>
        <v>146.83983915531803</v>
      </c>
      <c r="AP210" s="503">
        <f t="shared" si="67"/>
        <v>3.526272406421171</v>
      </c>
      <c r="AQ210" s="505"/>
      <c r="AR210" s="507" t="s">
        <v>1149</v>
      </c>
      <c r="AV210" s="349"/>
      <c r="AW210" s="349"/>
      <c r="AX210" s="349"/>
    </row>
    <row r="211" spans="1:50" s="352" customFormat="1" ht="15.75">
      <c r="A211" s="442" t="s">
        <v>1326</v>
      </c>
      <c r="B211" s="443" t="s">
        <v>1484</v>
      </c>
      <c r="C211" s="444">
        <v>3</v>
      </c>
      <c r="D211" s="445" t="s">
        <v>1346</v>
      </c>
      <c r="E211" s="446">
        <v>1999</v>
      </c>
      <c r="F211" s="444" t="s">
        <v>567</v>
      </c>
      <c r="G211" s="447"/>
      <c r="H211" s="448">
        <f t="shared" si="68"/>
        <v>203.21146693277694</v>
      </c>
      <c r="I211" s="449">
        <v>200</v>
      </c>
      <c r="J211" s="450">
        <f t="shared" si="60"/>
        <v>127.62312</v>
      </c>
      <c r="K211" s="450">
        <f t="shared" si="54"/>
        <v>38.9</v>
      </c>
      <c r="L211" s="450"/>
      <c r="M211" s="450">
        <v>38.9</v>
      </c>
      <c r="N211" s="450">
        <f t="shared" si="57"/>
        <v>26.246400000000001</v>
      </c>
      <c r="O211" s="450">
        <v>8</v>
      </c>
      <c r="P211" s="450">
        <f t="shared" si="57"/>
        <v>5.5773600000000005</v>
      </c>
      <c r="Q211" s="451">
        <v>1.7</v>
      </c>
      <c r="R211" s="452">
        <f t="shared" si="58"/>
        <v>4.8624999999999998</v>
      </c>
      <c r="S211" s="453">
        <f t="shared" si="59"/>
        <v>22.882352941176467</v>
      </c>
      <c r="T211" s="444">
        <v>21</v>
      </c>
      <c r="U211" s="454">
        <f t="shared" si="56"/>
        <v>7700</v>
      </c>
      <c r="V211" s="454">
        <v>7700</v>
      </c>
      <c r="W211" s="454"/>
      <c r="X211" s="455"/>
      <c r="Y211" s="456">
        <v>32</v>
      </c>
      <c r="Z211" s="457"/>
      <c r="AA211" s="458">
        <f t="shared" si="45"/>
        <v>2.1770517808483403</v>
      </c>
      <c r="AB211" s="459">
        <f t="shared" si="61"/>
        <v>4.7395544564949299</v>
      </c>
      <c r="AC211" s="459">
        <f t="shared" si="62"/>
        <v>0.84245721369197768</v>
      </c>
      <c r="AD211" s="459">
        <f t="shared" si="63"/>
        <v>0.70973415690165054</v>
      </c>
      <c r="AE211" s="459">
        <f t="shared" si="64"/>
        <v>96.214809175002443</v>
      </c>
      <c r="AF211" s="460">
        <f t="shared" si="65"/>
        <v>0.83116883116883122</v>
      </c>
      <c r="AG211" s="446"/>
      <c r="AH211" s="446"/>
      <c r="AI211" s="446"/>
      <c r="AJ211" s="446"/>
      <c r="AK211" s="446"/>
      <c r="AL211" s="443"/>
      <c r="AM211" s="443"/>
      <c r="AN211" s="461"/>
      <c r="AO211" s="456">
        <f t="shared" si="66"/>
        <v>145.53893979403114</v>
      </c>
      <c r="AP211" s="460">
        <f t="shared" si="67"/>
        <v>4.0680818546145767</v>
      </c>
      <c r="AQ211" s="443"/>
      <c r="AR211" s="462" t="s">
        <v>1100</v>
      </c>
      <c r="AV211" s="349"/>
      <c r="AW211" s="349"/>
      <c r="AX211" s="349"/>
    </row>
    <row r="212" spans="1:50" s="352" customFormat="1" ht="15.75">
      <c r="A212" s="421" t="s">
        <v>1326</v>
      </c>
      <c r="B212" s="422" t="s">
        <v>1485</v>
      </c>
      <c r="C212" s="423">
        <v>11</v>
      </c>
      <c r="D212" s="424" t="s">
        <v>1486</v>
      </c>
      <c r="E212" s="425">
        <v>1982</v>
      </c>
      <c r="F212" s="423">
        <v>1998</v>
      </c>
      <c r="G212" s="426"/>
      <c r="H212" s="427">
        <f t="shared" si="68"/>
        <v>203.21146693277694</v>
      </c>
      <c r="I212" s="428">
        <v>200</v>
      </c>
      <c r="J212" s="429">
        <f t="shared" si="60"/>
        <v>123.03</v>
      </c>
      <c r="K212" s="429">
        <f t="shared" si="54"/>
        <v>37.5</v>
      </c>
      <c r="L212" s="429"/>
      <c r="M212" s="429">
        <v>37.5</v>
      </c>
      <c r="N212" s="429">
        <f t="shared" si="57"/>
        <v>22.637520000000002</v>
      </c>
      <c r="O212" s="429">
        <v>6.9</v>
      </c>
      <c r="P212" s="429">
        <f t="shared" si="57"/>
        <v>5.5773600000000005</v>
      </c>
      <c r="Q212" s="430">
        <v>1.7</v>
      </c>
      <c r="R212" s="431">
        <f t="shared" si="58"/>
        <v>5.4347826086956514</v>
      </c>
      <c r="S212" s="432">
        <f t="shared" si="59"/>
        <v>22.058823529411764</v>
      </c>
      <c r="T212" s="423">
        <v>27</v>
      </c>
      <c r="U212" s="433">
        <f t="shared" si="56"/>
        <v>5110</v>
      </c>
      <c r="V212" s="433">
        <v>5110</v>
      </c>
      <c r="W212" s="433">
        <f>X212/0.7457</f>
        <v>5095.8830628939249</v>
      </c>
      <c r="X212" s="434">
        <v>3800</v>
      </c>
      <c r="Y212" s="435">
        <v>27</v>
      </c>
      <c r="Z212" s="436"/>
      <c r="AA212" s="437">
        <f t="shared" si="45"/>
        <v>1.8368874400907873</v>
      </c>
      <c r="AB212" s="438">
        <f t="shared" si="61"/>
        <v>3.3741554675632859</v>
      </c>
      <c r="AC212" s="438">
        <f t="shared" si="62"/>
        <v>0.72397039309198841</v>
      </c>
      <c r="AD212" s="438">
        <f t="shared" si="63"/>
        <v>0.52413313007376816</v>
      </c>
      <c r="AE212" s="438">
        <f t="shared" si="64"/>
        <v>107.39818046838221</v>
      </c>
      <c r="AF212" s="439">
        <f t="shared" si="65"/>
        <v>1.0567514677103718</v>
      </c>
      <c r="AG212" s="436">
        <v>3300</v>
      </c>
      <c r="AH212" s="425"/>
      <c r="AI212" s="425"/>
      <c r="AJ212" s="425"/>
      <c r="AK212" s="425">
        <v>2</v>
      </c>
      <c r="AL212" s="422" t="s">
        <v>1080</v>
      </c>
      <c r="AM212" s="422">
        <v>4</v>
      </c>
      <c r="AN212" s="440"/>
      <c r="AO212" s="435">
        <f t="shared" si="66"/>
        <v>131.7317282130623</v>
      </c>
      <c r="AP212" s="439">
        <f t="shared" si="67"/>
        <v>3.8196115595881102</v>
      </c>
      <c r="AQ212" s="422" t="s">
        <v>1487</v>
      </c>
      <c r="AR212" s="441" t="s">
        <v>1090</v>
      </c>
      <c r="AV212" s="349"/>
      <c r="AW212" s="349"/>
      <c r="AX212" s="349"/>
    </row>
    <row r="213" spans="1:50" s="352" customFormat="1" ht="15.75">
      <c r="A213" s="442" t="s">
        <v>1326</v>
      </c>
      <c r="B213" s="443" t="s">
        <v>1488</v>
      </c>
      <c r="C213" s="444">
        <v>2</v>
      </c>
      <c r="D213" s="445" t="s">
        <v>1357</v>
      </c>
      <c r="E213" s="446">
        <v>1984</v>
      </c>
      <c r="F213" s="444">
        <v>1986</v>
      </c>
      <c r="G213" s="447"/>
      <c r="H213" s="448">
        <f t="shared" si="68"/>
        <v>206.2596389367686</v>
      </c>
      <c r="I213" s="449">
        <v>203</v>
      </c>
      <c r="J213" s="450">
        <f t="shared" si="60"/>
        <v>123.03</v>
      </c>
      <c r="K213" s="450">
        <f t="shared" si="54"/>
        <v>37.5</v>
      </c>
      <c r="L213" s="450"/>
      <c r="M213" s="450">
        <v>37.5</v>
      </c>
      <c r="N213" s="450">
        <f t="shared" si="57"/>
        <v>24.606000000000002</v>
      </c>
      <c r="O213" s="450">
        <v>7.5</v>
      </c>
      <c r="P213" s="450">
        <f t="shared" si="57"/>
        <v>5.9054400000000005</v>
      </c>
      <c r="Q213" s="451">
        <v>1.8</v>
      </c>
      <c r="R213" s="452">
        <f t="shared" si="58"/>
        <v>5</v>
      </c>
      <c r="S213" s="453">
        <f t="shared" si="59"/>
        <v>20.833333333333332</v>
      </c>
      <c r="T213" s="444">
        <v>28</v>
      </c>
      <c r="U213" s="454">
        <f t="shared" si="56"/>
        <v>4025</v>
      </c>
      <c r="V213" s="454">
        <v>4025</v>
      </c>
      <c r="W213" s="454"/>
      <c r="X213" s="455"/>
      <c r="Y213" s="456">
        <v>29</v>
      </c>
      <c r="Z213" s="457"/>
      <c r="AA213" s="458">
        <f t="shared" si="45"/>
        <v>1.9680634897383829</v>
      </c>
      <c r="AB213" s="459">
        <f t="shared" si="61"/>
        <v>3.8732738996412217</v>
      </c>
      <c r="AC213" s="459">
        <f t="shared" si="62"/>
        <v>0.77759782961732082</v>
      </c>
      <c r="AD213" s="459">
        <f t="shared" si="63"/>
        <v>0.60465838462556787</v>
      </c>
      <c r="AE213" s="459">
        <f t="shared" si="64"/>
        <v>109.00915317540795</v>
      </c>
      <c r="AF213" s="460">
        <f t="shared" si="65"/>
        <v>1.462608695652174</v>
      </c>
      <c r="AG213" s="446"/>
      <c r="AH213" s="446"/>
      <c r="AI213" s="446"/>
      <c r="AJ213" s="446"/>
      <c r="AK213" s="446"/>
      <c r="AL213" s="443"/>
      <c r="AM213" s="443"/>
      <c r="AN213" s="461"/>
      <c r="AO213" s="456">
        <f t="shared" si="66"/>
        <v>209.29497477067591</v>
      </c>
      <c r="AP213" s="460">
        <f t="shared" si="67"/>
        <v>6.098779866345784</v>
      </c>
      <c r="AQ213" s="443"/>
      <c r="AR213" s="462" t="s">
        <v>1100</v>
      </c>
      <c r="AV213" s="349"/>
      <c r="AW213" s="349"/>
      <c r="AX213" s="349"/>
    </row>
    <row r="214" spans="1:50" s="352" customFormat="1" ht="15.75">
      <c r="A214" s="464" t="s">
        <v>1326</v>
      </c>
      <c r="B214" s="465" t="s">
        <v>1489</v>
      </c>
      <c r="C214" s="466">
        <v>4</v>
      </c>
      <c r="D214" s="467" t="s">
        <v>1490</v>
      </c>
      <c r="E214" s="468">
        <v>1989</v>
      </c>
      <c r="F214" s="466" t="s">
        <v>567</v>
      </c>
      <c r="G214" s="469" t="s">
        <v>1491</v>
      </c>
      <c r="H214" s="470">
        <f t="shared" si="68"/>
        <v>213.37204027941578</v>
      </c>
      <c r="I214" s="471">
        <v>210</v>
      </c>
      <c r="J214" s="472">
        <f t="shared" si="60"/>
        <v>126.63888000000001</v>
      </c>
      <c r="K214" s="472">
        <f>IF(M214="",#REF!,M214)</f>
        <v>38.6</v>
      </c>
      <c r="L214" s="472">
        <v>38.588149231894654</v>
      </c>
      <c r="M214" s="472">
        <v>38.6</v>
      </c>
      <c r="N214" s="472">
        <f t="shared" si="57"/>
        <v>26.246400000000001</v>
      </c>
      <c r="O214" s="472">
        <v>8</v>
      </c>
      <c r="P214" s="472">
        <f t="shared" si="57"/>
        <v>6.2335200000000004</v>
      </c>
      <c r="Q214" s="473">
        <v>1.9</v>
      </c>
      <c r="R214" s="474">
        <f t="shared" si="58"/>
        <v>4.8250000000000002</v>
      </c>
      <c r="S214" s="475">
        <f t="shared" si="59"/>
        <v>20.315789473684212</v>
      </c>
      <c r="T214" s="466">
        <v>20</v>
      </c>
      <c r="U214" s="476">
        <f t="shared" si="56"/>
        <v>11265</v>
      </c>
      <c r="V214" s="476">
        <v>11265</v>
      </c>
      <c r="W214" s="476"/>
      <c r="X214" s="477"/>
      <c r="Y214" s="478">
        <v>38</v>
      </c>
      <c r="Z214" s="479"/>
      <c r="AA214" s="480">
        <f t="shared" si="45"/>
        <v>2.5643117788539844</v>
      </c>
      <c r="AB214" s="481">
        <f t="shared" si="61"/>
        <v>6.5756948991692861</v>
      </c>
      <c r="AC214" s="481">
        <f t="shared" si="62"/>
        <v>1.0042980512639492</v>
      </c>
      <c r="AD214" s="481">
        <f t="shared" si="63"/>
        <v>1.008614575772566</v>
      </c>
      <c r="AE214" s="481">
        <f t="shared" si="64"/>
        <v>103.39942219289344</v>
      </c>
      <c r="AF214" s="482">
        <f t="shared" si="65"/>
        <v>0.70838881491344874</v>
      </c>
      <c r="AG214" s="479">
        <v>1700</v>
      </c>
      <c r="AH214" s="468">
        <v>15</v>
      </c>
      <c r="AI214" s="468"/>
      <c r="AJ214" s="468"/>
      <c r="AK214" s="468">
        <v>3</v>
      </c>
      <c r="AL214" s="465"/>
      <c r="AM214" s="465"/>
      <c r="AN214" s="483"/>
      <c r="AO214" s="478">
        <f t="shared" si="66"/>
        <v>172.09402425943725</v>
      </c>
      <c r="AP214" s="482">
        <f t="shared" si="67"/>
        <v>4.9272166946546117</v>
      </c>
      <c r="AQ214" s="465"/>
      <c r="AR214" s="484" t="s">
        <v>1140</v>
      </c>
      <c r="AV214" s="349"/>
      <c r="AW214" s="349"/>
      <c r="AX214" s="349"/>
    </row>
    <row r="215" spans="1:50" s="352" customFormat="1" ht="15.75">
      <c r="A215" s="442" t="s">
        <v>1326</v>
      </c>
      <c r="B215" s="443" t="s">
        <v>1492</v>
      </c>
      <c r="C215" s="444">
        <v>2</v>
      </c>
      <c r="D215" s="445" t="s">
        <v>1359</v>
      </c>
      <c r="E215" s="446">
        <v>1980</v>
      </c>
      <c r="F215" s="444" t="s">
        <v>567</v>
      </c>
      <c r="G215" s="447"/>
      <c r="H215" s="448">
        <f t="shared" si="68"/>
        <v>213.37204027941578</v>
      </c>
      <c r="I215" s="449">
        <v>210</v>
      </c>
      <c r="J215" s="450">
        <f t="shared" si="60"/>
        <v>133.20048</v>
      </c>
      <c r="K215" s="450">
        <f>IF(M215="",L215,M215)</f>
        <v>40.6</v>
      </c>
      <c r="L215" s="450"/>
      <c r="M215" s="450">
        <v>40.6</v>
      </c>
      <c r="N215" s="450">
        <f t="shared" si="57"/>
        <v>21.981360000000002</v>
      </c>
      <c r="O215" s="450">
        <v>6.7</v>
      </c>
      <c r="P215" s="450">
        <f t="shared" si="57"/>
        <v>5.2492800000000006</v>
      </c>
      <c r="Q215" s="451">
        <v>1.6</v>
      </c>
      <c r="R215" s="452">
        <f t="shared" si="58"/>
        <v>6.0597014925373127</v>
      </c>
      <c r="S215" s="453">
        <f t="shared" si="59"/>
        <v>25.374999999999996</v>
      </c>
      <c r="T215" s="444">
        <v>25</v>
      </c>
      <c r="U215" s="454">
        <f t="shared" si="56"/>
        <v>6700</v>
      </c>
      <c r="V215" s="454">
        <v>6700</v>
      </c>
      <c r="W215" s="454"/>
      <c r="X215" s="455"/>
      <c r="Y215" s="456">
        <v>30</v>
      </c>
      <c r="Z215" s="457"/>
      <c r="AA215" s="458">
        <f t="shared" si="45"/>
        <v>2.0244566675163038</v>
      </c>
      <c r="AB215" s="459">
        <f t="shared" si="61"/>
        <v>4.0984247986512186</v>
      </c>
      <c r="AC215" s="459">
        <f t="shared" si="62"/>
        <v>0.77309152729249198</v>
      </c>
      <c r="AD215" s="459">
        <f t="shared" si="63"/>
        <v>0.59767050957143786</v>
      </c>
      <c r="AE215" s="459">
        <f t="shared" si="64"/>
        <v>88.859103057354531</v>
      </c>
      <c r="AF215" s="460">
        <f t="shared" si="65"/>
        <v>0.94029850746268662</v>
      </c>
      <c r="AG215" s="446"/>
      <c r="AH215" s="446"/>
      <c r="AI215" s="446"/>
      <c r="AJ215" s="446"/>
      <c r="AK215" s="446"/>
      <c r="AL215" s="443"/>
      <c r="AM215" s="443"/>
      <c r="AN215" s="461"/>
      <c r="AO215" s="456">
        <f t="shared" si="66"/>
        <v>142.37546580217392</v>
      </c>
      <c r="AP215" s="460">
        <f t="shared" si="67"/>
        <v>3.8755406932243406</v>
      </c>
      <c r="AQ215" s="443"/>
      <c r="AR215" s="462" t="s">
        <v>1100</v>
      </c>
      <c r="AV215" s="349"/>
      <c r="AW215" s="349"/>
      <c r="AX215" s="349"/>
    </row>
    <row r="216" spans="1:50" s="352" customFormat="1" ht="15.75">
      <c r="A216" s="442" t="s">
        <v>1326</v>
      </c>
      <c r="B216" s="443" t="s">
        <v>1493</v>
      </c>
      <c r="C216" s="444">
        <v>4</v>
      </c>
      <c r="D216" s="445" t="s">
        <v>1161</v>
      </c>
      <c r="E216" s="446">
        <v>1985</v>
      </c>
      <c r="F216" s="444">
        <v>1987</v>
      </c>
      <c r="G216" s="447"/>
      <c r="H216" s="448">
        <f t="shared" si="68"/>
        <v>213.37204027941578</v>
      </c>
      <c r="I216" s="449">
        <v>210</v>
      </c>
      <c r="J216" s="450">
        <f t="shared" si="60"/>
        <v>120.07728000000002</v>
      </c>
      <c r="K216" s="450">
        <f>IF(M216="",L216,M216)</f>
        <v>36.6</v>
      </c>
      <c r="L216" s="450"/>
      <c r="M216" s="450">
        <v>36.6</v>
      </c>
      <c r="N216" s="450">
        <f t="shared" si="57"/>
        <v>28.214880000000001</v>
      </c>
      <c r="O216" s="450">
        <v>8.6</v>
      </c>
      <c r="P216" s="450">
        <f t="shared" si="57"/>
        <v>6.2335200000000004</v>
      </c>
      <c r="Q216" s="451">
        <v>1.9</v>
      </c>
      <c r="R216" s="452">
        <f t="shared" si="58"/>
        <v>4.2558139534883725</v>
      </c>
      <c r="S216" s="453">
        <f t="shared" si="59"/>
        <v>19.263157894736842</v>
      </c>
      <c r="T216" s="444">
        <v>24</v>
      </c>
      <c r="U216" s="454">
        <f t="shared" si="56"/>
        <v>7200</v>
      </c>
      <c r="V216" s="454">
        <v>7200</v>
      </c>
      <c r="W216" s="454"/>
      <c r="X216" s="455"/>
      <c r="Y216" s="456">
        <v>33</v>
      </c>
      <c r="Z216" s="457"/>
      <c r="AA216" s="458">
        <f t="shared" si="45"/>
        <v>2.2269023342679342</v>
      </c>
      <c r="AB216" s="459">
        <f t="shared" si="61"/>
        <v>4.959094006367974</v>
      </c>
      <c r="AC216" s="459">
        <f t="shared" si="62"/>
        <v>0.89566596789422126</v>
      </c>
      <c r="AD216" s="459">
        <f t="shared" si="63"/>
        <v>0.80221752604389218</v>
      </c>
      <c r="AE216" s="459">
        <f t="shared" si="64"/>
        <v>121.29328819850247</v>
      </c>
      <c r="AF216" s="460">
        <f t="shared" si="65"/>
        <v>0.96250000000000002</v>
      </c>
      <c r="AG216" s="446"/>
      <c r="AH216" s="446"/>
      <c r="AI216" s="446"/>
      <c r="AJ216" s="446"/>
      <c r="AK216" s="446"/>
      <c r="AL216" s="443"/>
      <c r="AM216" s="443"/>
      <c r="AN216" s="461"/>
      <c r="AO216" s="456">
        <f t="shared" si="66"/>
        <v>176.34190158111755</v>
      </c>
      <c r="AP216" s="460">
        <f t="shared" si="67"/>
        <v>5.324730248719824</v>
      </c>
      <c r="AQ216" s="443"/>
      <c r="AR216" s="462" t="s">
        <v>1100</v>
      </c>
      <c r="AV216" s="349"/>
      <c r="AW216" s="349"/>
      <c r="AX216" s="349"/>
    </row>
    <row r="217" spans="1:50" s="352" customFormat="1" ht="15.75">
      <c r="A217" s="442" t="s">
        <v>1326</v>
      </c>
      <c r="B217" s="443" t="s">
        <v>1494</v>
      </c>
      <c r="C217" s="444">
        <v>10</v>
      </c>
      <c r="D217" s="445" t="s">
        <v>1357</v>
      </c>
      <c r="E217" s="446">
        <v>2000</v>
      </c>
      <c r="F217" s="444">
        <v>2001</v>
      </c>
      <c r="G217" s="447"/>
      <c r="H217" s="448">
        <f t="shared" si="68"/>
        <v>213.37204027941578</v>
      </c>
      <c r="I217" s="449">
        <v>210</v>
      </c>
      <c r="J217" s="450">
        <f t="shared" si="60"/>
        <v>124.01424</v>
      </c>
      <c r="K217" s="450">
        <f>IF(M217="",L217,M217)</f>
        <v>37.799999999999997</v>
      </c>
      <c r="L217" s="450"/>
      <c r="M217" s="450">
        <v>37.799999999999997</v>
      </c>
      <c r="N217" s="450">
        <f t="shared" si="57"/>
        <v>24.606000000000002</v>
      </c>
      <c r="O217" s="450">
        <v>7.5</v>
      </c>
      <c r="P217" s="450">
        <f t="shared" si="57"/>
        <v>6.2335200000000004</v>
      </c>
      <c r="Q217" s="451">
        <v>1.9</v>
      </c>
      <c r="R217" s="452">
        <f t="shared" si="58"/>
        <v>5.04</v>
      </c>
      <c r="S217" s="453">
        <f t="shared" si="59"/>
        <v>19.894736842105264</v>
      </c>
      <c r="T217" s="444">
        <v>32</v>
      </c>
      <c r="U217" s="454">
        <f t="shared" si="56"/>
        <v>6820</v>
      </c>
      <c r="V217" s="454">
        <v>6820</v>
      </c>
      <c r="W217" s="454"/>
      <c r="X217" s="455"/>
      <c r="Y217" s="456">
        <v>30</v>
      </c>
      <c r="Z217" s="457"/>
      <c r="AA217" s="458">
        <f t="shared" si="45"/>
        <v>2.0244566675163038</v>
      </c>
      <c r="AB217" s="459">
        <f t="shared" si="61"/>
        <v>4.0984247986512186</v>
      </c>
      <c r="AC217" s="459">
        <f t="shared" si="62"/>
        <v>0.80121307975426992</v>
      </c>
      <c r="AD217" s="459">
        <f t="shared" si="63"/>
        <v>0.64194239916932205</v>
      </c>
      <c r="AE217" s="459">
        <f t="shared" si="64"/>
        <v>110.10438776943653</v>
      </c>
      <c r="AF217" s="460">
        <f t="shared" si="65"/>
        <v>0.92375366568914952</v>
      </c>
      <c r="AG217" s="446"/>
      <c r="AH217" s="446"/>
      <c r="AI217" s="446"/>
      <c r="AJ217" s="446"/>
      <c r="AK217" s="446"/>
      <c r="AL217" s="443"/>
      <c r="AM217" s="443"/>
      <c r="AN217" s="461"/>
      <c r="AO217" s="456">
        <f t="shared" si="66"/>
        <v>139.87032564143186</v>
      </c>
      <c r="AP217" s="460">
        <f t="shared" si="67"/>
        <v>4.0893752399993994</v>
      </c>
      <c r="AQ217" s="443"/>
      <c r="AR217" s="462" t="s">
        <v>1100</v>
      </c>
      <c r="AV217" s="349"/>
      <c r="AW217" s="349"/>
      <c r="AX217" s="349"/>
    </row>
    <row r="218" spans="1:50" s="352" customFormat="1" ht="15.75">
      <c r="A218" s="400" t="s">
        <v>1447</v>
      </c>
      <c r="B218" s="401" t="s">
        <v>1495</v>
      </c>
      <c r="C218" s="402"/>
      <c r="D218" s="403" t="s">
        <v>1091</v>
      </c>
      <c r="E218" s="404">
        <v>1969</v>
      </c>
      <c r="F218" s="402"/>
      <c r="G218" s="405"/>
      <c r="H218" s="406">
        <v>214.3</v>
      </c>
      <c r="I218" s="407">
        <f>H218*2204.6/2240</f>
        <v>210.91329464285715</v>
      </c>
      <c r="J218" s="408">
        <f t="shared" si="60"/>
        <v>129.26352</v>
      </c>
      <c r="K218" s="408">
        <v>39.4</v>
      </c>
      <c r="L218" s="408"/>
      <c r="M218" s="408"/>
      <c r="N218" s="408">
        <f t="shared" si="57"/>
        <v>25.918320000000001</v>
      </c>
      <c r="O218" s="408">
        <v>7.9</v>
      </c>
      <c r="P218" s="408">
        <f t="shared" si="57"/>
        <v>8.202</v>
      </c>
      <c r="Q218" s="409">
        <v>2.5</v>
      </c>
      <c r="R218" s="410">
        <f t="shared" si="58"/>
        <v>4.9873417721518987</v>
      </c>
      <c r="S218" s="411">
        <f t="shared" si="59"/>
        <v>15.76</v>
      </c>
      <c r="T218" s="402"/>
      <c r="U218" s="412">
        <f>X218/0.7457</f>
        <v>13892.986455679227</v>
      </c>
      <c r="V218" s="412"/>
      <c r="W218" s="412"/>
      <c r="X218" s="413">
        <v>10360</v>
      </c>
      <c r="Y218" s="414">
        <v>37</v>
      </c>
      <c r="Z218" s="415"/>
      <c r="AA218" s="416">
        <f t="shared" si="45"/>
        <v>2.4950246721546208</v>
      </c>
      <c r="AB218" s="417">
        <f t="shared" si="61"/>
        <v>6.2251481146602732</v>
      </c>
      <c r="AC218" s="417">
        <f t="shared" si="62"/>
        <v>0.96789063740464809</v>
      </c>
      <c r="AD218" s="417">
        <f t="shared" si="63"/>
        <v>0.93681228597557598</v>
      </c>
      <c r="AE218" s="417">
        <f t="shared" si="64"/>
        <v>97.650848543365527</v>
      </c>
      <c r="AF218" s="418">
        <f t="shared" si="65"/>
        <v>0.56170729933992347</v>
      </c>
      <c r="AG218" s="415">
        <v>800</v>
      </c>
      <c r="AH218" s="415"/>
      <c r="AI218" s="415"/>
      <c r="AJ218" s="415"/>
      <c r="AK218" s="415">
        <v>3</v>
      </c>
      <c r="AL218" s="415" t="s">
        <v>1080</v>
      </c>
      <c r="AM218" s="401">
        <v>3</v>
      </c>
      <c r="AN218" s="419"/>
      <c r="AO218" s="414">
        <f t="shared" si="66"/>
        <v>129.18503198482898</v>
      </c>
      <c r="AP218" s="418">
        <f t="shared" si="67"/>
        <v>3.6288362610408313</v>
      </c>
      <c r="AQ218" s="401"/>
      <c r="AR218" s="420" t="s">
        <v>1081</v>
      </c>
      <c r="AV218" s="349"/>
      <c r="AW218" s="349"/>
      <c r="AX218" s="349"/>
    </row>
    <row r="219" spans="1:50" s="352" customFormat="1" ht="15.75">
      <c r="A219" s="485" t="s">
        <v>1326</v>
      </c>
      <c r="B219" s="505" t="s">
        <v>1496</v>
      </c>
      <c r="C219" s="487"/>
      <c r="D219" s="488" t="s">
        <v>1095</v>
      </c>
      <c r="E219" s="489"/>
      <c r="F219" s="487"/>
      <c r="G219" s="490" t="s">
        <v>1461</v>
      </c>
      <c r="H219" s="491">
        <f>I219*2240/2204.6</f>
        <v>221.50049895672686</v>
      </c>
      <c r="I219" s="492">
        <v>218</v>
      </c>
      <c r="J219" s="493">
        <f t="shared" si="60"/>
        <v>127.09999999999998</v>
      </c>
      <c r="K219" s="493">
        <f>IF(M219="",L219,M219)</f>
        <v>38.740551085101188</v>
      </c>
      <c r="L219" s="493">
        <v>38.740551085101188</v>
      </c>
      <c r="M219" s="493"/>
      <c r="N219" s="493">
        <f t="shared" si="57"/>
        <v>23</v>
      </c>
      <c r="O219" s="493">
        <v>7.0104852475006094</v>
      </c>
      <c r="P219" s="493">
        <f t="shared" si="57"/>
        <v>5</v>
      </c>
      <c r="Q219" s="494">
        <v>1.5240185320653499</v>
      </c>
      <c r="R219" s="495">
        <f t="shared" si="58"/>
        <v>5.5260869565217385</v>
      </c>
      <c r="S219" s="496">
        <f t="shared" si="59"/>
        <v>25.419999999999995</v>
      </c>
      <c r="T219" s="487"/>
      <c r="U219" s="497">
        <f>IF(V219="",W219,V219)</f>
        <v>6000</v>
      </c>
      <c r="V219" s="497"/>
      <c r="W219" s="497">
        <v>6000</v>
      </c>
      <c r="X219" s="498"/>
      <c r="Y219" s="499">
        <v>30</v>
      </c>
      <c r="Z219" s="500" t="s">
        <v>1497</v>
      </c>
      <c r="AA219" s="501">
        <f t="shared" si="45"/>
        <v>2.0118809829277482</v>
      </c>
      <c r="AB219" s="502">
        <f t="shared" si="61"/>
        <v>4.0476650894663226</v>
      </c>
      <c r="AC219" s="502">
        <f t="shared" si="62"/>
        <v>0.79142731142807621</v>
      </c>
      <c r="AD219" s="502">
        <f t="shared" si="63"/>
        <v>0.62635718927427309</v>
      </c>
      <c r="AE219" s="502">
        <f t="shared" si="64"/>
        <v>106.17440647999042</v>
      </c>
      <c r="AF219" s="503">
        <f t="shared" si="65"/>
        <v>1.0900000000000001</v>
      </c>
      <c r="AG219" s="504">
        <v>450</v>
      </c>
      <c r="AH219" s="504">
        <v>27</v>
      </c>
      <c r="AI219" s="504"/>
      <c r="AJ219" s="504"/>
      <c r="AK219" s="489">
        <v>2</v>
      </c>
      <c r="AL219" s="505"/>
      <c r="AM219" s="505"/>
      <c r="AN219" s="506"/>
      <c r="AO219" s="499">
        <f t="shared" si="66"/>
        <v>162.99846310669025</v>
      </c>
      <c r="AP219" s="503">
        <f t="shared" si="67"/>
        <v>4.7081825334382374</v>
      </c>
      <c r="AQ219" s="505"/>
      <c r="AR219" s="507" t="s">
        <v>1149</v>
      </c>
      <c r="AV219" s="349"/>
      <c r="AW219" s="349"/>
      <c r="AX219" s="349"/>
    </row>
    <row r="220" spans="1:50" s="352" customFormat="1" ht="15.75">
      <c r="A220" s="400" t="s">
        <v>1447</v>
      </c>
      <c r="B220" s="401" t="s">
        <v>1498</v>
      </c>
      <c r="C220" s="402"/>
      <c r="D220" s="403" t="s">
        <v>1095</v>
      </c>
      <c r="E220" s="404">
        <v>1976</v>
      </c>
      <c r="F220" s="402"/>
      <c r="G220" s="405"/>
      <c r="H220" s="406">
        <v>227.5</v>
      </c>
      <c r="I220" s="407">
        <f>H220*2204.6/2240</f>
        <v>223.90468749999999</v>
      </c>
      <c r="J220" s="408">
        <f t="shared" si="60"/>
        <v>148.94832</v>
      </c>
      <c r="K220" s="408">
        <v>45.4</v>
      </c>
      <c r="L220" s="408"/>
      <c r="M220" s="408"/>
      <c r="N220" s="408">
        <f t="shared" si="57"/>
        <v>24.277920000000002</v>
      </c>
      <c r="O220" s="408">
        <v>7.4</v>
      </c>
      <c r="P220" s="408">
        <f t="shared" si="57"/>
        <v>7.5458400000000001</v>
      </c>
      <c r="Q220" s="409">
        <v>2.2999999999999998</v>
      </c>
      <c r="R220" s="410">
        <f t="shared" si="58"/>
        <v>6.1351351351351342</v>
      </c>
      <c r="S220" s="411">
        <f t="shared" si="59"/>
        <v>19.739130434782609</v>
      </c>
      <c r="T220" s="402"/>
      <c r="U220" s="412">
        <f>X220/0.7457</f>
        <v>13410.21858656296</v>
      </c>
      <c r="V220" s="412"/>
      <c r="W220" s="412"/>
      <c r="X220" s="413">
        <v>10000</v>
      </c>
      <c r="Y220" s="414">
        <v>40</v>
      </c>
      <c r="Z220" s="415"/>
      <c r="AA220" s="416">
        <f t="shared" si="45"/>
        <v>2.6705860337166438</v>
      </c>
      <c r="AB220" s="417">
        <f t="shared" si="61"/>
        <v>7.1320297634823948</v>
      </c>
      <c r="AC220" s="417">
        <f t="shared" si="62"/>
        <v>0.97477580415907672</v>
      </c>
      <c r="AD220" s="417">
        <f t="shared" si="63"/>
        <v>0.95018786837397473</v>
      </c>
      <c r="AE220" s="417">
        <f t="shared" si="64"/>
        <v>67.757341574101773</v>
      </c>
      <c r="AF220" s="418">
        <f t="shared" si="65"/>
        <v>0.66786290187500008</v>
      </c>
      <c r="AG220" s="415">
        <v>2000</v>
      </c>
      <c r="AH220" s="415"/>
      <c r="AI220" s="415"/>
      <c r="AJ220" s="415"/>
      <c r="AK220" s="404">
        <v>4</v>
      </c>
      <c r="AL220" s="401" t="s">
        <v>1080</v>
      </c>
      <c r="AM220" s="401">
        <v>4</v>
      </c>
      <c r="AN220" s="419"/>
      <c r="AO220" s="414">
        <f t="shared" si="66"/>
        <v>175.97578352805024</v>
      </c>
      <c r="AP220" s="418">
        <f t="shared" si="67"/>
        <v>4.3762440034906067</v>
      </c>
      <c r="AQ220" s="401"/>
      <c r="AR220" s="420" t="s">
        <v>1081</v>
      </c>
      <c r="AV220" s="349"/>
      <c r="AW220" s="349"/>
      <c r="AX220" s="349"/>
    </row>
    <row r="221" spans="1:50" s="352" customFormat="1" ht="15.75">
      <c r="A221" s="485" t="s">
        <v>1326</v>
      </c>
      <c r="B221" s="505" t="s">
        <v>1499</v>
      </c>
      <c r="C221" s="487"/>
      <c r="D221" s="488" t="s">
        <v>1500</v>
      </c>
      <c r="E221" s="489">
        <v>1999</v>
      </c>
      <c r="F221" s="487"/>
      <c r="G221" s="490" t="s">
        <v>1236</v>
      </c>
      <c r="H221" s="491">
        <f>I221*2240/2204.6</f>
        <v>239.78953098067677</v>
      </c>
      <c r="I221" s="492">
        <v>236</v>
      </c>
      <c r="J221" s="493">
        <f t="shared" si="60"/>
        <v>144.4</v>
      </c>
      <c r="K221" s="493">
        <f>IF(M221="",L221,M221)</f>
        <v>44.013655206047304</v>
      </c>
      <c r="L221" s="493">
        <v>44.013655206047304</v>
      </c>
      <c r="M221" s="493"/>
      <c r="N221" s="493">
        <f t="shared" si="57"/>
        <v>24.3</v>
      </c>
      <c r="O221" s="493">
        <v>7.4067300658376007</v>
      </c>
      <c r="P221" s="493">
        <f t="shared" si="57"/>
        <v>5.2</v>
      </c>
      <c r="Q221" s="494">
        <v>1.584979273347964</v>
      </c>
      <c r="R221" s="495">
        <f t="shared" si="58"/>
        <v>5.9423868312757202</v>
      </c>
      <c r="S221" s="496">
        <f t="shared" si="59"/>
        <v>27.76923076923077</v>
      </c>
      <c r="T221" s="487"/>
      <c r="U221" s="497">
        <f>IF(V221="",W221,V221)</f>
        <v>3480</v>
      </c>
      <c r="V221" s="497"/>
      <c r="W221" s="497">
        <v>3480</v>
      </c>
      <c r="X221" s="498"/>
      <c r="Y221" s="499">
        <v>28</v>
      </c>
      <c r="Z221" s="500" t="s">
        <v>1501</v>
      </c>
      <c r="AA221" s="501">
        <f t="shared" si="45"/>
        <v>1.8530898499058128</v>
      </c>
      <c r="AB221" s="502">
        <f t="shared" si="61"/>
        <v>3.4339419918239478</v>
      </c>
      <c r="AC221" s="502">
        <f t="shared" si="62"/>
        <v>0.69300599019165765</v>
      </c>
      <c r="AD221" s="502">
        <f t="shared" si="63"/>
        <v>0.48025730244151987</v>
      </c>
      <c r="AE221" s="502">
        <f t="shared" si="64"/>
        <v>78.38093200975446</v>
      </c>
      <c r="AF221" s="503">
        <f t="shared" si="65"/>
        <v>1.8988505747126436</v>
      </c>
      <c r="AG221" s="504">
        <v>1100</v>
      </c>
      <c r="AH221" s="504">
        <v>18</v>
      </c>
      <c r="AI221" s="504"/>
      <c r="AJ221" s="504"/>
      <c r="AK221" s="489">
        <v>2</v>
      </c>
      <c r="AL221" s="505"/>
      <c r="AM221" s="505"/>
      <c r="AN221" s="506"/>
      <c r="AO221" s="499">
        <f t="shared" si="66"/>
        <v>240.89965908338073</v>
      </c>
      <c r="AP221" s="503">
        <f t="shared" si="67"/>
        <v>6.2888247842837588</v>
      </c>
      <c r="AQ221" s="505"/>
      <c r="AR221" s="507" t="s">
        <v>1149</v>
      </c>
      <c r="AV221" s="349"/>
      <c r="AW221" s="349"/>
      <c r="AX221" s="349"/>
    </row>
    <row r="222" spans="1:50" s="352" customFormat="1" ht="15.75">
      <c r="A222" s="400" t="s">
        <v>1447</v>
      </c>
      <c r="B222" s="401" t="s">
        <v>1502</v>
      </c>
      <c r="C222" s="402"/>
      <c r="D222" s="403" t="s">
        <v>788</v>
      </c>
      <c r="E222" s="404">
        <v>1979</v>
      </c>
      <c r="F222" s="402"/>
      <c r="G222" s="405"/>
      <c r="H222" s="406">
        <v>244</v>
      </c>
      <c r="I222" s="407">
        <f>H222*2204.6/2240</f>
        <v>240.14392857142857</v>
      </c>
      <c r="J222" s="408">
        <f t="shared" si="60"/>
        <v>143.04288000000003</v>
      </c>
      <c r="K222" s="408">
        <v>43.6</v>
      </c>
      <c r="L222" s="408"/>
      <c r="M222" s="408"/>
      <c r="N222" s="408">
        <f t="shared" si="57"/>
        <v>23.293679999999998</v>
      </c>
      <c r="O222" s="408">
        <v>7.1</v>
      </c>
      <c r="P222" s="408">
        <f t="shared" si="57"/>
        <v>7.87392</v>
      </c>
      <c r="Q222" s="409">
        <v>2.4</v>
      </c>
      <c r="R222" s="410">
        <f t="shared" si="58"/>
        <v>6.1408450704225368</v>
      </c>
      <c r="S222" s="411">
        <f t="shared" si="59"/>
        <v>18.166666666666671</v>
      </c>
      <c r="T222" s="402"/>
      <c r="U222" s="412">
        <f>X222/0.7457</f>
        <v>9051.8975459299982</v>
      </c>
      <c r="V222" s="412"/>
      <c r="W222" s="412"/>
      <c r="X222" s="413">
        <v>6750</v>
      </c>
      <c r="Y222" s="414">
        <v>34.5</v>
      </c>
      <c r="Z222" s="415"/>
      <c r="AA222" s="416">
        <f t="shared" si="45"/>
        <v>2.2766570071014969</v>
      </c>
      <c r="AB222" s="417">
        <f t="shared" si="61"/>
        <v>5.183167127984345</v>
      </c>
      <c r="AC222" s="417">
        <f t="shared" si="62"/>
        <v>0.85792342510339847</v>
      </c>
      <c r="AD222" s="417">
        <f t="shared" si="63"/>
        <v>0.73603260334114662</v>
      </c>
      <c r="AE222" s="417">
        <f t="shared" si="64"/>
        <v>82.048921053647476</v>
      </c>
      <c r="AF222" s="418">
        <f t="shared" si="65"/>
        <v>0.91527389629365086</v>
      </c>
      <c r="AG222" s="415">
        <v>1850</v>
      </c>
      <c r="AH222" s="415"/>
      <c r="AI222" s="415"/>
      <c r="AJ222" s="415"/>
      <c r="AK222" s="404">
        <v>3</v>
      </c>
      <c r="AL222" s="401" t="s">
        <v>1080</v>
      </c>
      <c r="AM222" s="401">
        <v>3</v>
      </c>
      <c r="AN222" s="419"/>
      <c r="AO222" s="414">
        <f t="shared" si="66"/>
        <v>175.26642552926143</v>
      </c>
      <c r="AP222" s="418">
        <f t="shared" si="67"/>
        <v>4.6457181272409063</v>
      </c>
      <c r="AQ222" s="401"/>
      <c r="AR222" s="420" t="s">
        <v>1081</v>
      </c>
      <c r="AV222" s="349"/>
      <c r="AW222" s="349"/>
      <c r="AX222" s="349"/>
    </row>
    <row r="223" spans="1:50" s="352" customFormat="1" ht="15.75">
      <c r="A223" s="421" t="s">
        <v>1326</v>
      </c>
      <c r="B223" s="422" t="s">
        <v>1503</v>
      </c>
      <c r="C223" s="423">
        <v>15</v>
      </c>
      <c r="D223" s="424" t="s">
        <v>1504</v>
      </c>
      <c r="E223" s="425">
        <v>1980</v>
      </c>
      <c r="F223" s="423">
        <v>1984</v>
      </c>
      <c r="G223" s="426"/>
      <c r="H223" s="427">
        <f>I223*2240/2204.6</f>
        <v>248.93404699265173</v>
      </c>
      <c r="I223" s="428">
        <v>245</v>
      </c>
      <c r="J223" s="429">
        <f t="shared" si="60"/>
        <v>137.13744</v>
      </c>
      <c r="K223" s="429">
        <f>IF(M223="",L223,M223)</f>
        <v>41.8</v>
      </c>
      <c r="L223" s="429"/>
      <c r="M223" s="429">
        <v>41.8</v>
      </c>
      <c r="N223" s="429">
        <f t="shared" si="57"/>
        <v>23.293679999999998</v>
      </c>
      <c r="O223" s="429">
        <v>7.1</v>
      </c>
      <c r="P223" s="429">
        <f t="shared" si="57"/>
        <v>5.9054400000000005</v>
      </c>
      <c r="Q223" s="430">
        <v>1.8</v>
      </c>
      <c r="R223" s="431">
        <f t="shared" si="58"/>
        <v>5.887323943661972</v>
      </c>
      <c r="S223" s="432">
        <f t="shared" si="59"/>
        <v>23.222222222222221</v>
      </c>
      <c r="T223" s="423">
        <v>24</v>
      </c>
      <c r="U223" s="433">
        <f>IF(V223="",W223,V223)</f>
        <v>6140</v>
      </c>
      <c r="V223" s="433">
        <v>6140</v>
      </c>
      <c r="W223" s="433">
        <f>X223/0.7457</f>
        <v>6034.5983639533324</v>
      </c>
      <c r="X223" s="434">
        <v>4500</v>
      </c>
      <c r="Y223" s="435">
        <v>30</v>
      </c>
      <c r="Z223" s="436"/>
      <c r="AA223" s="437">
        <f t="shared" si="45"/>
        <v>1.9731072260069775</v>
      </c>
      <c r="AB223" s="438">
        <f t="shared" si="61"/>
        <v>3.8931521253209498</v>
      </c>
      <c r="AC223" s="438">
        <f t="shared" si="62"/>
        <v>0.76191371198579361</v>
      </c>
      <c r="AD223" s="438">
        <f t="shared" si="63"/>
        <v>0.58051250451197089</v>
      </c>
      <c r="AE223" s="438">
        <f t="shared" si="64"/>
        <v>94.994392603268579</v>
      </c>
      <c r="AF223" s="439">
        <f t="shared" si="65"/>
        <v>1.1970684039087949</v>
      </c>
      <c r="AG223" s="436">
        <v>1450</v>
      </c>
      <c r="AH223" s="425"/>
      <c r="AI223" s="425"/>
      <c r="AJ223" s="425"/>
      <c r="AK223" s="425">
        <v>2</v>
      </c>
      <c r="AL223" s="422" t="s">
        <v>1080</v>
      </c>
      <c r="AM223" s="422">
        <v>4</v>
      </c>
      <c r="AN223" s="440"/>
      <c r="AO223" s="435">
        <f t="shared" si="66"/>
        <v>172.17606681871666</v>
      </c>
      <c r="AP223" s="439">
        <f t="shared" si="67"/>
        <v>4.7922037464453782</v>
      </c>
      <c r="AQ223" s="422"/>
      <c r="AR223" s="441" t="s">
        <v>1090</v>
      </c>
      <c r="AV223" s="349"/>
      <c r="AW223" s="349"/>
      <c r="AX223" s="349"/>
    </row>
    <row r="224" spans="1:50" s="352" customFormat="1" ht="15.75">
      <c r="A224" s="400" t="s">
        <v>1447</v>
      </c>
      <c r="B224" s="401" t="s">
        <v>1505</v>
      </c>
      <c r="C224" s="402"/>
      <c r="D224" s="403" t="s">
        <v>1506</v>
      </c>
      <c r="E224" s="404"/>
      <c r="F224" s="402"/>
      <c r="G224" s="405"/>
      <c r="H224" s="406">
        <v>249</v>
      </c>
      <c r="I224" s="407">
        <f>H224*2204.6/2240</f>
        <v>245.06491071428573</v>
      </c>
      <c r="J224" s="408">
        <f t="shared" si="60"/>
        <v>137.7936</v>
      </c>
      <c r="K224" s="408">
        <v>42</v>
      </c>
      <c r="L224" s="408"/>
      <c r="M224" s="408"/>
      <c r="N224" s="408">
        <f t="shared" si="57"/>
        <v>26.902559999999998</v>
      </c>
      <c r="O224" s="408">
        <v>8.1999999999999993</v>
      </c>
      <c r="P224" s="408">
        <f t="shared" si="57"/>
        <v>5.9054400000000005</v>
      </c>
      <c r="Q224" s="409">
        <v>1.8</v>
      </c>
      <c r="R224" s="410">
        <f t="shared" si="58"/>
        <v>5.1219512195121952</v>
      </c>
      <c r="S224" s="411">
        <f t="shared" si="59"/>
        <v>23.333333333333332</v>
      </c>
      <c r="T224" s="402"/>
      <c r="U224" s="412"/>
      <c r="V224" s="412"/>
      <c r="W224" s="412"/>
      <c r="X224" s="413"/>
      <c r="Y224" s="414">
        <v>30</v>
      </c>
      <c r="Z224" s="415"/>
      <c r="AA224" s="416">
        <f t="shared" si="45"/>
        <v>1.9730201130755749</v>
      </c>
      <c r="AB224" s="417">
        <f t="shared" si="61"/>
        <v>3.8928083666007542</v>
      </c>
      <c r="AC224" s="417">
        <f t="shared" si="62"/>
        <v>0.76009746694249014</v>
      </c>
      <c r="AD224" s="417">
        <f t="shared" si="63"/>
        <v>0.57774815925238987</v>
      </c>
      <c r="AE224" s="417">
        <f t="shared" si="64"/>
        <v>93.66859193980342</v>
      </c>
      <c r="AF224" s="418"/>
      <c r="AG224" s="415">
        <v>1350</v>
      </c>
      <c r="AH224" s="415"/>
      <c r="AI224" s="415"/>
      <c r="AJ224" s="415"/>
      <c r="AK224" s="404"/>
      <c r="AL224" s="401"/>
      <c r="AM224" s="401"/>
      <c r="AN224" s="419"/>
      <c r="AO224" s="414"/>
      <c r="AP224" s="418"/>
      <c r="AQ224" s="401"/>
      <c r="AR224" s="420" t="s">
        <v>1081</v>
      </c>
      <c r="AV224" s="349"/>
      <c r="AW224" s="349"/>
      <c r="AX224" s="349"/>
    </row>
    <row r="225" spans="1:50" s="352" customFormat="1" ht="15.75">
      <c r="A225" s="421" t="s">
        <v>1447</v>
      </c>
      <c r="B225" s="422" t="s">
        <v>1507</v>
      </c>
      <c r="C225" s="423">
        <v>1</v>
      </c>
      <c r="D225" s="424" t="s">
        <v>1344</v>
      </c>
      <c r="E225" s="425">
        <v>1976</v>
      </c>
      <c r="F225" s="423"/>
      <c r="G225" s="426"/>
      <c r="H225" s="427">
        <f>I225*2240/2204.6</f>
        <v>254.01433366597115</v>
      </c>
      <c r="I225" s="428">
        <v>250</v>
      </c>
      <c r="J225" s="429">
        <f t="shared" si="60"/>
        <v>157.47840000000002</v>
      </c>
      <c r="K225" s="429">
        <f>IF(M225="",L225,M225)</f>
        <v>48</v>
      </c>
      <c r="L225" s="429"/>
      <c r="M225" s="429">
        <v>48</v>
      </c>
      <c r="N225" s="429">
        <f t="shared" si="57"/>
        <v>23.293679999999998</v>
      </c>
      <c r="O225" s="429">
        <v>7.1</v>
      </c>
      <c r="P225" s="429">
        <f t="shared" si="57"/>
        <v>7.5458400000000001</v>
      </c>
      <c r="Q225" s="430">
        <v>2.2999999999999998</v>
      </c>
      <c r="R225" s="431">
        <f t="shared" si="58"/>
        <v>6.7605633802816918</v>
      </c>
      <c r="S225" s="432">
        <f t="shared" si="59"/>
        <v>20.869565217391308</v>
      </c>
      <c r="T225" s="423">
        <v>25</v>
      </c>
      <c r="U225" s="433">
        <f>IF(V225="",W225,V225)</f>
        <v>6000</v>
      </c>
      <c r="V225" s="433">
        <v>6000</v>
      </c>
      <c r="W225" s="433">
        <f>X225/0.7457</f>
        <v>5913.9063966742651</v>
      </c>
      <c r="X225" s="434">
        <v>4410</v>
      </c>
      <c r="Y225" s="435">
        <v>23</v>
      </c>
      <c r="Z225" s="436"/>
      <c r="AA225" s="437">
        <f t="shared" ref="AA225:AA247" si="69">Y225*1.6878/SQRT(32.174*(H225*2204.6/2240*35)^(1/3))</f>
        <v>1.5076306139641289</v>
      </c>
      <c r="AB225" s="438">
        <f t="shared" si="61"/>
        <v>2.2729500681618564</v>
      </c>
      <c r="AC225" s="438">
        <f t="shared" si="62"/>
        <v>0.54510465785525986</v>
      </c>
      <c r="AD225" s="438">
        <f t="shared" si="63"/>
        <v>0.29713908801549993</v>
      </c>
      <c r="AE225" s="438">
        <f t="shared" si="64"/>
        <v>64.014303963412132</v>
      </c>
      <c r="AF225" s="439">
        <f t="shared" si="65"/>
        <v>0.95833333333333337</v>
      </c>
      <c r="AG225" s="436">
        <v>2000</v>
      </c>
      <c r="AH225" s="425"/>
      <c r="AI225" s="425"/>
      <c r="AJ225" s="425"/>
      <c r="AK225" s="425">
        <v>2</v>
      </c>
      <c r="AL225" s="422" t="s">
        <v>1080</v>
      </c>
      <c r="AM225" s="422">
        <v>4</v>
      </c>
      <c r="AN225" s="440" t="s">
        <v>1329</v>
      </c>
      <c r="AO225" s="435">
        <f t="shared" si="66"/>
        <v>80.474619163737827</v>
      </c>
      <c r="AP225" s="439">
        <f t="shared" si="67"/>
        <v>1.9637269830867807</v>
      </c>
      <c r="AQ225" s="422"/>
      <c r="AR225" s="441" t="s">
        <v>1090</v>
      </c>
      <c r="AV225" s="349"/>
      <c r="AW225" s="349"/>
      <c r="AX225" s="349"/>
    </row>
    <row r="226" spans="1:50" s="352" customFormat="1" ht="15.75">
      <c r="A226" s="442" t="s">
        <v>1326</v>
      </c>
      <c r="B226" s="443" t="s">
        <v>1508</v>
      </c>
      <c r="C226" s="444">
        <v>3</v>
      </c>
      <c r="D226" s="445" t="s">
        <v>1429</v>
      </c>
      <c r="E226" s="446">
        <v>1970</v>
      </c>
      <c r="F226" s="444">
        <v>1975</v>
      </c>
      <c r="G226" s="447"/>
      <c r="H226" s="448">
        <f>I226*2240/2204.6</f>
        <v>254.01433366597115</v>
      </c>
      <c r="I226" s="449">
        <v>250</v>
      </c>
      <c r="J226" s="450">
        <f t="shared" si="60"/>
        <v>157.47840000000002</v>
      </c>
      <c r="K226" s="450">
        <f>IF(M226="",L226,M226)</f>
        <v>48</v>
      </c>
      <c r="L226" s="450"/>
      <c r="M226" s="450">
        <v>48</v>
      </c>
      <c r="N226" s="450">
        <f t="shared" si="57"/>
        <v>23.293679999999998</v>
      </c>
      <c r="O226" s="450">
        <v>7.1</v>
      </c>
      <c r="P226" s="450">
        <f t="shared" si="57"/>
        <v>7.5458400000000001</v>
      </c>
      <c r="Q226" s="451">
        <v>2.2999999999999998</v>
      </c>
      <c r="R226" s="452">
        <f t="shared" si="58"/>
        <v>6.7605633802816918</v>
      </c>
      <c r="S226" s="453">
        <f t="shared" si="59"/>
        <v>20.869565217391308</v>
      </c>
      <c r="T226" s="444">
        <v>34</v>
      </c>
      <c r="U226" s="454">
        <f>IF(V226="",W226,V226)</f>
        <v>4600</v>
      </c>
      <c r="V226" s="454">
        <v>4600</v>
      </c>
      <c r="W226" s="454"/>
      <c r="X226" s="455"/>
      <c r="Y226" s="456">
        <v>20</v>
      </c>
      <c r="Z226" s="457"/>
      <c r="AA226" s="458">
        <f t="shared" si="69"/>
        <v>1.3109831425775034</v>
      </c>
      <c r="AB226" s="459">
        <f t="shared" si="61"/>
        <v>1.7186768001223864</v>
      </c>
      <c r="AC226" s="459">
        <f t="shared" si="62"/>
        <v>0.47400405030892168</v>
      </c>
      <c r="AD226" s="459">
        <f t="shared" si="63"/>
        <v>0.22467983970926275</v>
      </c>
      <c r="AE226" s="459">
        <f t="shared" si="64"/>
        <v>64.014303963412132</v>
      </c>
      <c r="AF226" s="460">
        <f t="shared" si="65"/>
        <v>1.0869565217391304</v>
      </c>
      <c r="AG226" s="446"/>
      <c r="AH226" s="446"/>
      <c r="AI226" s="446"/>
      <c r="AJ226" s="446"/>
      <c r="AK226" s="446"/>
      <c r="AL226" s="443"/>
      <c r="AM226" s="443"/>
      <c r="AN226" s="461"/>
      <c r="AO226" s="456">
        <f t="shared" si="66"/>
        <v>69.017437042095608</v>
      </c>
      <c r="AP226" s="460">
        <f t="shared" si="67"/>
        <v>1.6841509140577233</v>
      </c>
      <c r="AQ226" s="443"/>
      <c r="AR226" s="462" t="s">
        <v>1100</v>
      </c>
      <c r="AV226" s="349"/>
      <c r="AW226" s="349"/>
      <c r="AX226" s="349"/>
    </row>
    <row r="227" spans="1:50" s="352" customFormat="1" ht="15.75">
      <c r="A227" s="485" t="s">
        <v>1326</v>
      </c>
      <c r="B227" s="505" t="s">
        <v>1509</v>
      </c>
      <c r="C227" s="487"/>
      <c r="D227" s="488" t="s">
        <v>1206</v>
      </c>
      <c r="E227" s="489">
        <v>1984</v>
      </c>
      <c r="F227" s="487"/>
      <c r="G227" s="490" t="s">
        <v>1510</v>
      </c>
      <c r="H227" s="491">
        <f>I227*2240/2204.6</f>
        <v>259.0946203392906</v>
      </c>
      <c r="I227" s="492">
        <v>255</v>
      </c>
      <c r="J227" s="493">
        <f t="shared" si="60"/>
        <v>147.30000000000001</v>
      </c>
      <c r="K227" s="493">
        <f>IF(M227="",L227,M227)</f>
        <v>44.897585954645209</v>
      </c>
      <c r="L227" s="493">
        <v>44.897585954645209</v>
      </c>
      <c r="M227" s="493"/>
      <c r="N227" s="493">
        <f t="shared" si="57"/>
        <v>23</v>
      </c>
      <c r="O227" s="493">
        <v>7.0104852475006094</v>
      </c>
      <c r="P227" s="493">
        <f t="shared" si="57"/>
        <v>7.5</v>
      </c>
      <c r="Q227" s="494">
        <v>2.2860277980980248</v>
      </c>
      <c r="R227" s="495">
        <f t="shared" si="58"/>
        <v>6.4043478260869566</v>
      </c>
      <c r="S227" s="496">
        <f t="shared" si="59"/>
        <v>19.64</v>
      </c>
      <c r="T227" s="487"/>
      <c r="U227" s="497">
        <f>IF(V227="",W227,V227)</f>
        <v>13640</v>
      </c>
      <c r="V227" s="497"/>
      <c r="W227" s="497">
        <v>13640</v>
      </c>
      <c r="X227" s="498"/>
      <c r="Y227" s="499">
        <v>41</v>
      </c>
      <c r="Z227" s="500" t="s">
        <v>1511</v>
      </c>
      <c r="AA227" s="501">
        <f>Y227*1.6878/SQRT(32.174*(H227*2204.6/2240*35)^(1/3))</f>
        <v>2.6786600858231666</v>
      </c>
      <c r="AB227" s="502">
        <f t="shared" si="61"/>
        <v>7.1752198553821742</v>
      </c>
      <c r="AC227" s="502">
        <f t="shared" si="62"/>
        <v>1.0047199762102947</v>
      </c>
      <c r="AD227" s="502">
        <f t="shared" si="63"/>
        <v>1.0094622305960153</v>
      </c>
      <c r="AE227" s="502">
        <f t="shared" si="64"/>
        <v>79.786964000128407</v>
      </c>
      <c r="AF227" s="503">
        <f t="shared" si="65"/>
        <v>0.76649560117302051</v>
      </c>
      <c r="AG227" s="504">
        <v>180</v>
      </c>
      <c r="AH227" s="504">
        <v>16</v>
      </c>
      <c r="AI227" s="504"/>
      <c r="AJ227" s="504"/>
      <c r="AK227" s="489">
        <v>4</v>
      </c>
      <c r="AL227" s="505"/>
      <c r="AM227" s="505"/>
      <c r="AN227" s="506"/>
      <c r="AO227" s="499">
        <f t="shared" si="66"/>
        <v>203.18765593094867</v>
      </c>
      <c r="AP227" s="503">
        <f t="shared" si="67"/>
        <v>5.3358605186614172</v>
      </c>
      <c r="AQ227" s="505"/>
      <c r="AR227" s="507" t="s">
        <v>1149</v>
      </c>
      <c r="AV227" s="349"/>
      <c r="AW227" s="349"/>
      <c r="AX227" s="349"/>
    </row>
    <row r="228" spans="1:50" s="352" customFormat="1" ht="15.75">
      <c r="A228" s="485" t="s">
        <v>1326</v>
      </c>
      <c r="B228" s="505" t="s">
        <v>1512</v>
      </c>
      <c r="C228" s="487"/>
      <c r="D228" s="488" t="s">
        <v>1357</v>
      </c>
      <c r="E228" s="489">
        <v>2002</v>
      </c>
      <c r="F228" s="487"/>
      <c r="G228" s="490" t="s">
        <v>1473</v>
      </c>
      <c r="H228" s="491">
        <f>I228*2240/2204.6</f>
        <v>264.17490701260999</v>
      </c>
      <c r="I228" s="492">
        <v>260</v>
      </c>
      <c r="J228" s="493">
        <f t="shared" si="60"/>
        <v>157.80000000000001</v>
      </c>
      <c r="K228" s="493">
        <f>IF(M228="",L228,M228)</f>
        <v>48.098024871982446</v>
      </c>
      <c r="L228" s="493">
        <v>48.098024871982446</v>
      </c>
      <c r="M228" s="493"/>
      <c r="N228" s="493">
        <f t="shared" si="57"/>
        <v>24.6</v>
      </c>
      <c r="O228" s="493">
        <v>7.4981711777615221</v>
      </c>
      <c r="P228" s="493">
        <f t="shared" si="57"/>
        <v>6.6</v>
      </c>
      <c r="Q228" s="494">
        <v>2.0117044623262617</v>
      </c>
      <c r="R228" s="495">
        <f t="shared" si="58"/>
        <v>6.4146341463414638</v>
      </c>
      <c r="S228" s="496">
        <f t="shared" si="59"/>
        <v>23.909090909090914</v>
      </c>
      <c r="T228" s="487"/>
      <c r="U228" s="497">
        <f>IF(V228="",W228,V228)</f>
        <v>10942</v>
      </c>
      <c r="V228" s="497"/>
      <c r="W228" s="497">
        <v>10942</v>
      </c>
      <c r="X228" s="498"/>
      <c r="Y228" s="499">
        <v>35</v>
      </c>
      <c r="Z228" s="500"/>
      <c r="AA228" s="501">
        <f t="shared" ref="AA228:AA276" si="70">Y228*1.6878/SQRT(32.174*(H228*2204.6/2240*35)^(1/3))</f>
        <v>2.2792725810519925</v>
      </c>
      <c r="AB228" s="502">
        <f t="shared" si="61"/>
        <v>5.1950834987354115</v>
      </c>
      <c r="AC228" s="502">
        <f t="shared" si="62"/>
        <v>0.82866137974287379</v>
      </c>
      <c r="AD228" s="502">
        <f t="shared" si="63"/>
        <v>0.68667968227736331</v>
      </c>
      <c r="AE228" s="502">
        <f t="shared" si="64"/>
        <v>66.168661772958657</v>
      </c>
      <c r="AF228" s="503">
        <f t="shared" si="65"/>
        <v>0.83165783220617806</v>
      </c>
      <c r="AG228" s="504"/>
      <c r="AH228" s="504"/>
      <c r="AI228" s="504"/>
      <c r="AJ228" s="504"/>
      <c r="AK228" s="489">
        <v>3</v>
      </c>
      <c r="AL228" s="505"/>
      <c r="AM228" s="505"/>
      <c r="AN228" s="506"/>
      <c r="AO228" s="499">
        <f t="shared" si="66"/>
        <v>159.62086302621847</v>
      </c>
      <c r="AP228" s="503">
        <f t="shared" si="67"/>
        <v>3.9382529475035901</v>
      </c>
      <c r="AQ228" s="505"/>
      <c r="AR228" s="507" t="s">
        <v>1149</v>
      </c>
      <c r="AV228" s="349"/>
      <c r="AW228" s="349"/>
      <c r="AX228" s="349"/>
    </row>
    <row r="229" spans="1:50" s="352" customFormat="1" ht="15.75">
      <c r="A229" s="485" t="s">
        <v>1326</v>
      </c>
      <c r="B229" s="505" t="s">
        <v>1513</v>
      </c>
      <c r="C229" s="487"/>
      <c r="D229" s="488" t="s">
        <v>1357</v>
      </c>
      <c r="E229" s="489"/>
      <c r="F229" s="487"/>
      <c r="G229" s="490" t="s">
        <v>1236</v>
      </c>
      <c r="H229" s="491">
        <f>I229*2240/2204.6</f>
        <v>264.17490701260999</v>
      </c>
      <c r="I229" s="492">
        <v>260</v>
      </c>
      <c r="J229" s="493">
        <f t="shared" si="60"/>
        <v>151</v>
      </c>
      <c r="K229" s="493">
        <f>IF(M229="",L229,M229)</f>
        <v>46.025359668373568</v>
      </c>
      <c r="L229" s="493">
        <v>46.025359668373568</v>
      </c>
      <c r="M229" s="493"/>
      <c r="N229" s="493">
        <f t="shared" si="57"/>
        <v>24.6</v>
      </c>
      <c r="O229" s="493">
        <v>7.4981711777615221</v>
      </c>
      <c r="P229" s="493">
        <f t="shared" si="57"/>
        <v>8.1999999999999993</v>
      </c>
      <c r="Q229" s="494">
        <v>2.4993903925871734</v>
      </c>
      <c r="R229" s="495">
        <f t="shared" si="58"/>
        <v>6.1382113821138207</v>
      </c>
      <c r="S229" s="496">
        <f t="shared" si="59"/>
        <v>18.414634146341466</v>
      </c>
      <c r="T229" s="487"/>
      <c r="U229" s="497">
        <f>IF(V229="",W229,V229)</f>
        <v>6820</v>
      </c>
      <c r="V229" s="497"/>
      <c r="W229" s="497">
        <v>6820</v>
      </c>
      <c r="X229" s="498"/>
      <c r="Y229" s="499">
        <v>30</v>
      </c>
      <c r="Z229" s="500" t="s">
        <v>1514</v>
      </c>
      <c r="AA229" s="501">
        <f t="shared" si="69"/>
        <v>1.9536622123302794</v>
      </c>
      <c r="AB229" s="502">
        <f t="shared" si="61"/>
        <v>3.8167960398872416</v>
      </c>
      <c r="AC229" s="502">
        <f t="shared" si="62"/>
        <v>0.72609815783610199</v>
      </c>
      <c r="AD229" s="502">
        <f t="shared" si="63"/>
        <v>0.52721853481298087</v>
      </c>
      <c r="AE229" s="502">
        <f t="shared" si="64"/>
        <v>75.516613509747884</v>
      </c>
      <c r="AF229" s="503">
        <f t="shared" si="65"/>
        <v>1.1436950146627567</v>
      </c>
      <c r="AG229" s="504">
        <v>2000</v>
      </c>
      <c r="AH229" s="504">
        <v>12</v>
      </c>
      <c r="AI229" s="504"/>
      <c r="AJ229" s="504"/>
      <c r="AK229" s="489">
        <v>2</v>
      </c>
      <c r="AL229" s="505"/>
      <c r="AM229" s="505"/>
      <c r="AN229" s="506"/>
      <c r="AO229" s="499">
        <f t="shared" si="66"/>
        <v>161.27298392581525</v>
      </c>
      <c r="AP229" s="503">
        <f t="shared" si="67"/>
        <v>4.1582024043036645</v>
      </c>
      <c r="AQ229" s="505"/>
      <c r="AR229" s="507" t="s">
        <v>1149</v>
      </c>
      <c r="AV229" s="349"/>
      <c r="AW229" s="349"/>
      <c r="AX229" s="349"/>
    </row>
    <row r="230" spans="1:50" s="352" customFormat="1" ht="15.75">
      <c r="A230" s="400" t="s">
        <v>1447</v>
      </c>
      <c r="B230" s="401" t="s">
        <v>1515</v>
      </c>
      <c r="C230" s="402"/>
      <c r="D230" s="403" t="s">
        <v>1516</v>
      </c>
      <c r="E230" s="404"/>
      <c r="F230" s="402"/>
      <c r="G230" s="405"/>
      <c r="H230" s="406">
        <v>267</v>
      </c>
      <c r="I230" s="407">
        <f>H230*2204.6/2240</f>
        <v>262.78044642857139</v>
      </c>
      <c r="J230" s="408">
        <f t="shared" si="60"/>
        <v>152.55719999999999</v>
      </c>
      <c r="K230" s="408">
        <v>46.5</v>
      </c>
      <c r="L230" s="408"/>
      <c r="M230" s="408"/>
      <c r="N230" s="408">
        <f t="shared" si="57"/>
        <v>24.606000000000002</v>
      </c>
      <c r="O230" s="408">
        <v>7.5</v>
      </c>
      <c r="P230" s="408">
        <f t="shared" si="57"/>
        <v>7.5458400000000001</v>
      </c>
      <c r="Q230" s="409">
        <v>2.2999999999999998</v>
      </c>
      <c r="R230" s="410">
        <f t="shared" si="58"/>
        <v>6.1999999999999993</v>
      </c>
      <c r="S230" s="411">
        <f t="shared" si="59"/>
        <v>20.217391304347824</v>
      </c>
      <c r="T230" s="402"/>
      <c r="U230" s="412"/>
      <c r="V230" s="412"/>
      <c r="W230" s="412"/>
      <c r="X230" s="413"/>
      <c r="Y230" s="414">
        <v>22</v>
      </c>
      <c r="Z230" s="415"/>
      <c r="AA230" s="416">
        <f t="shared" si="69"/>
        <v>1.4301479005109514</v>
      </c>
      <c r="AB230" s="417">
        <f t="shared" si="61"/>
        <v>2.0453230173358823</v>
      </c>
      <c r="AC230" s="417">
        <f t="shared" si="62"/>
        <v>0.52974745637297216</v>
      </c>
      <c r="AD230" s="417">
        <f t="shared" si="63"/>
        <v>0.28063236753363402</v>
      </c>
      <c r="AE230" s="417">
        <f t="shared" si="64"/>
        <v>74.010769320793599</v>
      </c>
      <c r="AF230" s="418"/>
      <c r="AG230" s="415">
        <v>2000</v>
      </c>
      <c r="AH230" s="415"/>
      <c r="AI230" s="415"/>
      <c r="AJ230" s="415"/>
      <c r="AK230" s="404"/>
      <c r="AL230" s="401"/>
      <c r="AM230" s="401"/>
      <c r="AN230" s="419"/>
      <c r="AO230" s="414"/>
      <c r="AP230" s="418"/>
      <c r="AQ230" s="401"/>
      <c r="AR230" s="420" t="s">
        <v>1081</v>
      </c>
      <c r="AV230" s="349"/>
      <c r="AW230" s="349"/>
      <c r="AX230" s="349"/>
    </row>
    <row r="231" spans="1:50" s="352" customFormat="1" ht="15.75">
      <c r="A231" s="442" t="s">
        <v>1326</v>
      </c>
      <c r="B231" s="443" t="s">
        <v>1517</v>
      </c>
      <c r="C231" s="444">
        <v>12</v>
      </c>
      <c r="D231" s="445" t="s">
        <v>1411</v>
      </c>
      <c r="E231" s="446">
        <v>1993</v>
      </c>
      <c r="F231" s="444">
        <v>2000</v>
      </c>
      <c r="G231" s="447"/>
      <c r="H231" s="448">
        <f>I231*2240/2204.6</f>
        <v>267.22307901660167</v>
      </c>
      <c r="I231" s="449">
        <v>263</v>
      </c>
      <c r="J231" s="450">
        <f t="shared" si="60"/>
        <v>152.55719999999999</v>
      </c>
      <c r="K231" s="450">
        <f>IF(M231="",L231,M231)</f>
        <v>46.5</v>
      </c>
      <c r="L231" s="450"/>
      <c r="M231" s="450">
        <v>46.5</v>
      </c>
      <c r="N231" s="450">
        <f t="shared" si="57"/>
        <v>24.606000000000002</v>
      </c>
      <c r="O231" s="450">
        <v>7.5</v>
      </c>
      <c r="P231" s="450">
        <f t="shared" si="57"/>
        <v>7.5458400000000001</v>
      </c>
      <c r="Q231" s="451">
        <v>2.2999999999999998</v>
      </c>
      <c r="R231" s="452">
        <f t="shared" si="58"/>
        <v>6.1999999999999993</v>
      </c>
      <c r="S231" s="453">
        <f t="shared" si="59"/>
        <v>20.217391304347824</v>
      </c>
      <c r="T231" s="444">
        <v>29</v>
      </c>
      <c r="U231" s="454">
        <f t="shared" ref="U231:U244" si="71">IF(V231="",W231,V231)</f>
        <v>5800</v>
      </c>
      <c r="V231" s="454">
        <v>5800</v>
      </c>
      <c r="W231" s="454"/>
      <c r="X231" s="455"/>
      <c r="Y231" s="456">
        <v>26</v>
      </c>
      <c r="Z231" s="457"/>
      <c r="AA231" s="458">
        <f t="shared" si="69"/>
        <v>1.6899395487665885</v>
      </c>
      <c r="AB231" s="459">
        <f t="shared" si="61"/>
        <v>2.8558956784854206</v>
      </c>
      <c r="AC231" s="459">
        <f t="shared" si="62"/>
        <v>0.6260651757135125</v>
      </c>
      <c r="AD231" s="459">
        <f t="shared" si="63"/>
        <v>0.3919576042411913</v>
      </c>
      <c r="AE231" s="459">
        <f t="shared" si="64"/>
        <v>74.072605461759949</v>
      </c>
      <c r="AF231" s="460">
        <f t="shared" si="65"/>
        <v>1.1789655172413793</v>
      </c>
      <c r="AG231" s="457"/>
      <c r="AH231" s="457"/>
      <c r="AI231" s="457"/>
      <c r="AJ231" s="457"/>
      <c r="AK231" s="446"/>
      <c r="AL231" s="443"/>
      <c r="AM231" s="443"/>
      <c r="AN231" s="461"/>
      <c r="AO231" s="456">
        <f t="shared" si="66"/>
        <v>124.39298304395612</v>
      </c>
      <c r="AP231" s="460">
        <f t="shared" si="67"/>
        <v>3.186727474610541</v>
      </c>
      <c r="AQ231" s="443"/>
      <c r="AR231" s="462" t="s">
        <v>1100</v>
      </c>
      <c r="AV231" s="349"/>
      <c r="AW231" s="349"/>
      <c r="AX231" s="349"/>
    </row>
    <row r="232" spans="1:50" s="352" customFormat="1" ht="15.75">
      <c r="A232" s="542" t="s">
        <v>1326</v>
      </c>
      <c r="B232" s="543" t="s">
        <v>1518</v>
      </c>
      <c r="C232" s="544">
        <v>12</v>
      </c>
      <c r="D232" s="545" t="s">
        <v>1504</v>
      </c>
      <c r="E232" s="546">
        <v>2005</v>
      </c>
      <c r="F232" s="544"/>
      <c r="G232" s="547"/>
      <c r="H232" s="548">
        <v>270</v>
      </c>
      <c r="I232" s="549">
        <f>H232*2204.6/2240</f>
        <v>265.73303571428573</v>
      </c>
      <c r="J232" s="550">
        <f>K232*3.2808</f>
        <v>170.92968000000002</v>
      </c>
      <c r="K232" s="550">
        <f>IF(M232="",L232,M232)</f>
        <v>52.1</v>
      </c>
      <c r="L232" s="550">
        <v>56.8</v>
      </c>
      <c r="M232" s="550">
        <v>52.1</v>
      </c>
      <c r="N232" s="550">
        <f>O232*3.2808</f>
        <v>31.758144000000001</v>
      </c>
      <c r="O232" s="550">
        <v>9.68</v>
      </c>
      <c r="P232" s="550">
        <f>Q232*3.2808</f>
        <v>8.8581600000000016</v>
      </c>
      <c r="Q232" s="551">
        <v>2.7</v>
      </c>
      <c r="R232" s="552">
        <f t="shared" si="58"/>
        <v>5.3822314049586781</v>
      </c>
      <c r="S232" s="553">
        <f t="shared" si="59"/>
        <v>19.296296296296294</v>
      </c>
      <c r="T232" s="544">
        <v>21</v>
      </c>
      <c r="U232" s="554">
        <f>IF(V232="",W232,V232)</f>
        <v>6222.3414241652135</v>
      </c>
      <c r="V232" s="554"/>
      <c r="W232" s="554">
        <f>X232/0.7457</f>
        <v>6222.3414241652135</v>
      </c>
      <c r="X232" s="555">
        <f>2320*2</f>
        <v>4640</v>
      </c>
      <c r="Y232" s="556">
        <v>25</v>
      </c>
      <c r="Z232" s="557"/>
      <c r="AA232" s="558">
        <f>Y232*1.6878/SQRT(32.174*(H232*2204.6/2240*35)^(1/3))</f>
        <v>1.6221444697088605</v>
      </c>
      <c r="AB232" s="559">
        <f>AA232^2</f>
        <v>2.6313526806070402</v>
      </c>
      <c r="AC232" s="559">
        <f>Y232*1.687/SQRT(32.174*J232)</f>
        <v>0.56871387342933044</v>
      </c>
      <c r="AD232" s="559">
        <f>AC232^2</f>
        <v>0.32343546983099247</v>
      </c>
      <c r="AE232" s="559">
        <f>I232/(0.01*J232)^3</f>
        <v>53.209981773949856</v>
      </c>
      <c r="AF232" s="560">
        <f>IF(U232="","",Y232*I232/U232)</f>
        <v>1.0676569220481835</v>
      </c>
      <c r="AG232" s="557">
        <v>3000</v>
      </c>
      <c r="AH232" s="557"/>
      <c r="AI232" s="557"/>
      <c r="AJ232" s="557"/>
      <c r="AK232" s="546">
        <v>2</v>
      </c>
      <c r="AL232" s="543" t="s">
        <v>1080</v>
      </c>
      <c r="AM232" s="543">
        <v>2</v>
      </c>
      <c r="AN232" s="561" t="s">
        <v>1334</v>
      </c>
      <c r="AO232" s="556">
        <f>IF(U232="","",I232^(2/3)*Y232^3/U232)</f>
        <v>103.79184240236935</v>
      </c>
      <c r="AP232" s="560">
        <f>IF(U232="","",0.61*I232*Y232^3/(J232*U232))</f>
        <v>2.3813547274579232</v>
      </c>
      <c r="AQ232" s="543"/>
      <c r="AR232" s="562" t="s">
        <v>1331</v>
      </c>
      <c r="AV232" s="349"/>
      <c r="AW232" s="349"/>
      <c r="AX232" s="349"/>
    </row>
    <row r="233" spans="1:50" s="352" customFormat="1" ht="15.75">
      <c r="A233" s="464" t="s">
        <v>1326</v>
      </c>
      <c r="B233" s="465" t="s">
        <v>1519</v>
      </c>
      <c r="C233" s="466">
        <v>6</v>
      </c>
      <c r="D233" s="467" t="s">
        <v>1346</v>
      </c>
      <c r="E233" s="468">
        <v>1983</v>
      </c>
      <c r="F233" s="466">
        <v>1986</v>
      </c>
      <c r="G233" s="469" t="s">
        <v>1520</v>
      </c>
      <c r="H233" s="470">
        <f>I233*2240/2204.6</f>
        <v>274.33548035924883</v>
      </c>
      <c r="I233" s="471">
        <v>270</v>
      </c>
      <c r="J233" s="472">
        <f t="shared" si="60"/>
        <v>164.36808000000002</v>
      </c>
      <c r="K233" s="472">
        <f>IF(M233="",#REF!,M233)</f>
        <v>50.1</v>
      </c>
      <c r="L233" s="472">
        <v>50.14020970495001</v>
      </c>
      <c r="M233" s="472">
        <v>50.1</v>
      </c>
      <c r="N233" s="472">
        <f t="shared" si="57"/>
        <v>23.949840000000002</v>
      </c>
      <c r="O233" s="472">
        <v>7.3</v>
      </c>
      <c r="P233" s="472">
        <f t="shared" si="57"/>
        <v>5.9054400000000005</v>
      </c>
      <c r="Q233" s="473">
        <v>1.8</v>
      </c>
      <c r="R233" s="474">
        <f t="shared" si="58"/>
        <v>6.8630136986301373</v>
      </c>
      <c r="S233" s="475">
        <f t="shared" si="59"/>
        <v>27.833333333333336</v>
      </c>
      <c r="T233" s="466">
        <v>56</v>
      </c>
      <c r="U233" s="476">
        <f t="shared" si="71"/>
        <v>6820</v>
      </c>
      <c r="V233" s="476">
        <v>6820</v>
      </c>
      <c r="W233" s="476">
        <v>6820</v>
      </c>
      <c r="X233" s="477"/>
      <c r="Y233" s="478">
        <v>22</v>
      </c>
      <c r="Z233" s="479"/>
      <c r="AA233" s="480">
        <f t="shared" si="69"/>
        <v>1.4237022341151575</v>
      </c>
      <c r="AB233" s="481">
        <f t="shared" si="61"/>
        <v>2.0269280514244907</v>
      </c>
      <c r="AC233" s="481">
        <f t="shared" si="62"/>
        <v>0.51035984116242639</v>
      </c>
      <c r="AD233" s="481">
        <f t="shared" si="63"/>
        <v>0.26046716747133708</v>
      </c>
      <c r="AE233" s="481">
        <f t="shared" si="64"/>
        <v>60.801083370252634</v>
      </c>
      <c r="AF233" s="482">
        <f t="shared" si="65"/>
        <v>0.87096774193548387</v>
      </c>
      <c r="AG233" s="479">
        <v>2500</v>
      </c>
      <c r="AH233" s="468">
        <v>15</v>
      </c>
      <c r="AI233" s="468"/>
      <c r="AJ233" s="468"/>
      <c r="AK233" s="468">
        <v>2</v>
      </c>
      <c r="AL233" s="465"/>
      <c r="AM233" s="465"/>
      <c r="AN233" s="483"/>
      <c r="AO233" s="478">
        <f t="shared" si="66"/>
        <v>65.221809545862143</v>
      </c>
      <c r="AP233" s="482">
        <f t="shared" si="67"/>
        <v>1.5644431457070753</v>
      </c>
      <c r="AQ233" s="465"/>
      <c r="AR233" s="484" t="s">
        <v>1140</v>
      </c>
      <c r="AV233" s="349"/>
      <c r="AW233" s="349"/>
      <c r="AX233" s="349"/>
    </row>
    <row r="234" spans="1:50" s="352" customFormat="1" ht="15.75">
      <c r="A234" s="442" t="s">
        <v>1326</v>
      </c>
      <c r="B234" s="443" t="s">
        <v>1468</v>
      </c>
      <c r="C234" s="444">
        <v>2</v>
      </c>
      <c r="D234" s="445" t="s">
        <v>1500</v>
      </c>
      <c r="E234" s="446">
        <v>1974</v>
      </c>
      <c r="F234" s="444" t="s">
        <v>567</v>
      </c>
      <c r="G234" s="447"/>
      <c r="H234" s="448">
        <f>I234*2240/2204.6</f>
        <v>283.47999637122382</v>
      </c>
      <c r="I234" s="449">
        <v>279</v>
      </c>
      <c r="J234" s="450">
        <f t="shared" si="60"/>
        <v>144.3552</v>
      </c>
      <c r="K234" s="450">
        <f>IF(M234="",L234,M234)</f>
        <v>44</v>
      </c>
      <c r="L234" s="450"/>
      <c r="M234" s="450">
        <v>44</v>
      </c>
      <c r="N234" s="450">
        <f t="shared" si="57"/>
        <v>24.277920000000002</v>
      </c>
      <c r="O234" s="450">
        <v>7.4</v>
      </c>
      <c r="P234" s="450">
        <f t="shared" si="57"/>
        <v>4.9212000000000007</v>
      </c>
      <c r="Q234" s="451">
        <v>1.5</v>
      </c>
      <c r="R234" s="452">
        <f t="shared" si="58"/>
        <v>5.9459459459459456</v>
      </c>
      <c r="S234" s="453">
        <f t="shared" si="59"/>
        <v>29.333333333333329</v>
      </c>
      <c r="T234" s="444">
        <v>32</v>
      </c>
      <c r="U234" s="454">
        <f t="shared" si="71"/>
        <v>4050</v>
      </c>
      <c r="V234" s="454">
        <v>4050</v>
      </c>
      <c r="W234" s="454"/>
      <c r="X234" s="455"/>
      <c r="Y234" s="456">
        <v>27.5</v>
      </c>
      <c r="Z234" s="457"/>
      <c r="AA234" s="458">
        <f t="shared" si="69"/>
        <v>1.7699287060588778</v>
      </c>
      <c r="AB234" s="459">
        <f t="shared" si="61"/>
        <v>3.1326476245312533</v>
      </c>
      <c r="AC234" s="459">
        <f t="shared" si="62"/>
        <v>0.68073649042809092</v>
      </c>
      <c r="AD234" s="459">
        <f t="shared" si="63"/>
        <v>0.46340216940035434</v>
      </c>
      <c r="AE234" s="459">
        <f t="shared" si="64"/>
        <v>92.748502216103887</v>
      </c>
      <c r="AF234" s="460">
        <f t="shared" si="65"/>
        <v>1.8944444444444444</v>
      </c>
      <c r="AG234" s="446"/>
      <c r="AH234" s="446"/>
      <c r="AI234" s="446"/>
      <c r="AJ234" s="446"/>
      <c r="AK234" s="446"/>
      <c r="AL234" s="443"/>
      <c r="AM234" s="443"/>
      <c r="AN234" s="461"/>
      <c r="AO234" s="456">
        <f t="shared" si="66"/>
        <v>219.25315953489016</v>
      </c>
      <c r="AP234" s="460">
        <f t="shared" si="67"/>
        <v>6.0540313253542504</v>
      </c>
      <c r="AQ234" s="443"/>
      <c r="AR234" s="462" t="s">
        <v>1100</v>
      </c>
      <c r="AV234" s="349"/>
      <c r="AW234" s="349"/>
      <c r="AX234" s="349"/>
    </row>
    <row r="235" spans="1:50" s="352" customFormat="1" ht="15.75">
      <c r="A235" s="442" t="s">
        <v>1326</v>
      </c>
      <c r="B235" s="443" t="s">
        <v>1521</v>
      </c>
      <c r="C235" s="444">
        <v>8</v>
      </c>
      <c r="D235" s="445" t="s">
        <v>1389</v>
      </c>
      <c r="E235" s="446">
        <v>1969</v>
      </c>
      <c r="F235" s="444">
        <v>1973</v>
      </c>
      <c r="G235" s="447"/>
      <c r="H235" s="448">
        <f>I235*2240/2204.6</f>
        <v>297.19677038918627</v>
      </c>
      <c r="I235" s="449">
        <v>292.5</v>
      </c>
      <c r="J235" s="450">
        <f t="shared" si="60"/>
        <v>144.3552</v>
      </c>
      <c r="K235" s="450">
        <f>IF(M235="",L235,M235)</f>
        <v>44</v>
      </c>
      <c r="L235" s="450"/>
      <c r="M235" s="450">
        <v>44</v>
      </c>
      <c r="N235" s="450">
        <f t="shared" si="57"/>
        <v>25.262160000000002</v>
      </c>
      <c r="O235" s="450">
        <v>7.7</v>
      </c>
      <c r="P235" s="450">
        <f t="shared" si="57"/>
        <v>7.2177600000000011</v>
      </c>
      <c r="Q235" s="451">
        <v>2.2000000000000002</v>
      </c>
      <c r="R235" s="452">
        <f t="shared" si="58"/>
        <v>5.7142857142857135</v>
      </c>
      <c r="S235" s="453">
        <f t="shared" si="59"/>
        <v>19.999999999999996</v>
      </c>
      <c r="T235" s="444">
        <v>33</v>
      </c>
      <c r="U235" s="454">
        <f t="shared" si="71"/>
        <v>3750</v>
      </c>
      <c r="V235" s="454">
        <v>3750</v>
      </c>
      <c r="W235" s="454"/>
      <c r="X235" s="455"/>
      <c r="Y235" s="456">
        <v>20</v>
      </c>
      <c r="Z235" s="457"/>
      <c r="AA235" s="458">
        <f t="shared" si="69"/>
        <v>1.2771232080101127</v>
      </c>
      <c r="AB235" s="459">
        <f t="shared" si="61"/>
        <v>1.6310436884380415</v>
      </c>
      <c r="AC235" s="459">
        <f t="shared" si="62"/>
        <v>0.49508108394770256</v>
      </c>
      <c r="AD235" s="459">
        <f t="shared" si="63"/>
        <v>0.24510527968283211</v>
      </c>
      <c r="AE235" s="459">
        <f t="shared" si="64"/>
        <v>97.236332968496001</v>
      </c>
      <c r="AF235" s="460">
        <f t="shared" si="65"/>
        <v>1.56</v>
      </c>
      <c r="AG235" s="446"/>
      <c r="AH235" s="446"/>
      <c r="AI235" s="446"/>
      <c r="AJ235" s="446"/>
      <c r="AK235" s="446"/>
      <c r="AL235" s="443"/>
      <c r="AM235" s="443"/>
      <c r="AN235" s="461"/>
      <c r="AO235" s="456">
        <f t="shared" si="66"/>
        <v>94.003198925389569</v>
      </c>
      <c r="AP235" s="460">
        <f t="shared" si="67"/>
        <v>2.6368291547516121</v>
      </c>
      <c r="AQ235" s="443"/>
      <c r="AR235" s="462" t="s">
        <v>1100</v>
      </c>
      <c r="AV235" s="349"/>
      <c r="AW235" s="349"/>
      <c r="AX235" s="349"/>
    </row>
    <row r="236" spans="1:50" s="352" customFormat="1" ht="15.75">
      <c r="A236" s="485" t="s">
        <v>1326</v>
      </c>
      <c r="B236" s="505" t="s">
        <v>1522</v>
      </c>
      <c r="C236" s="487"/>
      <c r="D236" s="488" t="s">
        <v>1357</v>
      </c>
      <c r="E236" s="489">
        <v>1992</v>
      </c>
      <c r="F236" s="487"/>
      <c r="G236" s="490" t="s">
        <v>1473</v>
      </c>
      <c r="H236" s="491">
        <f t="shared" ref="H236:H268" si="72">I236*2240/2204.6</f>
        <v>310.91354440714872</v>
      </c>
      <c r="I236" s="492">
        <v>306</v>
      </c>
      <c r="J236" s="493">
        <f t="shared" si="60"/>
        <v>150.9</v>
      </c>
      <c r="K236" s="493">
        <f>IF(M236="",L236,M236)</f>
        <v>45.994879297732261</v>
      </c>
      <c r="L236" s="493">
        <v>45.994879297732261</v>
      </c>
      <c r="M236" s="493"/>
      <c r="N236" s="493">
        <f t="shared" si="57"/>
        <v>24.6</v>
      </c>
      <c r="O236" s="493">
        <v>7.4981711777615221</v>
      </c>
      <c r="P236" s="493">
        <f t="shared" si="57"/>
        <v>6.2</v>
      </c>
      <c r="Q236" s="494">
        <v>1.8897829797610339</v>
      </c>
      <c r="R236" s="495">
        <f t="shared" si="58"/>
        <v>6.1341463414634143</v>
      </c>
      <c r="S236" s="496">
        <f t="shared" si="59"/>
        <v>24.338709677419356</v>
      </c>
      <c r="T236" s="487"/>
      <c r="U236" s="497">
        <f t="shared" si="71"/>
        <v>4025</v>
      </c>
      <c r="V236" s="497"/>
      <c r="W236" s="497">
        <v>4025</v>
      </c>
      <c r="X236" s="498"/>
      <c r="Y236" s="499">
        <v>23</v>
      </c>
      <c r="Z236" s="500" t="s">
        <v>1483</v>
      </c>
      <c r="AA236" s="501">
        <f t="shared" si="69"/>
        <v>1.4576884456091312</v>
      </c>
      <c r="AB236" s="502">
        <f t="shared" si="61"/>
        <v>2.1248556044623652</v>
      </c>
      <c r="AC236" s="502">
        <f t="shared" si="62"/>
        <v>0.55685967550039961</v>
      </c>
      <c r="AD236" s="502">
        <f t="shared" si="63"/>
        <v>0.31009269819841034</v>
      </c>
      <c r="AE236" s="502">
        <f t="shared" si="64"/>
        <v>89.054056574538677</v>
      </c>
      <c r="AF236" s="503">
        <f t="shared" si="65"/>
        <v>1.7485714285714287</v>
      </c>
      <c r="AG236" s="504">
        <v>2400</v>
      </c>
      <c r="AH236" s="504">
        <v>12</v>
      </c>
      <c r="AI236" s="504"/>
      <c r="AJ236" s="504"/>
      <c r="AK236" s="489">
        <v>2</v>
      </c>
      <c r="AL236" s="505"/>
      <c r="AM236" s="505"/>
      <c r="AN236" s="506"/>
      <c r="AO236" s="499">
        <f t="shared" si="66"/>
        <v>137.26671516447007</v>
      </c>
      <c r="AP236" s="503">
        <f t="shared" si="67"/>
        <v>3.7392081794944612</v>
      </c>
      <c r="AQ236" s="505"/>
      <c r="AR236" s="507" t="s">
        <v>1149</v>
      </c>
    </row>
    <row r="237" spans="1:50" s="352" customFormat="1" ht="15.75">
      <c r="A237" s="442" t="s">
        <v>1326</v>
      </c>
      <c r="B237" s="443" t="s">
        <v>1523</v>
      </c>
      <c r="C237" s="444">
        <v>10</v>
      </c>
      <c r="D237" s="445" t="s">
        <v>1443</v>
      </c>
      <c r="E237" s="446">
        <v>1980</v>
      </c>
      <c r="F237" s="444">
        <v>1982</v>
      </c>
      <c r="G237" s="447"/>
      <c r="H237" s="448">
        <f t="shared" si="72"/>
        <v>324.12228975777919</v>
      </c>
      <c r="I237" s="449">
        <v>319</v>
      </c>
      <c r="J237" s="450">
        <f t="shared" si="60"/>
        <v>145.66752</v>
      </c>
      <c r="K237" s="450">
        <f>IF(M237="",L237,M237)</f>
        <v>44.4</v>
      </c>
      <c r="L237" s="450"/>
      <c r="M237" s="450">
        <v>44.4</v>
      </c>
      <c r="N237" s="450">
        <f t="shared" si="57"/>
        <v>21.653279999999999</v>
      </c>
      <c r="O237" s="450">
        <v>6.6</v>
      </c>
      <c r="P237" s="450">
        <f t="shared" si="57"/>
        <v>8.202</v>
      </c>
      <c r="Q237" s="451">
        <v>2.5</v>
      </c>
      <c r="R237" s="452">
        <f t="shared" si="58"/>
        <v>6.7272727272727275</v>
      </c>
      <c r="S237" s="453">
        <f t="shared" si="59"/>
        <v>17.759999999999998</v>
      </c>
      <c r="T237" s="444">
        <v>25</v>
      </c>
      <c r="U237" s="454">
        <f t="shared" si="71"/>
        <v>4000</v>
      </c>
      <c r="V237" s="454">
        <v>4000</v>
      </c>
      <c r="W237" s="454"/>
      <c r="X237" s="455"/>
      <c r="Y237" s="456">
        <v>16</v>
      </c>
      <c r="Z237" s="457"/>
      <c r="AA237" s="458">
        <f t="shared" si="69"/>
        <v>1.0070367397715221</v>
      </c>
      <c r="AB237" s="459">
        <f t="shared" si="61"/>
        <v>1.0141229952496562</v>
      </c>
      <c r="AC237" s="459">
        <f t="shared" si="62"/>
        <v>0.39427675478831975</v>
      </c>
      <c r="AD237" s="459">
        <f t="shared" si="63"/>
        <v>0.15545415936640883</v>
      </c>
      <c r="AE237" s="459">
        <f t="shared" si="64"/>
        <v>103.20541959741951</v>
      </c>
      <c r="AF237" s="460">
        <f t="shared" si="65"/>
        <v>1.276</v>
      </c>
      <c r="AG237" s="446"/>
      <c r="AH237" s="446"/>
      <c r="AI237" s="446"/>
      <c r="AJ237" s="446"/>
      <c r="AK237" s="446"/>
      <c r="AL237" s="443"/>
      <c r="AM237" s="443"/>
      <c r="AN237" s="461"/>
      <c r="AO237" s="456">
        <f t="shared" si="66"/>
        <v>47.807248095881157</v>
      </c>
      <c r="AP237" s="460">
        <f t="shared" si="67"/>
        <v>1.3679107051455262</v>
      </c>
      <c r="AQ237" s="443"/>
      <c r="AR237" s="462" t="s">
        <v>1100</v>
      </c>
      <c r="AV237" s="349"/>
      <c r="AW237" s="349"/>
      <c r="AX237" s="349"/>
    </row>
    <row r="238" spans="1:50" s="352" customFormat="1" ht="15.75">
      <c r="A238" s="442" t="s">
        <v>1326</v>
      </c>
      <c r="B238" s="443" t="s">
        <v>1524</v>
      </c>
      <c r="C238" s="444">
        <v>1</v>
      </c>
      <c r="D238" s="445" t="s">
        <v>1525</v>
      </c>
      <c r="E238" s="446">
        <v>1983</v>
      </c>
      <c r="F238" s="444" t="s">
        <v>567</v>
      </c>
      <c r="G238" s="447"/>
      <c r="H238" s="448">
        <f t="shared" si="72"/>
        <v>335.29892043908194</v>
      </c>
      <c r="I238" s="449">
        <v>330</v>
      </c>
      <c r="J238" s="450">
        <f t="shared" si="60"/>
        <v>130.57584</v>
      </c>
      <c r="K238" s="450">
        <f>IF(M238="",L238,M238)</f>
        <v>39.799999999999997</v>
      </c>
      <c r="L238" s="450"/>
      <c r="M238" s="450">
        <v>39.799999999999997</v>
      </c>
      <c r="N238" s="450">
        <f t="shared" si="57"/>
        <v>22.965600000000002</v>
      </c>
      <c r="O238" s="450">
        <v>7</v>
      </c>
      <c r="P238" s="450">
        <f t="shared" si="57"/>
        <v>6.8896800000000002</v>
      </c>
      <c r="Q238" s="451">
        <v>2.1</v>
      </c>
      <c r="R238" s="452">
        <f t="shared" si="58"/>
        <v>5.6857142857142851</v>
      </c>
      <c r="S238" s="453">
        <f t="shared" si="59"/>
        <v>18.952380952380953</v>
      </c>
      <c r="T238" s="444">
        <v>52</v>
      </c>
      <c r="U238" s="454">
        <f t="shared" si="71"/>
        <v>2180</v>
      </c>
      <c r="V238" s="454">
        <v>2180</v>
      </c>
      <c r="W238" s="454"/>
      <c r="X238" s="455"/>
      <c r="Y238" s="456">
        <v>15</v>
      </c>
      <c r="Z238" s="457"/>
      <c r="AA238" s="458">
        <f t="shared" si="69"/>
        <v>0.93877759365255919</v>
      </c>
      <c r="AB238" s="459">
        <f t="shared" si="61"/>
        <v>0.88130337034408956</v>
      </c>
      <c r="AC238" s="459">
        <f t="shared" si="62"/>
        <v>0.39041131744314328</v>
      </c>
      <c r="AD238" s="459">
        <f t="shared" si="63"/>
        <v>0.1524209967876908</v>
      </c>
      <c r="AE238" s="459">
        <f t="shared" si="64"/>
        <v>148.22636377603743</v>
      </c>
      <c r="AF238" s="460">
        <f t="shared" si="65"/>
        <v>2.2706422018348622</v>
      </c>
      <c r="AG238" s="446"/>
      <c r="AH238" s="446"/>
      <c r="AI238" s="446"/>
      <c r="AJ238" s="446"/>
      <c r="AK238" s="446"/>
      <c r="AL238" s="443"/>
      <c r="AM238" s="443"/>
      <c r="AN238" s="461"/>
      <c r="AO238" s="456">
        <f t="shared" si="66"/>
        <v>73.930999362540788</v>
      </c>
      <c r="AP238" s="460">
        <f t="shared" si="67"/>
        <v>2.3867021816733849</v>
      </c>
      <c r="AQ238" s="443"/>
      <c r="AR238" s="462" t="s">
        <v>1100</v>
      </c>
      <c r="AV238" s="349"/>
      <c r="AW238" s="349"/>
      <c r="AX238" s="349"/>
    </row>
    <row r="239" spans="1:50" s="352" customFormat="1" ht="15.75">
      <c r="A239" s="521" t="s">
        <v>1326</v>
      </c>
      <c r="B239" s="522" t="s">
        <v>1526</v>
      </c>
      <c r="C239" s="523">
        <v>13</v>
      </c>
      <c r="D239" s="524" t="s">
        <v>1377</v>
      </c>
      <c r="E239" s="525">
        <v>1993</v>
      </c>
      <c r="F239" s="523">
        <v>2000</v>
      </c>
      <c r="G239" s="526" t="s">
        <v>1461</v>
      </c>
      <c r="H239" s="527">
        <f t="shared" si="72"/>
        <v>339.36314977773748</v>
      </c>
      <c r="I239" s="528">
        <v>334</v>
      </c>
      <c r="J239" s="529">
        <f t="shared" si="60"/>
        <v>170.27351999999999</v>
      </c>
      <c r="K239" s="529">
        <f>IF(M239="",#REF!,M239)</f>
        <v>51.9</v>
      </c>
      <c r="L239" s="529">
        <v>54.559863447939527</v>
      </c>
      <c r="M239" s="529">
        <v>51.9</v>
      </c>
      <c r="N239" s="529">
        <f t="shared" si="57"/>
        <v>25.918320000000001</v>
      </c>
      <c r="O239" s="529">
        <v>7.9</v>
      </c>
      <c r="P239" s="529">
        <f t="shared" si="57"/>
        <v>7.87392</v>
      </c>
      <c r="Q239" s="530">
        <v>2.4</v>
      </c>
      <c r="R239" s="531">
        <f t="shared" si="58"/>
        <v>6.5696202531645564</v>
      </c>
      <c r="S239" s="532">
        <f t="shared" si="59"/>
        <v>21.625</v>
      </c>
      <c r="T239" s="523">
        <v>28</v>
      </c>
      <c r="U239" s="533">
        <f t="shared" si="71"/>
        <v>13400</v>
      </c>
      <c r="V239" s="533">
        <v>13400</v>
      </c>
      <c r="W239" s="533">
        <v>13400</v>
      </c>
      <c r="X239" s="534">
        <v>10000</v>
      </c>
      <c r="Y239" s="535">
        <v>35</v>
      </c>
      <c r="Z239" s="536"/>
      <c r="AA239" s="537">
        <f t="shared" si="69"/>
        <v>2.1860868556917641</v>
      </c>
      <c r="AB239" s="538">
        <f t="shared" si="61"/>
        <v>4.7789757406283035</v>
      </c>
      <c r="AC239" s="538">
        <f t="shared" si="62"/>
        <v>0.79773205063482977</v>
      </c>
      <c r="AD239" s="538">
        <f t="shared" si="63"/>
        <v>0.63637642461005062</v>
      </c>
      <c r="AE239" s="538">
        <f t="shared" si="64"/>
        <v>67.655814126111181</v>
      </c>
      <c r="AF239" s="539">
        <f t="shared" si="65"/>
        <v>0.87238805970149258</v>
      </c>
      <c r="AG239" s="536">
        <v>2500</v>
      </c>
      <c r="AH239" s="536"/>
      <c r="AI239" s="536"/>
      <c r="AJ239" s="536"/>
      <c r="AK239" s="525">
        <v>4</v>
      </c>
      <c r="AL239" s="522" t="s">
        <v>1080</v>
      </c>
      <c r="AM239" s="522">
        <v>4</v>
      </c>
      <c r="AN239" s="540"/>
      <c r="AO239" s="535">
        <f t="shared" si="66"/>
        <v>154.02704345497509</v>
      </c>
      <c r="AP239" s="539">
        <f t="shared" si="67"/>
        <v>3.8284988623712031</v>
      </c>
      <c r="AQ239" s="522"/>
      <c r="AR239" s="541" t="s">
        <v>1304</v>
      </c>
      <c r="AV239" s="349"/>
      <c r="AW239" s="349"/>
      <c r="AX239" s="349"/>
    </row>
    <row r="240" spans="1:50" s="352" customFormat="1" ht="15.75">
      <c r="A240" s="442" t="s">
        <v>1326</v>
      </c>
      <c r="B240" s="443" t="s">
        <v>1527</v>
      </c>
      <c r="C240" s="444">
        <v>1</v>
      </c>
      <c r="D240" s="445" t="s">
        <v>1446</v>
      </c>
      <c r="E240" s="446">
        <v>1994</v>
      </c>
      <c r="F240" s="444" t="s">
        <v>567</v>
      </c>
      <c r="G240" s="447"/>
      <c r="H240" s="448">
        <f t="shared" si="72"/>
        <v>380.00544316429284</v>
      </c>
      <c r="I240" s="449">
        <v>374</v>
      </c>
      <c r="J240" s="450">
        <f t="shared" si="60"/>
        <v>177.16320000000002</v>
      </c>
      <c r="K240" s="450">
        <f>IF(M240="",L240,M240)</f>
        <v>54</v>
      </c>
      <c r="L240" s="450"/>
      <c r="M240" s="450">
        <v>54</v>
      </c>
      <c r="N240" s="450">
        <f t="shared" si="57"/>
        <v>32.808</v>
      </c>
      <c r="O240" s="450">
        <v>10</v>
      </c>
      <c r="P240" s="450">
        <f t="shared" si="57"/>
        <v>9.1862399999999997</v>
      </c>
      <c r="Q240" s="451">
        <v>2.8</v>
      </c>
      <c r="R240" s="452">
        <f t="shared" si="58"/>
        <v>5.4</v>
      </c>
      <c r="S240" s="453">
        <f t="shared" si="59"/>
        <v>19.285714285714288</v>
      </c>
      <c r="T240" s="444">
        <v>21</v>
      </c>
      <c r="U240" s="454">
        <f t="shared" si="71"/>
        <v>5712</v>
      </c>
      <c r="V240" s="454">
        <v>5712</v>
      </c>
      <c r="W240" s="454"/>
      <c r="X240" s="455"/>
      <c r="Y240" s="456">
        <v>23</v>
      </c>
      <c r="Z240" s="457"/>
      <c r="AA240" s="458">
        <f t="shared" si="69"/>
        <v>1.4097421406623807</v>
      </c>
      <c r="AB240" s="459">
        <f t="shared" si="61"/>
        <v>1.9873729031593514</v>
      </c>
      <c r="AC240" s="459">
        <f t="shared" si="62"/>
        <v>0.51392960003443622</v>
      </c>
      <c r="AD240" s="459">
        <f t="shared" si="63"/>
        <v>0.26412363379155557</v>
      </c>
      <c r="AE240" s="459">
        <f t="shared" si="64"/>
        <v>67.259100342089781</v>
      </c>
      <c r="AF240" s="460">
        <f t="shared" si="65"/>
        <v>1.5059523809523809</v>
      </c>
      <c r="AG240" s="446"/>
      <c r="AH240" s="446"/>
      <c r="AI240" s="446"/>
      <c r="AJ240" s="446"/>
      <c r="AK240" s="446"/>
      <c r="AL240" s="443"/>
      <c r="AM240" s="443"/>
      <c r="AN240" s="461"/>
      <c r="AO240" s="456">
        <f t="shared" si="66"/>
        <v>110.57145999324966</v>
      </c>
      <c r="AP240" s="460">
        <f t="shared" si="67"/>
        <v>2.7429837224069318</v>
      </c>
      <c r="AQ240" s="443"/>
      <c r="AR240" s="462" t="s">
        <v>1100</v>
      </c>
      <c r="AV240" s="349"/>
      <c r="AW240" s="349"/>
      <c r="AX240" s="349"/>
    </row>
    <row r="241" spans="1:50" s="352" customFormat="1" ht="15.75">
      <c r="A241" s="442" t="s">
        <v>1326</v>
      </c>
      <c r="B241" s="443" t="s">
        <v>1528</v>
      </c>
      <c r="C241" s="444">
        <v>2</v>
      </c>
      <c r="D241" s="445" t="s">
        <v>1416</v>
      </c>
      <c r="E241" s="446">
        <v>2000</v>
      </c>
      <c r="F241" s="444"/>
      <c r="G241" s="447"/>
      <c r="H241" s="448">
        <f t="shared" si="72"/>
        <v>381.02150049895675</v>
      </c>
      <c r="I241" s="449">
        <v>375</v>
      </c>
      <c r="J241" s="450">
        <f t="shared" si="60"/>
        <v>198.81648000000001</v>
      </c>
      <c r="K241" s="450">
        <f>IF(M241="",L241,M241)</f>
        <v>60.6</v>
      </c>
      <c r="L241" s="450"/>
      <c r="M241" s="450">
        <v>60.6</v>
      </c>
      <c r="N241" s="450">
        <f t="shared" si="57"/>
        <v>29.199120000000004</v>
      </c>
      <c r="O241" s="450">
        <v>8.9</v>
      </c>
      <c r="P241" s="450">
        <f t="shared" si="57"/>
        <v>8.5300799999999999</v>
      </c>
      <c r="Q241" s="451">
        <v>2.6</v>
      </c>
      <c r="R241" s="452">
        <f t="shared" si="58"/>
        <v>6.8089887640449431</v>
      </c>
      <c r="S241" s="453">
        <f t="shared" si="59"/>
        <v>23.30769230769231</v>
      </c>
      <c r="T241" s="444">
        <v>62</v>
      </c>
      <c r="U241" s="454">
        <f t="shared" si="71"/>
        <v>6600</v>
      </c>
      <c r="V241" s="454">
        <v>6600</v>
      </c>
      <c r="W241" s="454"/>
      <c r="X241" s="455"/>
      <c r="Y241" s="456">
        <v>24</v>
      </c>
      <c r="Z241" s="457"/>
      <c r="AA241" s="458">
        <f t="shared" si="69"/>
        <v>1.4703807561331417</v>
      </c>
      <c r="AB241" s="459">
        <f t="shared" si="61"/>
        <v>2.1620195680066696</v>
      </c>
      <c r="AC241" s="459">
        <f t="shared" si="62"/>
        <v>0.50622968150896097</v>
      </c>
      <c r="AD241" s="459">
        <f t="shared" si="63"/>
        <v>0.25626849044066408</v>
      </c>
      <c r="AE241" s="459">
        <f t="shared" si="64"/>
        <v>47.717109314560048</v>
      </c>
      <c r="AF241" s="460">
        <f t="shared" si="65"/>
        <v>1.3636363636363635</v>
      </c>
      <c r="AG241" s="457"/>
      <c r="AH241" s="457"/>
      <c r="AI241" s="457"/>
      <c r="AJ241" s="457"/>
      <c r="AK241" s="446"/>
      <c r="AL241" s="443"/>
      <c r="AM241" s="443"/>
      <c r="AN241" s="461"/>
      <c r="AO241" s="456">
        <f t="shared" si="66"/>
        <v>108.92075291617239</v>
      </c>
      <c r="AP241" s="460">
        <f t="shared" si="67"/>
        <v>2.4098971711362793</v>
      </c>
      <c r="AQ241" s="443"/>
      <c r="AR241" s="462" t="s">
        <v>1100</v>
      </c>
      <c r="AV241" s="349"/>
      <c r="AW241" s="349"/>
      <c r="AX241" s="349"/>
    </row>
    <row r="242" spans="1:50" s="352" customFormat="1" ht="15.75">
      <c r="A242" s="442" t="s">
        <v>1326</v>
      </c>
      <c r="B242" s="443" t="s">
        <v>1529</v>
      </c>
      <c r="C242" s="444">
        <v>1</v>
      </c>
      <c r="D242" s="445" t="s">
        <v>1419</v>
      </c>
      <c r="E242" s="446">
        <v>1985</v>
      </c>
      <c r="F242" s="444"/>
      <c r="G242" s="447"/>
      <c r="H242" s="448">
        <f t="shared" si="72"/>
        <v>381.02150049895675</v>
      </c>
      <c r="I242" s="449">
        <v>375</v>
      </c>
      <c r="J242" s="450">
        <f t="shared" si="60"/>
        <v>192.91104000000001</v>
      </c>
      <c r="K242" s="450">
        <f>IF(M242="",L242,M242)</f>
        <v>58.8</v>
      </c>
      <c r="L242" s="450"/>
      <c r="M242" s="450">
        <v>58.8</v>
      </c>
      <c r="N242" s="450">
        <f t="shared" si="57"/>
        <v>23.621760000000002</v>
      </c>
      <c r="O242" s="450">
        <v>7.2</v>
      </c>
      <c r="P242" s="450">
        <f t="shared" si="57"/>
        <v>7.2177600000000011</v>
      </c>
      <c r="Q242" s="451">
        <v>2.2000000000000002</v>
      </c>
      <c r="R242" s="452">
        <f t="shared" si="58"/>
        <v>8.1666666666666661</v>
      </c>
      <c r="S242" s="453">
        <f t="shared" si="59"/>
        <v>26.727272727272727</v>
      </c>
      <c r="T242" s="444">
        <v>70</v>
      </c>
      <c r="U242" s="454">
        <f t="shared" si="71"/>
        <v>4000</v>
      </c>
      <c r="V242" s="454">
        <v>4000</v>
      </c>
      <c r="W242" s="454"/>
      <c r="X242" s="455"/>
      <c r="Y242" s="456">
        <v>30.5</v>
      </c>
      <c r="Z242" s="457"/>
      <c r="AA242" s="458">
        <f t="shared" si="69"/>
        <v>1.8686088775858676</v>
      </c>
      <c r="AB242" s="459">
        <f t="shared" si="61"/>
        <v>3.491699137392716</v>
      </c>
      <c r="AC242" s="459">
        <f t="shared" si="62"/>
        <v>0.65310626833139374</v>
      </c>
      <c r="AD242" s="459">
        <f t="shared" si="63"/>
        <v>0.42654779773375845</v>
      </c>
      <c r="AE242" s="459">
        <f t="shared" si="64"/>
        <v>52.234810159776671</v>
      </c>
      <c r="AF242" s="460">
        <f t="shared" si="65"/>
        <v>2.859375</v>
      </c>
      <c r="AG242" s="457"/>
      <c r="AH242" s="457"/>
      <c r="AI242" s="457"/>
      <c r="AJ242" s="457"/>
      <c r="AK242" s="446"/>
      <c r="AL242" s="443"/>
      <c r="AM242" s="443"/>
      <c r="AN242" s="461"/>
      <c r="AO242" s="456">
        <f t="shared" si="66"/>
        <v>368.85898925011259</v>
      </c>
      <c r="AP242" s="460">
        <f t="shared" si="67"/>
        <v>8.4109208689533776</v>
      </c>
      <c r="AQ242" s="443"/>
      <c r="AR242" s="462" t="s">
        <v>1100</v>
      </c>
      <c r="AV242" s="349"/>
      <c r="AW242" s="349"/>
      <c r="AX242" s="349"/>
    </row>
    <row r="243" spans="1:50" s="352" customFormat="1" ht="15.75">
      <c r="A243" s="442" t="s">
        <v>1326</v>
      </c>
      <c r="B243" s="443" t="s">
        <v>1530</v>
      </c>
      <c r="C243" s="444">
        <v>6</v>
      </c>
      <c r="D243" s="445" t="s">
        <v>1531</v>
      </c>
      <c r="E243" s="446">
        <v>1977</v>
      </c>
      <c r="F243" s="444">
        <v>1978</v>
      </c>
      <c r="G243" s="447"/>
      <c r="H243" s="448">
        <f t="shared" si="72"/>
        <v>381.02150049895675</v>
      </c>
      <c r="I243" s="449">
        <v>375</v>
      </c>
      <c r="J243" s="450">
        <f t="shared" si="60"/>
        <v>192.91104000000001</v>
      </c>
      <c r="K243" s="450">
        <f>IF(M243="",L243,M243)</f>
        <v>58.8</v>
      </c>
      <c r="L243" s="450"/>
      <c r="M243" s="450">
        <v>58.8</v>
      </c>
      <c r="N243" s="450">
        <f t="shared" si="57"/>
        <v>23.621760000000002</v>
      </c>
      <c r="O243" s="450">
        <v>7.2</v>
      </c>
      <c r="P243" s="450">
        <f t="shared" si="57"/>
        <v>6.5616000000000003</v>
      </c>
      <c r="Q243" s="451">
        <v>2</v>
      </c>
      <c r="R243" s="452">
        <f t="shared" si="58"/>
        <v>8.1666666666666661</v>
      </c>
      <c r="S243" s="453">
        <f t="shared" si="59"/>
        <v>29.400000000000002</v>
      </c>
      <c r="T243" s="444">
        <v>69</v>
      </c>
      <c r="U243" s="454">
        <f t="shared" si="71"/>
        <v>4000</v>
      </c>
      <c r="V243" s="454">
        <v>4000</v>
      </c>
      <c r="W243" s="454"/>
      <c r="X243" s="455"/>
      <c r="Y243" s="456">
        <v>30.5</v>
      </c>
      <c r="Z243" s="457"/>
      <c r="AA243" s="458">
        <f t="shared" si="69"/>
        <v>1.8686088775858676</v>
      </c>
      <c r="AB243" s="459">
        <f t="shared" si="61"/>
        <v>3.491699137392716</v>
      </c>
      <c r="AC243" s="459">
        <f t="shared" si="62"/>
        <v>0.65310626833139374</v>
      </c>
      <c r="AD243" s="459">
        <f t="shared" si="63"/>
        <v>0.42654779773375845</v>
      </c>
      <c r="AE243" s="459">
        <f t="shared" si="64"/>
        <v>52.234810159776671</v>
      </c>
      <c r="AF243" s="460">
        <f t="shared" si="65"/>
        <v>2.859375</v>
      </c>
      <c r="AG243" s="446"/>
      <c r="AH243" s="446"/>
      <c r="AI243" s="446"/>
      <c r="AJ243" s="446"/>
      <c r="AK243" s="446"/>
      <c r="AL243" s="443"/>
      <c r="AM243" s="443"/>
      <c r="AN243" s="461"/>
      <c r="AO243" s="456">
        <f t="shared" si="66"/>
        <v>368.85898925011259</v>
      </c>
      <c r="AP243" s="460">
        <f t="shared" si="67"/>
        <v>8.4109208689533776</v>
      </c>
      <c r="AQ243" s="443"/>
      <c r="AR243" s="462" t="s">
        <v>1100</v>
      </c>
      <c r="AV243" s="349"/>
      <c r="AW243" s="349"/>
      <c r="AX243" s="349"/>
    </row>
    <row r="244" spans="1:50" s="352" customFormat="1" ht="15.75">
      <c r="A244" s="442" t="s">
        <v>1326</v>
      </c>
      <c r="B244" s="443" t="s">
        <v>1532</v>
      </c>
      <c r="C244" s="444">
        <v>2</v>
      </c>
      <c r="D244" s="445" t="s">
        <v>1533</v>
      </c>
      <c r="E244" s="446">
        <v>1976</v>
      </c>
      <c r="F244" s="444">
        <v>1977</v>
      </c>
      <c r="G244" s="447"/>
      <c r="H244" s="448">
        <f>I244*2240/2204.6</f>
        <v>381.02150049895675</v>
      </c>
      <c r="I244" s="449">
        <v>375</v>
      </c>
      <c r="J244" s="450">
        <f t="shared" si="60"/>
        <v>188.64600000000002</v>
      </c>
      <c r="K244" s="450">
        <f>IF(M244="",L244,M244)</f>
        <v>57.5</v>
      </c>
      <c r="L244" s="450"/>
      <c r="M244" s="450">
        <v>57.5</v>
      </c>
      <c r="N244" s="450">
        <f t="shared" si="57"/>
        <v>24.934080000000002</v>
      </c>
      <c r="O244" s="450">
        <v>7.6</v>
      </c>
      <c r="P244" s="450">
        <f t="shared" si="57"/>
        <v>6.8896800000000002</v>
      </c>
      <c r="Q244" s="451">
        <v>2.1</v>
      </c>
      <c r="R244" s="452">
        <f t="shared" si="58"/>
        <v>7.5657894736842106</v>
      </c>
      <c r="S244" s="453">
        <f t="shared" si="59"/>
        <v>27.380952380952383</v>
      </c>
      <c r="T244" s="444">
        <v>53</v>
      </c>
      <c r="U244" s="454">
        <f t="shared" si="71"/>
        <v>11040</v>
      </c>
      <c r="V244" s="454">
        <v>11040</v>
      </c>
      <c r="W244" s="454"/>
      <c r="X244" s="455"/>
      <c r="Y244" s="456">
        <v>28</v>
      </c>
      <c r="Z244" s="457"/>
      <c r="AA244" s="458">
        <f t="shared" si="69"/>
        <v>1.7154442154886655</v>
      </c>
      <c r="AB244" s="459">
        <f t="shared" si="61"/>
        <v>2.9427488564535231</v>
      </c>
      <c r="AC244" s="459">
        <f t="shared" si="62"/>
        <v>0.60631286685925267</v>
      </c>
      <c r="AD244" s="459">
        <f t="shared" si="63"/>
        <v>0.36761529251908587</v>
      </c>
      <c r="AE244" s="459">
        <f t="shared" si="64"/>
        <v>55.858396546106746</v>
      </c>
      <c r="AF244" s="460">
        <f t="shared" si="65"/>
        <v>0.95108695652173914</v>
      </c>
      <c r="AG244" s="446"/>
      <c r="AH244" s="446"/>
      <c r="AI244" s="446"/>
      <c r="AJ244" s="446"/>
      <c r="AK244" s="446"/>
      <c r="AL244" s="443"/>
      <c r="AM244" s="443"/>
      <c r="AN244" s="461"/>
      <c r="AO244" s="456">
        <f t="shared" si="66"/>
        <v>103.40126830533374</v>
      </c>
      <c r="AP244" s="460">
        <f t="shared" si="67"/>
        <v>2.4111183173083792</v>
      </c>
      <c r="AQ244" s="443"/>
      <c r="AR244" s="462" t="s">
        <v>1100</v>
      </c>
      <c r="AV244" s="349"/>
      <c r="AW244" s="349"/>
      <c r="AX244" s="349"/>
    </row>
    <row r="245" spans="1:50" s="352" customFormat="1" ht="15.75">
      <c r="A245" s="400" t="s">
        <v>1447</v>
      </c>
      <c r="B245" s="401" t="s">
        <v>1534</v>
      </c>
      <c r="C245" s="402"/>
      <c r="D245" s="403" t="s">
        <v>1516</v>
      </c>
      <c r="E245" s="404">
        <v>1996</v>
      </c>
      <c r="F245" s="402"/>
      <c r="G245" s="405"/>
      <c r="H245" s="406">
        <v>382</v>
      </c>
      <c r="I245" s="407">
        <f>H245*2204.6/2240</f>
        <v>375.9630357142857</v>
      </c>
      <c r="J245" s="408">
        <f t="shared" si="60"/>
        <v>184.70903999999999</v>
      </c>
      <c r="K245" s="408">
        <v>56.3</v>
      </c>
      <c r="L245" s="408"/>
      <c r="M245" s="408"/>
      <c r="N245" s="408">
        <f t="shared" si="57"/>
        <v>29.527200000000001</v>
      </c>
      <c r="O245" s="408">
        <v>9</v>
      </c>
      <c r="P245" s="408">
        <f t="shared" si="57"/>
        <v>8.202</v>
      </c>
      <c r="Q245" s="409">
        <v>2.5</v>
      </c>
      <c r="R245" s="410">
        <f t="shared" si="58"/>
        <v>6.2555555555555546</v>
      </c>
      <c r="S245" s="411">
        <f t="shared" si="59"/>
        <v>22.52</v>
      </c>
      <c r="T245" s="402"/>
      <c r="U245" s="412">
        <f>X245/0.7457</f>
        <v>18506.101649456887</v>
      </c>
      <c r="V245" s="412"/>
      <c r="W245" s="412"/>
      <c r="X245" s="413">
        <v>13800</v>
      </c>
      <c r="Y245" s="414">
        <v>35</v>
      </c>
      <c r="Z245" s="415"/>
      <c r="AA245" s="416">
        <f t="shared" si="69"/>
        <v>2.1433888450344658</v>
      </c>
      <c r="AB245" s="417">
        <f t="shared" si="61"/>
        <v>4.5941157410181814</v>
      </c>
      <c r="AC245" s="417">
        <f t="shared" si="62"/>
        <v>0.76592548920474512</v>
      </c>
      <c r="AD245" s="417">
        <f t="shared" si="63"/>
        <v>0.58664185501352817</v>
      </c>
      <c r="AE245" s="417">
        <f t="shared" si="64"/>
        <v>59.659649047520851</v>
      </c>
      <c r="AF245" s="418">
        <f t="shared" si="65"/>
        <v>0.71104690221920286</v>
      </c>
      <c r="AG245" s="415">
        <v>1800</v>
      </c>
      <c r="AH245" s="415"/>
      <c r="AI245" s="415"/>
      <c r="AJ245" s="415"/>
      <c r="AK245" s="404">
        <v>4</v>
      </c>
      <c r="AL245" s="401" t="s">
        <v>1080</v>
      </c>
      <c r="AM245" s="401">
        <v>4</v>
      </c>
      <c r="AN245" s="419"/>
      <c r="AO245" s="414">
        <f t="shared" si="66"/>
        <v>120.68481290980839</v>
      </c>
      <c r="AP245" s="418">
        <f t="shared" si="67"/>
        <v>2.8765771165466472</v>
      </c>
      <c r="AQ245" s="401"/>
      <c r="AR245" s="420" t="s">
        <v>1081</v>
      </c>
      <c r="AV245" s="349"/>
      <c r="AW245" s="349"/>
      <c r="AX245" s="349"/>
    </row>
    <row r="246" spans="1:50" s="352" customFormat="1" ht="15.75">
      <c r="A246" s="442" t="s">
        <v>1326</v>
      </c>
      <c r="B246" s="443" t="s">
        <v>1535</v>
      </c>
      <c r="C246" s="444">
        <v>4</v>
      </c>
      <c r="D246" s="445" t="s">
        <v>1536</v>
      </c>
      <c r="E246" s="446">
        <v>1996</v>
      </c>
      <c r="F246" s="444">
        <v>1997</v>
      </c>
      <c r="G246" s="447"/>
      <c r="H246" s="448">
        <f t="shared" si="72"/>
        <v>382.03755783362061</v>
      </c>
      <c r="I246" s="449">
        <v>376</v>
      </c>
      <c r="J246" s="450">
        <f t="shared" si="60"/>
        <v>184.70903999999999</v>
      </c>
      <c r="K246" s="450">
        <f>IF(M246="",L246,M246)</f>
        <v>56.3</v>
      </c>
      <c r="L246" s="450"/>
      <c r="M246" s="450">
        <v>56.3</v>
      </c>
      <c r="N246" s="450">
        <f t="shared" si="57"/>
        <v>29.527200000000001</v>
      </c>
      <c r="O246" s="450">
        <v>9</v>
      </c>
      <c r="P246" s="450">
        <f t="shared" si="57"/>
        <v>8.202</v>
      </c>
      <c r="Q246" s="451">
        <v>2.5</v>
      </c>
      <c r="R246" s="452">
        <f t="shared" si="58"/>
        <v>6.2555555555555546</v>
      </c>
      <c r="S246" s="453">
        <f t="shared" si="59"/>
        <v>22.52</v>
      </c>
      <c r="T246" s="444">
        <v>35</v>
      </c>
      <c r="U246" s="454">
        <f>IF(V246="",W246,V246)</f>
        <v>18740</v>
      </c>
      <c r="V246" s="454">
        <v>18740</v>
      </c>
      <c r="W246" s="454"/>
      <c r="X246" s="455"/>
      <c r="Y246" s="456">
        <v>35</v>
      </c>
      <c r="Z246" s="457"/>
      <c r="AA246" s="458">
        <f t="shared" si="69"/>
        <v>2.1433537244301895</v>
      </c>
      <c r="AB246" s="459">
        <f t="shared" si="61"/>
        <v>4.5939651880287649</v>
      </c>
      <c r="AC246" s="459">
        <f t="shared" si="62"/>
        <v>0.76592548920474512</v>
      </c>
      <c r="AD246" s="459">
        <f t="shared" si="63"/>
        <v>0.58664185501352817</v>
      </c>
      <c r="AE246" s="459">
        <f t="shared" si="64"/>
        <v>59.665514720748057</v>
      </c>
      <c r="AF246" s="460">
        <f t="shared" si="65"/>
        <v>0.70224119530416218</v>
      </c>
      <c r="AG246" s="564">
        <v>1800</v>
      </c>
      <c r="AH246" s="564">
        <v>12</v>
      </c>
      <c r="AI246" s="446"/>
      <c r="AJ246" s="446"/>
      <c r="AK246" s="446">
        <v>4</v>
      </c>
      <c r="AL246" s="443" t="s">
        <v>1080</v>
      </c>
      <c r="AM246" s="443">
        <v>4</v>
      </c>
      <c r="AN246" s="461"/>
      <c r="AO246" s="456">
        <f t="shared" si="66"/>
        <v>119.18632889819638</v>
      </c>
      <c r="AP246" s="460">
        <f t="shared" si="67"/>
        <v>2.840953172573661</v>
      </c>
      <c r="AQ246" s="443"/>
      <c r="AR246" s="462" t="s">
        <v>1100</v>
      </c>
      <c r="AV246" s="349"/>
      <c r="AW246" s="349"/>
      <c r="AX246" s="349"/>
    </row>
    <row r="247" spans="1:50" s="352" customFormat="1" ht="15.75">
      <c r="A247" s="485" t="s">
        <v>1326</v>
      </c>
      <c r="B247" s="505" t="s">
        <v>1537</v>
      </c>
      <c r="C247" s="487"/>
      <c r="D247" s="488" t="s">
        <v>1506</v>
      </c>
      <c r="E247" s="489">
        <v>1980</v>
      </c>
      <c r="F247" s="487"/>
      <c r="G247" s="490" t="s">
        <v>1236</v>
      </c>
      <c r="H247" s="491">
        <f>I247*2240/2204.6</f>
        <v>386.10178717227615</v>
      </c>
      <c r="I247" s="492">
        <v>380</v>
      </c>
      <c r="J247" s="493">
        <f t="shared" si="60"/>
        <v>160.69999999999999</v>
      </c>
      <c r="K247" s="493">
        <f>IF(M247="",L247,M247)</f>
        <v>48.981955620580344</v>
      </c>
      <c r="L247" s="493">
        <v>48.981955620580344</v>
      </c>
      <c r="M247" s="493"/>
      <c r="N247" s="493">
        <f t="shared" si="57"/>
        <v>24.6</v>
      </c>
      <c r="O247" s="493">
        <v>7.4981711777615221</v>
      </c>
      <c r="P247" s="493">
        <f t="shared" si="57"/>
        <v>9.1999999999999993</v>
      </c>
      <c r="Q247" s="494">
        <v>2.8041940990002434</v>
      </c>
      <c r="R247" s="495">
        <f t="shared" si="58"/>
        <v>6.5325203252032509</v>
      </c>
      <c r="S247" s="496">
        <f t="shared" si="59"/>
        <v>17.467391304347828</v>
      </c>
      <c r="T247" s="487"/>
      <c r="U247" s="497">
        <f>IF(V247="",W247,V247)</f>
        <v>4340</v>
      </c>
      <c r="V247" s="497"/>
      <c r="W247" s="497">
        <v>4340</v>
      </c>
      <c r="X247" s="498"/>
      <c r="Y247" s="499">
        <v>20.6</v>
      </c>
      <c r="Z247" s="500" t="s">
        <v>1538</v>
      </c>
      <c r="AA247" s="501">
        <f t="shared" si="69"/>
        <v>1.2592938063436692</v>
      </c>
      <c r="AB247" s="502">
        <f t="shared" si="61"/>
        <v>1.5858208906955265</v>
      </c>
      <c r="AC247" s="502">
        <f t="shared" si="62"/>
        <v>0.48330560951909163</v>
      </c>
      <c r="AD247" s="502">
        <f t="shared" si="63"/>
        <v>0.23358431219262069</v>
      </c>
      <c r="AE247" s="502">
        <f t="shared" si="64"/>
        <v>91.56636340030883</v>
      </c>
      <c r="AF247" s="503">
        <f t="shared" si="65"/>
        <v>1.8036866359447006</v>
      </c>
      <c r="AG247" s="504">
        <v>4900</v>
      </c>
      <c r="AH247" s="504">
        <v>12</v>
      </c>
      <c r="AI247" s="504">
        <v>1500</v>
      </c>
      <c r="AJ247" s="504">
        <v>20</v>
      </c>
      <c r="AK247" s="489"/>
      <c r="AL247" s="505"/>
      <c r="AM247" s="505"/>
      <c r="AN247" s="506"/>
      <c r="AO247" s="499">
        <f t="shared" si="66"/>
        <v>105.67388220953448</v>
      </c>
      <c r="AP247" s="503">
        <f t="shared" si="67"/>
        <v>2.9054237778841996</v>
      </c>
      <c r="AQ247" s="505"/>
      <c r="AR247" s="507" t="s">
        <v>1149</v>
      </c>
      <c r="AV247" s="349"/>
      <c r="AW247" s="349"/>
      <c r="AX247" s="349"/>
    </row>
    <row r="248" spans="1:50" s="352" customFormat="1" ht="15.75">
      <c r="A248" s="442" t="s">
        <v>1326</v>
      </c>
      <c r="B248" s="443" t="s">
        <v>1539</v>
      </c>
      <c r="C248" s="444">
        <v>2</v>
      </c>
      <c r="D248" s="445" t="s">
        <v>1383</v>
      </c>
      <c r="E248" s="446">
        <v>1980</v>
      </c>
      <c r="F248" s="444">
        <v>1982</v>
      </c>
      <c r="G248" s="447"/>
      <c r="H248" s="448">
        <f t="shared" si="72"/>
        <v>391.1820738455956</v>
      </c>
      <c r="I248" s="449">
        <v>385</v>
      </c>
      <c r="J248" s="450">
        <f t="shared" si="60"/>
        <v>164.04000000000002</v>
      </c>
      <c r="K248" s="450">
        <f>IF(M248="",L248,M248)</f>
        <v>50</v>
      </c>
      <c r="L248" s="450"/>
      <c r="M248" s="450">
        <v>50</v>
      </c>
      <c r="N248" s="450">
        <f t="shared" si="57"/>
        <v>34.448399999999999</v>
      </c>
      <c r="O248" s="450">
        <v>10.5</v>
      </c>
      <c r="P248" s="450">
        <f t="shared" si="57"/>
        <v>9.1862399999999997</v>
      </c>
      <c r="Q248" s="451">
        <v>2.8</v>
      </c>
      <c r="R248" s="452">
        <f t="shared" si="58"/>
        <v>4.7619047619047628</v>
      </c>
      <c r="S248" s="453">
        <f t="shared" si="59"/>
        <v>17.857142857142861</v>
      </c>
      <c r="T248" s="444">
        <v>20</v>
      </c>
      <c r="U248" s="454">
        <f>IF(V248="",W248,V248)</f>
        <v>4640</v>
      </c>
      <c r="V248" s="454">
        <v>4640</v>
      </c>
      <c r="W248" s="454"/>
      <c r="X248" s="455"/>
      <c r="Y248" s="456">
        <v>20</v>
      </c>
      <c r="Z248" s="457"/>
      <c r="AA248" s="458">
        <f t="shared" si="70"/>
        <v>1.2199545575994333</v>
      </c>
      <c r="AB248" s="459">
        <f t="shared" si="61"/>
        <v>1.4882891226076289</v>
      </c>
      <c r="AC248" s="459">
        <f t="shared" si="62"/>
        <v>0.46442722370775408</v>
      </c>
      <c r="AD248" s="459">
        <f t="shared" si="63"/>
        <v>0.21569264612089226</v>
      </c>
      <c r="AE248" s="459">
        <f t="shared" si="64"/>
        <v>87.21906921631502</v>
      </c>
      <c r="AF248" s="460">
        <f t="shared" si="65"/>
        <v>1.6594827586206897</v>
      </c>
      <c r="AG248" s="457"/>
      <c r="AH248" s="457"/>
      <c r="AI248" s="457"/>
      <c r="AJ248" s="457"/>
      <c r="AK248" s="446"/>
      <c r="AL248" s="443"/>
      <c r="AM248" s="443"/>
      <c r="AN248" s="461"/>
      <c r="AO248" s="456">
        <f t="shared" si="66"/>
        <v>91.245717966487149</v>
      </c>
      <c r="AP248" s="460">
        <f t="shared" si="67"/>
        <v>2.4683844983141201</v>
      </c>
      <c r="AQ248" s="443"/>
      <c r="AR248" s="462" t="s">
        <v>1100</v>
      </c>
      <c r="AV248" s="349"/>
      <c r="AW248" s="349"/>
      <c r="AX248" s="349"/>
    </row>
    <row r="249" spans="1:50" s="352" customFormat="1" ht="15.75">
      <c r="A249" s="442" t="s">
        <v>1326</v>
      </c>
      <c r="B249" s="443" t="s">
        <v>1540</v>
      </c>
      <c r="C249" s="444">
        <v>12</v>
      </c>
      <c r="D249" s="445" t="s">
        <v>1531</v>
      </c>
      <c r="E249" s="446">
        <v>1975</v>
      </c>
      <c r="F249" s="444" t="s">
        <v>567</v>
      </c>
      <c r="G249" s="447"/>
      <c r="H249" s="448">
        <f t="shared" si="72"/>
        <v>391.1820738455956</v>
      </c>
      <c r="I249" s="449">
        <v>385</v>
      </c>
      <c r="J249" s="450">
        <f t="shared" si="60"/>
        <v>196.19184000000001</v>
      </c>
      <c r="K249" s="450">
        <f>IF(M249="",L249,M249)</f>
        <v>59.8</v>
      </c>
      <c r="L249" s="450"/>
      <c r="M249" s="450">
        <v>59.8</v>
      </c>
      <c r="N249" s="450">
        <f t="shared" si="57"/>
        <v>23.621760000000002</v>
      </c>
      <c r="O249" s="450">
        <v>7.2</v>
      </c>
      <c r="P249" s="450">
        <f t="shared" si="57"/>
        <v>6.5616000000000003</v>
      </c>
      <c r="Q249" s="451">
        <v>2</v>
      </c>
      <c r="R249" s="452">
        <f t="shared" si="58"/>
        <v>8.3055555555555554</v>
      </c>
      <c r="S249" s="453">
        <f t="shared" si="59"/>
        <v>29.900000000000002</v>
      </c>
      <c r="T249" s="444">
        <v>80</v>
      </c>
      <c r="U249" s="454">
        <f>IF(V249="",W249,V249)</f>
        <v>8800</v>
      </c>
      <c r="V249" s="454">
        <v>8800</v>
      </c>
      <c r="W249" s="454"/>
      <c r="X249" s="455"/>
      <c r="Y249" s="456">
        <v>25</v>
      </c>
      <c r="Z249" s="457"/>
      <c r="AA249" s="458">
        <f t="shared" si="70"/>
        <v>1.5249431969992915</v>
      </c>
      <c r="AB249" s="459">
        <f t="shared" si="61"/>
        <v>2.32545175407442</v>
      </c>
      <c r="AC249" s="459">
        <f t="shared" si="62"/>
        <v>0.53083810773655793</v>
      </c>
      <c r="AD249" s="459">
        <f t="shared" si="63"/>
        <v>0.28178909662532947</v>
      </c>
      <c r="AE249" s="459">
        <f t="shared" si="64"/>
        <v>50.982122094169831</v>
      </c>
      <c r="AF249" s="460">
        <f t="shared" si="65"/>
        <v>1.09375</v>
      </c>
      <c r="AG249" s="446"/>
      <c r="AH249" s="446"/>
      <c r="AI249" s="446"/>
      <c r="AJ249" s="446"/>
      <c r="AK249" s="446"/>
      <c r="AL249" s="443"/>
      <c r="AM249" s="443"/>
      <c r="AN249" s="461"/>
      <c r="AO249" s="456">
        <f t="shared" si="66"/>
        <v>93.967536258101106</v>
      </c>
      <c r="AP249" s="460">
        <f t="shared" si="67"/>
        <v>2.1254308410584253</v>
      </c>
      <c r="AQ249" s="443"/>
      <c r="AR249" s="462" t="s">
        <v>1100</v>
      </c>
      <c r="AV249" s="349"/>
      <c r="AW249" s="349"/>
      <c r="AX249" s="349"/>
    </row>
    <row r="250" spans="1:50" s="352" customFormat="1" ht="15.75">
      <c r="A250" s="464" t="s">
        <v>1326</v>
      </c>
      <c r="B250" s="465" t="s">
        <v>1541</v>
      </c>
      <c r="C250" s="466">
        <v>3</v>
      </c>
      <c r="D250" s="467" t="s">
        <v>1506</v>
      </c>
      <c r="E250" s="468">
        <v>1997</v>
      </c>
      <c r="F250" s="466" t="s">
        <v>567</v>
      </c>
      <c r="G250" s="469" t="s">
        <v>1236</v>
      </c>
      <c r="H250" s="470">
        <f t="shared" si="72"/>
        <v>396.26236051891499</v>
      </c>
      <c r="I250" s="471">
        <v>390</v>
      </c>
      <c r="J250" s="472">
        <f t="shared" si="60"/>
        <v>179.78783999999999</v>
      </c>
      <c r="K250" s="472">
        <f>IF(M250="",#REF!,M250)</f>
        <v>54.8</v>
      </c>
      <c r="L250" s="472">
        <v>54.803706413069982</v>
      </c>
      <c r="M250" s="472">
        <v>54.8</v>
      </c>
      <c r="N250" s="472">
        <f t="shared" ref="N250:P270" si="73">O250*3.2808</f>
        <v>32.808</v>
      </c>
      <c r="O250" s="472">
        <v>10</v>
      </c>
      <c r="P250" s="472">
        <f t="shared" si="73"/>
        <v>7.2177600000000011</v>
      </c>
      <c r="Q250" s="473">
        <v>2.2000000000000002</v>
      </c>
      <c r="R250" s="474">
        <f t="shared" si="58"/>
        <v>5.4799999999999995</v>
      </c>
      <c r="S250" s="475">
        <f t="shared" si="59"/>
        <v>24.909090909090903</v>
      </c>
      <c r="T250" s="466">
        <v>19</v>
      </c>
      <c r="U250" s="476">
        <f>IF(V250="",W250,V250)</f>
        <v>7230</v>
      </c>
      <c r="V250" s="476">
        <v>7230</v>
      </c>
      <c r="W250" s="476">
        <v>7230</v>
      </c>
      <c r="X250" s="477"/>
      <c r="Y250" s="478">
        <v>23</v>
      </c>
      <c r="Z250" s="479"/>
      <c r="AA250" s="480">
        <f t="shared" si="70"/>
        <v>1.399933849411664</v>
      </c>
      <c r="AB250" s="481">
        <f t="shared" si="61"/>
        <v>1.9598147827285595</v>
      </c>
      <c r="AC250" s="481">
        <f t="shared" si="62"/>
        <v>0.51016449731448976</v>
      </c>
      <c r="AD250" s="481">
        <f t="shared" si="63"/>
        <v>0.26026781432014601</v>
      </c>
      <c r="AE250" s="481">
        <f t="shared" si="64"/>
        <v>67.10944740301737</v>
      </c>
      <c r="AF250" s="482">
        <f t="shared" si="65"/>
        <v>1.2406639004149378</v>
      </c>
      <c r="AG250" s="479">
        <v>4500</v>
      </c>
      <c r="AH250" s="468">
        <v>14</v>
      </c>
      <c r="AI250" s="468"/>
      <c r="AJ250" s="468"/>
      <c r="AK250" s="468"/>
      <c r="AL250" s="465"/>
      <c r="AM250" s="465"/>
      <c r="AN250" s="483"/>
      <c r="AO250" s="478">
        <f t="shared" si="66"/>
        <v>89.830044628392116</v>
      </c>
      <c r="AP250" s="482">
        <f t="shared" si="67"/>
        <v>2.2267903881869668</v>
      </c>
      <c r="AQ250" s="465"/>
      <c r="AR250" s="484" t="s">
        <v>1140</v>
      </c>
      <c r="AV250" s="349"/>
      <c r="AW250" s="349"/>
      <c r="AX250" s="349"/>
    </row>
    <row r="251" spans="1:50" s="352" customFormat="1" ht="15.75">
      <c r="A251" s="400" t="s">
        <v>1447</v>
      </c>
      <c r="B251" s="401" t="s">
        <v>1542</v>
      </c>
      <c r="C251" s="402"/>
      <c r="D251" s="403" t="s">
        <v>1516</v>
      </c>
      <c r="E251" s="404">
        <v>1982</v>
      </c>
      <c r="F251" s="402"/>
      <c r="G251" s="405"/>
      <c r="H251" s="406">
        <v>400</v>
      </c>
      <c r="I251" s="407">
        <f>H251*2204.6/2240</f>
        <v>393.67857142857144</v>
      </c>
      <c r="J251" s="408">
        <f t="shared" si="60"/>
        <v>186.02136000000002</v>
      </c>
      <c r="K251" s="408">
        <v>56.7</v>
      </c>
      <c r="L251" s="408"/>
      <c r="M251" s="408"/>
      <c r="N251" s="408">
        <f t="shared" si="73"/>
        <v>26.902559999999998</v>
      </c>
      <c r="O251" s="408">
        <v>8.1999999999999993</v>
      </c>
      <c r="P251" s="408">
        <f t="shared" si="73"/>
        <v>7.87392</v>
      </c>
      <c r="Q251" s="409">
        <v>2.4</v>
      </c>
      <c r="R251" s="410">
        <f t="shared" si="58"/>
        <v>6.9146341463414647</v>
      </c>
      <c r="S251" s="411">
        <f t="shared" si="59"/>
        <v>23.625000000000004</v>
      </c>
      <c r="T251" s="402"/>
      <c r="U251" s="412">
        <f>X251/0.7457</f>
        <v>15019.444816950516</v>
      </c>
      <c r="V251" s="412"/>
      <c r="W251" s="412"/>
      <c r="X251" s="413">
        <v>11200</v>
      </c>
      <c r="Y251" s="414">
        <v>40</v>
      </c>
      <c r="Z251" s="415"/>
      <c r="AA251" s="416">
        <f t="shared" si="70"/>
        <v>2.4308610880995074</v>
      </c>
      <c r="AB251" s="417">
        <f t="shared" si="61"/>
        <v>5.909085629636321</v>
      </c>
      <c r="AC251" s="417">
        <f t="shared" si="62"/>
        <v>0.87225032028524641</v>
      </c>
      <c r="AD251" s="417">
        <f t="shared" si="63"/>
        <v>0.76082062123771499</v>
      </c>
      <c r="AE251" s="417">
        <f t="shared" si="64"/>
        <v>61.158007880196458</v>
      </c>
      <c r="AF251" s="418">
        <f t="shared" si="65"/>
        <v>1.0484503954081634</v>
      </c>
      <c r="AG251" s="415">
        <v>2000</v>
      </c>
      <c r="AH251" s="415"/>
      <c r="AI251" s="415"/>
      <c r="AJ251" s="415"/>
      <c r="AK251" s="404">
        <v>4</v>
      </c>
      <c r="AL251" s="401" t="s">
        <v>1080</v>
      </c>
      <c r="AM251" s="401">
        <v>4</v>
      </c>
      <c r="AN251" s="419"/>
      <c r="AO251" s="414">
        <f t="shared" si="66"/>
        <v>228.88672850175766</v>
      </c>
      <c r="AP251" s="418">
        <f t="shared" si="67"/>
        <v>5.5009144429347652</v>
      </c>
      <c r="AQ251" s="401"/>
      <c r="AR251" s="420" t="s">
        <v>1081</v>
      </c>
    </row>
    <row r="252" spans="1:50" s="352" customFormat="1" ht="15.75">
      <c r="A252" s="442" t="s">
        <v>1326</v>
      </c>
      <c r="B252" s="443" t="s">
        <v>1543</v>
      </c>
      <c r="C252" s="444">
        <v>1</v>
      </c>
      <c r="D252" s="445" t="s">
        <v>1306</v>
      </c>
      <c r="E252" s="446">
        <v>1999</v>
      </c>
      <c r="F252" s="444" t="s">
        <v>567</v>
      </c>
      <c r="G252" s="447"/>
      <c r="H252" s="448">
        <f t="shared" si="72"/>
        <v>406.42293386555389</v>
      </c>
      <c r="I252" s="449">
        <v>400</v>
      </c>
      <c r="J252" s="450">
        <f t="shared" si="60"/>
        <v>160.75920000000002</v>
      </c>
      <c r="K252" s="450">
        <f t="shared" ref="K252:K257" si="74">IF(M252="",L252,M252)</f>
        <v>49</v>
      </c>
      <c r="L252" s="450"/>
      <c r="M252" s="450">
        <v>49</v>
      </c>
      <c r="N252" s="450">
        <f t="shared" si="73"/>
        <v>24.606000000000002</v>
      </c>
      <c r="O252" s="450">
        <v>7.5</v>
      </c>
      <c r="P252" s="450">
        <f t="shared" si="73"/>
        <v>11.810880000000001</v>
      </c>
      <c r="Q252" s="451">
        <v>3.6</v>
      </c>
      <c r="R252" s="452">
        <f t="shared" si="58"/>
        <v>6.5333333333333341</v>
      </c>
      <c r="S252" s="453">
        <f t="shared" si="59"/>
        <v>13.611111111111112</v>
      </c>
      <c r="T252" s="444">
        <v>17</v>
      </c>
      <c r="U252" s="454">
        <f t="shared" ref="U252:U257" si="75">IF(V252="",W252,V252)</f>
        <v>6120</v>
      </c>
      <c r="V252" s="454">
        <v>6120</v>
      </c>
      <c r="W252" s="454"/>
      <c r="X252" s="455"/>
      <c r="Y252" s="456">
        <v>20</v>
      </c>
      <c r="Z252" s="457"/>
      <c r="AA252" s="458">
        <f t="shared" si="70"/>
        <v>1.2122079005518309</v>
      </c>
      <c r="AB252" s="459">
        <f t="shared" si="61"/>
        <v>1.4694479941602776</v>
      </c>
      <c r="AC252" s="459">
        <f t="shared" si="62"/>
        <v>0.46914234178770664</v>
      </c>
      <c r="AD252" s="459">
        <f t="shared" si="63"/>
        <v>0.22009453685805336</v>
      </c>
      <c r="AE252" s="459">
        <f t="shared" si="64"/>
        <v>96.279202086500305</v>
      </c>
      <c r="AF252" s="460">
        <f t="shared" si="65"/>
        <v>1.3071895424836601</v>
      </c>
      <c r="AG252" s="446"/>
      <c r="AH252" s="446"/>
      <c r="AI252" s="446"/>
      <c r="AJ252" s="446"/>
      <c r="AK252" s="446"/>
      <c r="AL252" s="443"/>
      <c r="AM252" s="443"/>
      <c r="AN252" s="461"/>
      <c r="AO252" s="456">
        <f t="shared" si="66"/>
        <v>70.965166446925636</v>
      </c>
      <c r="AP252" s="460">
        <f t="shared" si="67"/>
        <v>1.9840497362888907</v>
      </c>
      <c r="AQ252" s="443"/>
      <c r="AR252" s="462" t="s">
        <v>1100</v>
      </c>
      <c r="AV252" s="349"/>
      <c r="AW252" s="349"/>
      <c r="AX252" s="349"/>
    </row>
    <row r="253" spans="1:50" s="352" customFormat="1" ht="15.75">
      <c r="A253" s="442" t="s">
        <v>1326</v>
      </c>
      <c r="B253" s="443" t="s">
        <v>1544</v>
      </c>
      <c r="C253" s="444">
        <v>10</v>
      </c>
      <c r="D253" s="445" t="s">
        <v>1506</v>
      </c>
      <c r="E253" s="446">
        <v>1986</v>
      </c>
      <c r="F253" s="444">
        <v>1988</v>
      </c>
      <c r="G253" s="447"/>
      <c r="H253" s="448">
        <f t="shared" si="72"/>
        <v>412.51927787353719</v>
      </c>
      <c r="I253" s="449">
        <v>406</v>
      </c>
      <c r="J253" s="450">
        <f t="shared" si="60"/>
        <v>178.80360000000002</v>
      </c>
      <c r="K253" s="450">
        <f t="shared" si="74"/>
        <v>54.5</v>
      </c>
      <c r="L253" s="450"/>
      <c r="M253" s="450">
        <v>54.5</v>
      </c>
      <c r="N253" s="450">
        <f t="shared" si="73"/>
        <v>26.246400000000001</v>
      </c>
      <c r="O253" s="450">
        <v>8</v>
      </c>
      <c r="P253" s="450">
        <f t="shared" si="73"/>
        <v>8.202</v>
      </c>
      <c r="Q253" s="451">
        <v>2.5</v>
      </c>
      <c r="R253" s="452">
        <f t="shared" si="58"/>
        <v>6.8125</v>
      </c>
      <c r="S253" s="453">
        <f t="shared" si="59"/>
        <v>21.8</v>
      </c>
      <c r="T253" s="444">
        <v>26</v>
      </c>
      <c r="U253" s="454">
        <f t="shared" si="75"/>
        <v>8000</v>
      </c>
      <c r="V253" s="454">
        <v>8000</v>
      </c>
      <c r="W253" s="454"/>
      <c r="X253" s="455"/>
      <c r="Y253" s="456">
        <v>24.5</v>
      </c>
      <c r="Z253" s="457"/>
      <c r="AA253" s="458">
        <f t="shared" si="70"/>
        <v>1.4812744270880982</v>
      </c>
      <c r="AB253" s="459">
        <f t="shared" si="61"/>
        <v>2.1941739283451733</v>
      </c>
      <c r="AC253" s="459">
        <f t="shared" si="62"/>
        <v>0.54492973798847411</v>
      </c>
      <c r="AD253" s="459">
        <f t="shared" si="63"/>
        <v>0.29694841934418703</v>
      </c>
      <c r="AE253" s="459">
        <f t="shared" si="64"/>
        <v>71.022712998512318</v>
      </c>
      <c r="AF253" s="460">
        <f t="shared" si="65"/>
        <v>1.2433749999999999</v>
      </c>
      <c r="AG253" s="446"/>
      <c r="AH253" s="446"/>
      <c r="AI253" s="446"/>
      <c r="AJ253" s="446"/>
      <c r="AK253" s="446"/>
      <c r="AL253" s="443"/>
      <c r="AM253" s="443"/>
      <c r="AN253" s="461"/>
      <c r="AO253" s="456">
        <f t="shared" si="66"/>
        <v>100.7918976272535</v>
      </c>
      <c r="AP253" s="460">
        <f t="shared" si="67"/>
        <v>2.5461728102090784</v>
      </c>
      <c r="AQ253" s="443"/>
      <c r="AR253" s="462" t="s">
        <v>1100</v>
      </c>
      <c r="AV253" s="349"/>
      <c r="AW253" s="349"/>
      <c r="AX253" s="349"/>
    </row>
    <row r="254" spans="1:50" s="352" customFormat="1" ht="15.75">
      <c r="A254" s="485" t="s">
        <v>1326</v>
      </c>
      <c r="B254" s="505" t="s">
        <v>1545</v>
      </c>
      <c r="C254" s="487"/>
      <c r="D254" s="488" t="s">
        <v>1506</v>
      </c>
      <c r="E254" s="489">
        <v>1991</v>
      </c>
      <c r="F254" s="487"/>
      <c r="G254" s="490" t="s">
        <v>1236</v>
      </c>
      <c r="H254" s="491">
        <f>I254*2240/2204.6</f>
        <v>416.58350721219273</v>
      </c>
      <c r="I254" s="492">
        <v>410</v>
      </c>
      <c r="J254" s="493">
        <f t="shared" si="60"/>
        <v>170.6</v>
      </c>
      <c r="K254" s="493">
        <f t="shared" si="74"/>
        <v>51.999512314069733</v>
      </c>
      <c r="L254" s="493">
        <v>51.999512314069733</v>
      </c>
      <c r="M254" s="493"/>
      <c r="N254" s="493">
        <f t="shared" si="73"/>
        <v>32.200000000000003</v>
      </c>
      <c r="O254" s="493">
        <v>9.8146793465008546</v>
      </c>
      <c r="P254" s="493">
        <f t="shared" si="73"/>
        <v>9</v>
      </c>
      <c r="Q254" s="494">
        <v>2.7432333577176298</v>
      </c>
      <c r="R254" s="495">
        <f t="shared" si="58"/>
        <v>5.2981366459627326</v>
      </c>
      <c r="S254" s="496">
        <f t="shared" si="59"/>
        <v>18.955555555555556</v>
      </c>
      <c r="T254" s="487"/>
      <c r="U254" s="497">
        <f t="shared" si="75"/>
        <v>4410</v>
      </c>
      <c r="V254" s="497"/>
      <c r="W254" s="497">
        <v>4410</v>
      </c>
      <c r="X254" s="498"/>
      <c r="Y254" s="499">
        <v>23</v>
      </c>
      <c r="Z254" s="500" t="s">
        <v>1546</v>
      </c>
      <c r="AA254" s="501">
        <f t="shared" si="70"/>
        <v>1.3883137968971084</v>
      </c>
      <c r="AB254" s="502">
        <f t="shared" si="61"/>
        <v>1.9274151986548655</v>
      </c>
      <c r="AC254" s="502">
        <f t="shared" si="62"/>
        <v>0.52372207084676969</v>
      </c>
      <c r="AD254" s="502">
        <f t="shared" si="63"/>
        <v>0.27428480749202888</v>
      </c>
      <c r="AE254" s="502">
        <f t="shared" si="64"/>
        <v>82.5746565888807</v>
      </c>
      <c r="AF254" s="503">
        <f t="shared" si="65"/>
        <v>2.1383219954648527</v>
      </c>
      <c r="AG254" s="504">
        <v>4500</v>
      </c>
      <c r="AH254" s="504">
        <v>12</v>
      </c>
      <c r="AI254" s="504"/>
      <c r="AJ254" s="504"/>
      <c r="AK254" s="489"/>
      <c r="AL254" s="505"/>
      <c r="AM254" s="505"/>
      <c r="AN254" s="506"/>
      <c r="AO254" s="499">
        <f t="shared" si="66"/>
        <v>152.2652581260829</v>
      </c>
      <c r="AP254" s="503">
        <f t="shared" si="67"/>
        <v>4.0446373078344271</v>
      </c>
      <c r="AQ254" s="505"/>
      <c r="AR254" s="507" t="s">
        <v>1149</v>
      </c>
      <c r="AV254" s="349"/>
      <c r="AW254" s="349"/>
      <c r="AX254" s="349"/>
    </row>
    <row r="255" spans="1:50" s="352" customFormat="1" ht="15.75">
      <c r="A255" s="442" t="s">
        <v>1326</v>
      </c>
      <c r="B255" s="443" t="s">
        <v>1547</v>
      </c>
      <c r="C255" s="444">
        <v>4</v>
      </c>
      <c r="D255" s="445" t="s">
        <v>1238</v>
      </c>
      <c r="E255" s="446">
        <v>1988</v>
      </c>
      <c r="F255" s="444">
        <v>1995</v>
      </c>
      <c r="G255" s="447"/>
      <c r="H255" s="448">
        <f t="shared" si="72"/>
        <v>429.79225256282319</v>
      </c>
      <c r="I255" s="449">
        <v>423</v>
      </c>
      <c r="J255" s="450">
        <f t="shared" si="60"/>
        <v>190.61448000000001</v>
      </c>
      <c r="K255" s="450">
        <f t="shared" si="74"/>
        <v>58.1</v>
      </c>
      <c r="L255" s="450"/>
      <c r="M255" s="450">
        <v>58.1</v>
      </c>
      <c r="N255" s="450">
        <f t="shared" si="73"/>
        <v>24.934080000000002</v>
      </c>
      <c r="O255" s="450">
        <v>7.6</v>
      </c>
      <c r="P255" s="450">
        <f t="shared" si="73"/>
        <v>9.1862399999999997</v>
      </c>
      <c r="Q255" s="451">
        <v>2.8</v>
      </c>
      <c r="R255" s="452">
        <f t="shared" si="58"/>
        <v>7.6447368421052628</v>
      </c>
      <c r="S255" s="453">
        <f t="shared" si="59"/>
        <v>20.750000000000004</v>
      </c>
      <c r="T255" s="444">
        <v>49</v>
      </c>
      <c r="U255" s="454">
        <f t="shared" si="75"/>
        <v>8850</v>
      </c>
      <c r="V255" s="454">
        <v>8850</v>
      </c>
      <c r="W255" s="454"/>
      <c r="X255" s="455"/>
      <c r="Y255" s="456">
        <v>28</v>
      </c>
      <c r="Z255" s="457"/>
      <c r="AA255" s="458">
        <f t="shared" si="70"/>
        <v>1.6813511161766443</v>
      </c>
      <c r="AB255" s="459">
        <f t="shared" si="61"/>
        <v>2.8269415758684477</v>
      </c>
      <c r="AC255" s="459">
        <f t="shared" si="62"/>
        <v>0.60317403887084697</v>
      </c>
      <c r="AD255" s="459">
        <f t="shared" si="63"/>
        <v>0.36381892116777004</v>
      </c>
      <c r="AE255" s="459">
        <f t="shared" si="64"/>
        <v>61.076297430372904</v>
      </c>
      <c r="AF255" s="460">
        <f t="shared" si="65"/>
        <v>1.3383050847457627</v>
      </c>
      <c r="AG255" s="446"/>
      <c r="AH255" s="446"/>
      <c r="AI255" s="446"/>
      <c r="AJ255" s="446"/>
      <c r="AK255" s="446"/>
      <c r="AL255" s="443"/>
      <c r="AM255" s="443"/>
      <c r="AN255" s="461"/>
      <c r="AO255" s="456">
        <f t="shared" si="66"/>
        <v>139.7733588146981</v>
      </c>
      <c r="AP255" s="460">
        <f t="shared" si="67"/>
        <v>3.3577250989998948</v>
      </c>
      <c r="AQ255" s="443"/>
      <c r="AR255" s="462" t="s">
        <v>1100</v>
      </c>
      <c r="AV255" s="349"/>
      <c r="AW255" s="349"/>
      <c r="AX255" s="349"/>
    </row>
    <row r="256" spans="1:50" s="352" customFormat="1" ht="15.75">
      <c r="A256" s="442" t="s">
        <v>1326</v>
      </c>
      <c r="B256" s="443" t="s">
        <v>1548</v>
      </c>
      <c r="C256" s="444">
        <v>6</v>
      </c>
      <c r="D256" s="445" t="s">
        <v>1533</v>
      </c>
      <c r="E256" s="446">
        <v>1988</v>
      </c>
      <c r="F256" s="444">
        <v>1989</v>
      </c>
      <c r="G256" s="447"/>
      <c r="H256" s="448">
        <f t="shared" si="72"/>
        <v>431.82436723215096</v>
      </c>
      <c r="I256" s="449">
        <v>425</v>
      </c>
      <c r="J256" s="450">
        <f t="shared" si="60"/>
        <v>190.61448000000001</v>
      </c>
      <c r="K256" s="450">
        <f t="shared" si="74"/>
        <v>58.1</v>
      </c>
      <c r="L256" s="450"/>
      <c r="M256" s="450">
        <v>58.1</v>
      </c>
      <c r="N256" s="450">
        <f t="shared" si="73"/>
        <v>24.934080000000002</v>
      </c>
      <c r="O256" s="450">
        <v>7.6</v>
      </c>
      <c r="P256" s="450">
        <f t="shared" si="73"/>
        <v>8.8581600000000016</v>
      </c>
      <c r="Q256" s="451">
        <v>2.7</v>
      </c>
      <c r="R256" s="452">
        <f t="shared" si="58"/>
        <v>7.6447368421052628</v>
      </c>
      <c r="S256" s="453">
        <f t="shared" si="59"/>
        <v>21.518518518518515</v>
      </c>
      <c r="T256" s="444">
        <v>36</v>
      </c>
      <c r="U256" s="454">
        <f t="shared" si="75"/>
        <v>8340</v>
      </c>
      <c r="V256" s="454">
        <v>8340</v>
      </c>
      <c r="W256" s="454"/>
      <c r="X256" s="455"/>
      <c r="Y256" s="456">
        <v>22</v>
      </c>
      <c r="Z256" s="457"/>
      <c r="AA256" s="458">
        <f t="shared" si="70"/>
        <v>1.3200234270602176</v>
      </c>
      <c r="AB256" s="459">
        <f t="shared" si="61"/>
        <v>1.7424618479878016</v>
      </c>
      <c r="AC256" s="459">
        <f t="shared" si="62"/>
        <v>0.47392245911280834</v>
      </c>
      <c r="AD256" s="459">
        <f t="shared" si="63"/>
        <v>0.2246024972515315</v>
      </c>
      <c r="AE256" s="459">
        <f t="shared" si="64"/>
        <v>61.365074250374661</v>
      </c>
      <c r="AF256" s="460">
        <f t="shared" si="65"/>
        <v>1.1211031175059951</v>
      </c>
      <c r="AG256" s="446"/>
      <c r="AH256" s="446"/>
      <c r="AI256" s="446"/>
      <c r="AJ256" s="446"/>
      <c r="AK256" s="446"/>
      <c r="AL256" s="443"/>
      <c r="AM256" s="443"/>
      <c r="AN256" s="461"/>
      <c r="AO256" s="456">
        <f t="shared" si="66"/>
        <v>72.170759972450668</v>
      </c>
      <c r="AP256" s="460">
        <f t="shared" si="67"/>
        <v>1.7364603382307051</v>
      </c>
      <c r="AQ256" s="443"/>
      <c r="AR256" s="462" t="s">
        <v>1100</v>
      </c>
      <c r="AV256" s="349"/>
      <c r="AW256" s="349"/>
      <c r="AX256" s="349"/>
    </row>
    <row r="257" spans="1:50" s="352" customFormat="1" ht="15.75">
      <c r="A257" s="442" t="s">
        <v>1326</v>
      </c>
      <c r="B257" s="443" t="s">
        <v>1549</v>
      </c>
      <c r="C257" s="444">
        <v>2</v>
      </c>
      <c r="D257" s="445" t="s">
        <v>1346</v>
      </c>
      <c r="E257" s="446">
        <v>1969</v>
      </c>
      <c r="F257" s="444">
        <v>1972</v>
      </c>
      <c r="G257" s="447"/>
      <c r="H257" s="448">
        <f t="shared" si="72"/>
        <v>436.90465390547041</v>
      </c>
      <c r="I257" s="449">
        <v>430</v>
      </c>
      <c r="J257" s="450">
        <f t="shared" si="60"/>
        <v>186.02136000000002</v>
      </c>
      <c r="K257" s="450">
        <f t="shared" si="74"/>
        <v>56.7</v>
      </c>
      <c r="L257" s="450"/>
      <c r="M257" s="450">
        <v>56.7</v>
      </c>
      <c r="N257" s="450">
        <f t="shared" si="73"/>
        <v>26.574480000000001</v>
      </c>
      <c r="O257" s="450">
        <v>8.1</v>
      </c>
      <c r="P257" s="450">
        <f t="shared" si="73"/>
        <v>7.87392</v>
      </c>
      <c r="Q257" s="451">
        <v>2.4</v>
      </c>
      <c r="R257" s="452">
        <f t="shared" si="58"/>
        <v>7</v>
      </c>
      <c r="S257" s="453">
        <f t="shared" si="59"/>
        <v>23.625000000000004</v>
      </c>
      <c r="T257" s="444">
        <v>45</v>
      </c>
      <c r="U257" s="454">
        <f t="shared" si="75"/>
        <v>4400</v>
      </c>
      <c r="V257" s="454">
        <v>4400</v>
      </c>
      <c r="W257" s="454"/>
      <c r="X257" s="455"/>
      <c r="Y257" s="456">
        <v>23</v>
      </c>
      <c r="Z257" s="457"/>
      <c r="AA257" s="458">
        <f t="shared" si="70"/>
        <v>1.3773369753307438</v>
      </c>
      <c r="AB257" s="459">
        <f t="shared" si="61"/>
        <v>1.897057143613242</v>
      </c>
      <c r="AC257" s="459">
        <f t="shared" si="62"/>
        <v>0.50154393416401666</v>
      </c>
      <c r="AD257" s="459">
        <f t="shared" si="63"/>
        <v>0.2515463178967195</v>
      </c>
      <c r="AE257" s="459">
        <f t="shared" si="64"/>
        <v>66.800545666113152</v>
      </c>
      <c r="AF257" s="460">
        <f t="shared" si="65"/>
        <v>2.2477272727272726</v>
      </c>
      <c r="AG257" s="446"/>
      <c r="AH257" s="446"/>
      <c r="AI257" s="446"/>
      <c r="AJ257" s="446"/>
      <c r="AK257" s="446"/>
      <c r="AL257" s="443"/>
      <c r="AM257" s="443"/>
      <c r="AN257" s="461"/>
      <c r="AO257" s="456">
        <f t="shared" si="66"/>
        <v>157.53478646764208</v>
      </c>
      <c r="AP257" s="460">
        <f t="shared" si="67"/>
        <v>3.899117357471011</v>
      </c>
      <c r="AQ257" s="443"/>
      <c r="AR257" s="462" t="s">
        <v>1100</v>
      </c>
      <c r="AV257" s="349"/>
      <c r="AW257" s="349"/>
      <c r="AX257" s="349"/>
    </row>
    <row r="258" spans="1:50" s="352" customFormat="1" ht="15.75">
      <c r="A258" s="400" t="s">
        <v>1447</v>
      </c>
      <c r="B258" s="401" t="s">
        <v>1550</v>
      </c>
      <c r="C258" s="402"/>
      <c r="D258" s="403" t="s">
        <v>1095</v>
      </c>
      <c r="E258" s="404">
        <v>1981</v>
      </c>
      <c r="F258" s="402"/>
      <c r="G258" s="405"/>
      <c r="H258" s="406">
        <v>451</v>
      </c>
      <c r="I258" s="407">
        <f>H258*2204.6/2240</f>
        <v>443.8725892857143</v>
      </c>
      <c r="J258" s="408">
        <f t="shared" si="60"/>
        <v>190.61448000000001</v>
      </c>
      <c r="K258" s="408">
        <v>58.1</v>
      </c>
      <c r="L258" s="408"/>
      <c r="M258" s="408"/>
      <c r="N258" s="408">
        <f t="shared" si="73"/>
        <v>24.934080000000002</v>
      </c>
      <c r="O258" s="408">
        <v>7.6</v>
      </c>
      <c r="P258" s="408">
        <f t="shared" si="73"/>
        <v>10.170480000000001</v>
      </c>
      <c r="Q258" s="409">
        <v>3.1</v>
      </c>
      <c r="R258" s="410">
        <f t="shared" si="58"/>
        <v>7.6447368421052628</v>
      </c>
      <c r="S258" s="411">
        <f t="shared" si="59"/>
        <v>18.741935483870968</v>
      </c>
      <c r="T258" s="402"/>
      <c r="U258" s="412">
        <f>X258/0.7457</f>
        <v>17433.284162531847</v>
      </c>
      <c r="V258" s="412"/>
      <c r="W258" s="412"/>
      <c r="X258" s="413">
        <v>13000</v>
      </c>
      <c r="Y258" s="414">
        <v>42</v>
      </c>
      <c r="Z258" s="415"/>
      <c r="AA258" s="416">
        <f t="shared" si="70"/>
        <v>2.5018619898609304</v>
      </c>
      <c r="AB258" s="417">
        <f t="shared" si="61"/>
        <v>6.2593134163108948</v>
      </c>
      <c r="AC258" s="417">
        <f t="shared" si="62"/>
        <v>0.9047610583062704</v>
      </c>
      <c r="AD258" s="417">
        <f t="shared" si="63"/>
        <v>0.81859257262748242</v>
      </c>
      <c r="AE258" s="417">
        <f t="shared" si="64"/>
        <v>64.090057409938623</v>
      </c>
      <c r="AF258" s="418">
        <f t="shared" si="65"/>
        <v>1.0693710132980772</v>
      </c>
      <c r="AG258" s="415">
        <v>2000</v>
      </c>
      <c r="AH258" s="415"/>
      <c r="AI258" s="415"/>
      <c r="AJ258" s="415"/>
      <c r="AK258" s="404">
        <v>4</v>
      </c>
      <c r="AL258" s="401" t="s">
        <v>1080</v>
      </c>
      <c r="AM258" s="401">
        <v>4</v>
      </c>
      <c r="AN258" s="419"/>
      <c r="AO258" s="414">
        <f t="shared" si="66"/>
        <v>247.29056475396393</v>
      </c>
      <c r="AP258" s="418">
        <f t="shared" si="67"/>
        <v>6.0367186435640292</v>
      </c>
      <c r="AQ258" s="401"/>
      <c r="AR258" s="420" t="s">
        <v>1081</v>
      </c>
      <c r="AV258" s="349"/>
      <c r="AW258" s="349"/>
      <c r="AX258" s="349"/>
    </row>
    <row r="259" spans="1:50" s="352" customFormat="1" ht="15.75">
      <c r="A259" s="421" t="s">
        <v>1447</v>
      </c>
      <c r="B259" s="422" t="s">
        <v>1551</v>
      </c>
      <c r="C259" s="423">
        <v>2</v>
      </c>
      <c r="D259" s="424" t="s">
        <v>1552</v>
      </c>
      <c r="E259" s="425">
        <v>1988</v>
      </c>
      <c r="F259" s="423">
        <v>1990</v>
      </c>
      <c r="G259" s="426"/>
      <c r="H259" s="427">
        <f>I259*2240/2204.6</f>
        <v>453.16157126009256</v>
      </c>
      <c r="I259" s="428">
        <v>446</v>
      </c>
      <c r="J259" s="429">
        <f t="shared" si="60"/>
        <v>179.13168000000002</v>
      </c>
      <c r="K259" s="429">
        <f>IF(M259="",L259,M259)</f>
        <v>54.6</v>
      </c>
      <c r="L259" s="429"/>
      <c r="M259" s="429">
        <v>54.6</v>
      </c>
      <c r="N259" s="429">
        <f t="shared" si="73"/>
        <v>26.246400000000001</v>
      </c>
      <c r="O259" s="429">
        <v>8</v>
      </c>
      <c r="P259" s="429">
        <f t="shared" si="73"/>
        <v>8.202</v>
      </c>
      <c r="Q259" s="430">
        <v>2.5</v>
      </c>
      <c r="R259" s="431">
        <f t="shared" si="58"/>
        <v>6.8250000000000002</v>
      </c>
      <c r="S259" s="432">
        <f t="shared" si="59"/>
        <v>21.840000000000003</v>
      </c>
      <c r="T259" s="423">
        <v>32</v>
      </c>
      <c r="U259" s="433">
        <f>IF(V259="",W259,V259)</f>
        <v>8000</v>
      </c>
      <c r="V259" s="433">
        <v>8000</v>
      </c>
      <c r="W259" s="433">
        <f>X259/0.7457</f>
        <v>7885.2085288990211</v>
      </c>
      <c r="X259" s="434">
        <v>5880</v>
      </c>
      <c r="Y259" s="435">
        <v>24</v>
      </c>
      <c r="Z259" s="436"/>
      <c r="AA259" s="437">
        <f t="shared" si="70"/>
        <v>1.4284966020768219</v>
      </c>
      <c r="AB259" s="438">
        <f t="shared" si="61"/>
        <v>2.040602542145026</v>
      </c>
      <c r="AC259" s="438">
        <f t="shared" si="62"/>
        <v>0.53331966306949641</v>
      </c>
      <c r="AD259" s="438">
        <f t="shared" si="63"/>
        <v>0.28442986301656115</v>
      </c>
      <c r="AE259" s="438">
        <f t="shared" si="64"/>
        <v>77.5921278215488</v>
      </c>
      <c r="AF259" s="439">
        <f t="shared" si="65"/>
        <v>1.3380000000000001</v>
      </c>
      <c r="AG259" s="436">
        <v>4200</v>
      </c>
      <c r="AH259" s="425"/>
      <c r="AI259" s="425"/>
      <c r="AJ259" s="425"/>
      <c r="AK259" s="425">
        <v>2</v>
      </c>
      <c r="AL259" s="422" t="s">
        <v>1080</v>
      </c>
      <c r="AM259" s="422">
        <v>4</v>
      </c>
      <c r="AN259" s="440" t="s">
        <v>1329</v>
      </c>
      <c r="AO259" s="435">
        <f t="shared" si="66"/>
        <v>100.87115120176784</v>
      </c>
      <c r="AP259" s="439">
        <f t="shared" si="67"/>
        <v>2.6244362806176995</v>
      </c>
      <c r="AQ259" s="422"/>
      <c r="AR259" s="441" t="s">
        <v>1090</v>
      </c>
      <c r="AV259" s="349"/>
      <c r="AW259" s="349"/>
      <c r="AX259" s="349"/>
    </row>
    <row r="260" spans="1:50" s="352" customFormat="1" ht="15.75">
      <c r="A260" s="442" t="s">
        <v>1326</v>
      </c>
      <c r="B260" s="443" t="s">
        <v>1553</v>
      </c>
      <c r="C260" s="444">
        <v>4</v>
      </c>
      <c r="D260" s="445" t="s">
        <v>1238</v>
      </c>
      <c r="E260" s="446">
        <v>1988</v>
      </c>
      <c r="F260" s="444">
        <v>1993</v>
      </c>
      <c r="G260" s="447"/>
      <c r="H260" s="448">
        <f t="shared" si="72"/>
        <v>454.17762859475641</v>
      </c>
      <c r="I260" s="449">
        <v>447</v>
      </c>
      <c r="J260" s="450">
        <f t="shared" si="60"/>
        <v>190.61448000000001</v>
      </c>
      <c r="K260" s="450">
        <f t="shared" ref="K260:K266" si="76">IF(M260="",L260,M260)</f>
        <v>58.1</v>
      </c>
      <c r="L260" s="450"/>
      <c r="M260" s="450">
        <v>58.1</v>
      </c>
      <c r="N260" s="450">
        <f t="shared" si="73"/>
        <v>24.934080000000002</v>
      </c>
      <c r="O260" s="450">
        <v>7.6</v>
      </c>
      <c r="P260" s="450">
        <f t="shared" si="73"/>
        <v>9.1862399999999997</v>
      </c>
      <c r="Q260" s="451">
        <v>2.8</v>
      </c>
      <c r="R260" s="452">
        <f t="shared" si="58"/>
        <v>7.6447368421052628</v>
      </c>
      <c r="S260" s="453">
        <f t="shared" si="59"/>
        <v>20.750000000000004</v>
      </c>
      <c r="T260" s="444">
        <v>42</v>
      </c>
      <c r="U260" s="454">
        <f t="shared" ref="U260:U265" si="77">IF(V260="",W260,V260)</f>
        <v>8850</v>
      </c>
      <c r="V260" s="454">
        <v>8850</v>
      </c>
      <c r="W260" s="454"/>
      <c r="X260" s="455"/>
      <c r="Y260" s="456">
        <v>27</v>
      </c>
      <c r="Z260" s="457"/>
      <c r="AA260" s="458">
        <f t="shared" si="70"/>
        <v>1.6064589164368892</v>
      </c>
      <c r="AB260" s="459">
        <f t="shared" si="61"/>
        <v>2.580710250199584</v>
      </c>
      <c r="AC260" s="459">
        <f t="shared" si="62"/>
        <v>0.58163210891117378</v>
      </c>
      <c r="AD260" s="459">
        <f t="shared" si="63"/>
        <v>0.33829591011645954</v>
      </c>
      <c r="AE260" s="459">
        <f t="shared" si="64"/>
        <v>64.541619270394065</v>
      </c>
      <c r="AF260" s="460">
        <f t="shared" si="65"/>
        <v>1.363728813559322</v>
      </c>
      <c r="AG260" s="446"/>
      <c r="AH260" s="446"/>
      <c r="AI260" s="446"/>
      <c r="AJ260" s="446"/>
      <c r="AK260" s="446"/>
      <c r="AL260" s="443"/>
      <c r="AM260" s="443"/>
      <c r="AN260" s="461"/>
      <c r="AO260" s="456">
        <f t="shared" si="66"/>
        <v>130.02285678450249</v>
      </c>
      <c r="AP260" s="460">
        <f t="shared" si="67"/>
        <v>3.181482152361641</v>
      </c>
      <c r="AQ260" s="443"/>
      <c r="AR260" s="462" t="s">
        <v>1100</v>
      </c>
      <c r="AV260" s="349"/>
      <c r="AW260" s="349"/>
      <c r="AX260" s="349"/>
    </row>
    <row r="261" spans="1:50" s="352" customFormat="1" ht="15.75">
      <c r="A261" s="442" t="s">
        <v>1326</v>
      </c>
      <c r="B261" s="443" t="s">
        <v>1554</v>
      </c>
      <c r="C261" s="444">
        <v>2</v>
      </c>
      <c r="D261" s="445" t="s">
        <v>1238</v>
      </c>
      <c r="E261" s="446">
        <v>2000</v>
      </c>
      <c r="F261" s="444" t="s">
        <v>567</v>
      </c>
      <c r="G261" s="447"/>
      <c r="H261" s="448">
        <f t="shared" si="72"/>
        <v>454.17762859475641</v>
      </c>
      <c r="I261" s="449">
        <v>447</v>
      </c>
      <c r="J261" s="450">
        <f t="shared" si="60"/>
        <v>190.61448000000001</v>
      </c>
      <c r="K261" s="450">
        <f t="shared" si="76"/>
        <v>58.1</v>
      </c>
      <c r="L261" s="450"/>
      <c r="M261" s="450">
        <v>58.1</v>
      </c>
      <c r="N261" s="450">
        <f t="shared" si="73"/>
        <v>24.934080000000002</v>
      </c>
      <c r="O261" s="450">
        <v>7.6</v>
      </c>
      <c r="P261" s="450">
        <f t="shared" si="73"/>
        <v>9.1862399999999997</v>
      </c>
      <c r="Q261" s="451">
        <v>2.8</v>
      </c>
      <c r="R261" s="452">
        <f t="shared" si="58"/>
        <v>7.6447368421052628</v>
      </c>
      <c r="S261" s="453">
        <f t="shared" si="59"/>
        <v>20.750000000000004</v>
      </c>
      <c r="T261" s="444">
        <v>53</v>
      </c>
      <c r="U261" s="454">
        <f t="shared" si="77"/>
        <v>8850</v>
      </c>
      <c r="V261" s="454">
        <v>8850</v>
      </c>
      <c r="W261" s="454"/>
      <c r="X261" s="455"/>
      <c r="Y261" s="456">
        <v>27</v>
      </c>
      <c r="Z261" s="457"/>
      <c r="AA261" s="458">
        <f t="shared" si="70"/>
        <v>1.6064589164368892</v>
      </c>
      <c r="AB261" s="459">
        <f t="shared" si="61"/>
        <v>2.580710250199584</v>
      </c>
      <c r="AC261" s="459">
        <f t="shared" si="62"/>
        <v>0.58163210891117378</v>
      </c>
      <c r="AD261" s="459">
        <f t="shared" si="63"/>
        <v>0.33829591011645954</v>
      </c>
      <c r="AE261" s="459">
        <f t="shared" si="64"/>
        <v>64.541619270394065</v>
      </c>
      <c r="AF261" s="460">
        <f t="shared" si="65"/>
        <v>1.363728813559322</v>
      </c>
      <c r="AG261" s="446"/>
      <c r="AH261" s="446"/>
      <c r="AI261" s="446"/>
      <c r="AJ261" s="446"/>
      <c r="AK261" s="446"/>
      <c r="AL261" s="443"/>
      <c r="AM261" s="443"/>
      <c r="AN261" s="461"/>
      <c r="AO261" s="456">
        <f t="shared" si="66"/>
        <v>130.02285678450249</v>
      </c>
      <c r="AP261" s="460">
        <f t="shared" si="67"/>
        <v>3.181482152361641</v>
      </c>
      <c r="AQ261" s="443"/>
      <c r="AR261" s="462" t="s">
        <v>1100</v>
      </c>
      <c r="AV261" s="349"/>
      <c r="AW261" s="349"/>
      <c r="AX261" s="349"/>
    </row>
    <row r="262" spans="1:50" s="352" customFormat="1" ht="15.75">
      <c r="A262" s="442" t="s">
        <v>1326</v>
      </c>
      <c r="B262" s="443" t="s">
        <v>1555</v>
      </c>
      <c r="C262" s="444">
        <v>2</v>
      </c>
      <c r="D262" s="445" t="s">
        <v>1402</v>
      </c>
      <c r="E262" s="446">
        <v>1998</v>
      </c>
      <c r="F262" s="444">
        <v>2002</v>
      </c>
      <c r="G262" s="447"/>
      <c r="H262" s="448">
        <f t="shared" si="72"/>
        <v>457.22580059874809</v>
      </c>
      <c r="I262" s="449">
        <v>450</v>
      </c>
      <c r="J262" s="450">
        <f t="shared" si="60"/>
        <v>172.24200000000002</v>
      </c>
      <c r="K262" s="450">
        <f t="shared" si="76"/>
        <v>52.5</v>
      </c>
      <c r="L262" s="450"/>
      <c r="M262" s="450">
        <v>52.5</v>
      </c>
      <c r="N262" s="450">
        <f t="shared" si="73"/>
        <v>29.527200000000001</v>
      </c>
      <c r="O262" s="450">
        <v>9</v>
      </c>
      <c r="P262" s="450">
        <f t="shared" si="73"/>
        <v>8.5300799999999999</v>
      </c>
      <c r="Q262" s="451">
        <v>2.6</v>
      </c>
      <c r="R262" s="452">
        <f t="shared" ref="R262:R276" si="78">J262/N262</f>
        <v>5.8333333333333339</v>
      </c>
      <c r="S262" s="453">
        <f t="shared" ref="S262:S276" si="79">J262/P262</f>
        <v>20.192307692307693</v>
      </c>
      <c r="T262" s="444">
        <v>36</v>
      </c>
      <c r="U262" s="454">
        <f t="shared" si="77"/>
        <v>6119</v>
      </c>
      <c r="V262" s="454">
        <v>6119</v>
      </c>
      <c r="W262" s="454"/>
      <c r="X262" s="455"/>
      <c r="Y262" s="456">
        <v>30</v>
      </c>
      <c r="Z262" s="457"/>
      <c r="AA262" s="458">
        <f t="shared" si="70"/>
        <v>1.7829655373142002</v>
      </c>
      <c r="AB262" s="459">
        <f t="shared" si="61"/>
        <v>3.1789661072501145</v>
      </c>
      <c r="AC262" s="459">
        <f t="shared" si="62"/>
        <v>0.6798518422435228</v>
      </c>
      <c r="AD262" s="459">
        <f t="shared" si="63"/>
        <v>0.46219852740191181</v>
      </c>
      <c r="AE262" s="459">
        <f t="shared" si="64"/>
        <v>88.06337684178564</v>
      </c>
      <c r="AF262" s="460">
        <f t="shared" si="65"/>
        <v>2.2062428501389117</v>
      </c>
      <c r="AG262" s="446"/>
      <c r="AH262" s="446"/>
      <c r="AI262" s="446"/>
      <c r="AJ262" s="446"/>
      <c r="AK262" s="446"/>
      <c r="AL262" s="443"/>
      <c r="AM262" s="443"/>
      <c r="AN262" s="461"/>
      <c r="AO262" s="456">
        <f t="shared" si="66"/>
        <v>259.11446227706961</v>
      </c>
      <c r="AP262" s="460">
        <f t="shared" si="67"/>
        <v>7.0321252930543201</v>
      </c>
      <c r="AQ262" s="443"/>
      <c r="AR262" s="462" t="s">
        <v>1100</v>
      </c>
      <c r="AV262" s="349"/>
      <c r="AW262" s="349"/>
      <c r="AX262" s="349"/>
    </row>
    <row r="263" spans="1:50" s="352" customFormat="1" ht="15.75">
      <c r="A263" s="485" t="s">
        <v>1326</v>
      </c>
      <c r="B263" s="505" t="s">
        <v>1556</v>
      </c>
      <c r="C263" s="487"/>
      <c r="D263" s="488" t="s">
        <v>1337</v>
      </c>
      <c r="E263" s="489">
        <v>1999</v>
      </c>
      <c r="F263" s="487"/>
      <c r="G263" s="490" t="s">
        <v>1190</v>
      </c>
      <c r="H263" s="491">
        <f>I263*2240/2204.6</f>
        <v>457.22580059874809</v>
      </c>
      <c r="I263" s="492">
        <v>450</v>
      </c>
      <c r="J263" s="493">
        <f t="shared" si="60"/>
        <v>140.4</v>
      </c>
      <c r="K263" s="493">
        <f t="shared" si="76"/>
        <v>42.794440380395024</v>
      </c>
      <c r="L263" s="493">
        <v>42.794440380395024</v>
      </c>
      <c r="M263" s="493"/>
      <c r="N263" s="493">
        <f t="shared" si="73"/>
        <v>22.3</v>
      </c>
      <c r="O263" s="493">
        <v>6.7971226530114608</v>
      </c>
      <c r="P263" s="493">
        <f t="shared" si="73"/>
        <v>8.1999999999999993</v>
      </c>
      <c r="Q263" s="494">
        <v>2.4993903925871734</v>
      </c>
      <c r="R263" s="495">
        <f t="shared" si="78"/>
        <v>6.2959641255605385</v>
      </c>
      <c r="S263" s="496">
        <f t="shared" si="79"/>
        <v>17.121951219512198</v>
      </c>
      <c r="T263" s="487"/>
      <c r="U263" s="497">
        <f t="shared" si="77"/>
        <v>5685</v>
      </c>
      <c r="V263" s="497"/>
      <c r="W263" s="497">
        <v>5685</v>
      </c>
      <c r="X263" s="498"/>
      <c r="Y263" s="499">
        <v>26</v>
      </c>
      <c r="Z263" s="500" t="s">
        <v>1514</v>
      </c>
      <c r="AA263" s="501">
        <f>Y263*1.6878/SQRT(32.174*(H263*2204.6/2240*35)^(1/3))</f>
        <v>1.5452367990056399</v>
      </c>
      <c r="AB263" s="502">
        <f t="shared" si="61"/>
        <v>2.3877567650011966</v>
      </c>
      <c r="AC263" s="502">
        <f t="shared" si="62"/>
        <v>0.65260793183234167</v>
      </c>
      <c r="AD263" s="502">
        <f t="shared" si="63"/>
        <v>0.4258971126904863</v>
      </c>
      <c r="AE263" s="502">
        <f t="shared" si="64"/>
        <v>162.59649907104063</v>
      </c>
      <c r="AF263" s="503">
        <f t="shared" si="65"/>
        <v>2.0580474934036941</v>
      </c>
      <c r="AG263" s="504">
        <v>2000</v>
      </c>
      <c r="AH263" s="504">
        <v>12</v>
      </c>
      <c r="AI263" s="504"/>
      <c r="AJ263" s="504"/>
      <c r="AK263" s="489">
        <v>2</v>
      </c>
      <c r="AL263" s="505"/>
      <c r="AM263" s="505"/>
      <c r="AN263" s="506"/>
      <c r="AO263" s="499">
        <f t="shared" si="66"/>
        <v>181.550695675947</v>
      </c>
      <c r="AP263" s="503">
        <f t="shared" si="67"/>
        <v>6.0445617121078863</v>
      </c>
      <c r="AQ263" s="505"/>
      <c r="AR263" s="507" t="s">
        <v>1149</v>
      </c>
      <c r="AV263" s="349"/>
      <c r="AW263" s="349"/>
      <c r="AX263" s="349"/>
    </row>
    <row r="264" spans="1:50" s="352" customFormat="1" ht="15.75">
      <c r="A264" s="421" t="s">
        <v>1447</v>
      </c>
      <c r="B264" s="422" t="s">
        <v>1557</v>
      </c>
      <c r="C264" s="423">
        <v>3</v>
      </c>
      <c r="D264" s="424" t="s">
        <v>1558</v>
      </c>
      <c r="E264" s="425">
        <v>1995</v>
      </c>
      <c r="F264" s="423">
        <v>1996</v>
      </c>
      <c r="G264" s="426"/>
      <c r="H264" s="427">
        <f t="shared" si="72"/>
        <v>482.62723396534523</v>
      </c>
      <c r="I264" s="428">
        <v>475</v>
      </c>
      <c r="J264" s="429">
        <f t="shared" si="60"/>
        <v>178.80360000000002</v>
      </c>
      <c r="K264" s="429">
        <f t="shared" si="76"/>
        <v>54.5</v>
      </c>
      <c r="L264" s="429"/>
      <c r="M264" s="429">
        <v>54.5</v>
      </c>
      <c r="N264" s="429">
        <f t="shared" si="73"/>
        <v>26.246400000000001</v>
      </c>
      <c r="O264" s="429">
        <v>8</v>
      </c>
      <c r="P264" s="429">
        <f t="shared" si="73"/>
        <v>8.8581600000000016</v>
      </c>
      <c r="Q264" s="430">
        <v>2.7</v>
      </c>
      <c r="R264" s="431">
        <f t="shared" si="78"/>
        <v>6.8125</v>
      </c>
      <c r="S264" s="432">
        <f t="shared" si="79"/>
        <v>20.185185185185183</v>
      </c>
      <c r="T264" s="423">
        <v>43</v>
      </c>
      <c r="U264" s="433">
        <f t="shared" si="77"/>
        <v>8000</v>
      </c>
      <c r="V264" s="433">
        <v>8000</v>
      </c>
      <c r="W264" s="433">
        <f>X264/0.7457</f>
        <v>7885.2085288990211</v>
      </c>
      <c r="X264" s="434">
        <v>5880</v>
      </c>
      <c r="Y264" s="435">
        <v>24</v>
      </c>
      <c r="Z264" s="436"/>
      <c r="AA264" s="437">
        <f t="shared" si="70"/>
        <v>1.4135768359906165</v>
      </c>
      <c r="AB264" s="438">
        <f t="shared" si="61"/>
        <v>1.9981994712492421</v>
      </c>
      <c r="AC264" s="438">
        <f t="shared" si="62"/>
        <v>0.53380872292748482</v>
      </c>
      <c r="AD264" s="438">
        <f t="shared" si="63"/>
        <v>0.28495175267347228</v>
      </c>
      <c r="AE264" s="438">
        <f t="shared" si="64"/>
        <v>83.093075552446678</v>
      </c>
      <c r="AF264" s="439">
        <f t="shared" si="65"/>
        <v>1.425</v>
      </c>
      <c r="AG264" s="436">
        <v>2400</v>
      </c>
      <c r="AH264" s="425"/>
      <c r="AI264" s="425"/>
      <c r="AJ264" s="425"/>
      <c r="AK264" s="425">
        <v>2</v>
      </c>
      <c r="AL264" s="422" t="s">
        <v>1080</v>
      </c>
      <c r="AM264" s="422">
        <v>4</v>
      </c>
      <c r="AN264" s="440"/>
      <c r="AO264" s="435">
        <f t="shared" si="66"/>
        <v>105.19767574753783</v>
      </c>
      <c r="AP264" s="439">
        <f t="shared" si="67"/>
        <v>2.8002120762669209</v>
      </c>
      <c r="AQ264" s="422"/>
      <c r="AR264" s="441" t="s">
        <v>1090</v>
      </c>
      <c r="AV264" s="349"/>
      <c r="AW264" s="349"/>
      <c r="AX264" s="349"/>
    </row>
    <row r="265" spans="1:50" s="352" customFormat="1" ht="15.75">
      <c r="A265" s="421" t="s">
        <v>1447</v>
      </c>
      <c r="B265" s="422" t="s">
        <v>1559</v>
      </c>
      <c r="C265" s="423">
        <v>14</v>
      </c>
      <c r="D265" s="424" t="s">
        <v>1364</v>
      </c>
      <c r="E265" s="425">
        <v>1989</v>
      </c>
      <c r="F265" s="423">
        <v>1996</v>
      </c>
      <c r="G265" s="426"/>
      <c r="H265" s="427">
        <f>I265*2240/2204.6</f>
        <v>487.70752063866462</v>
      </c>
      <c r="I265" s="428">
        <v>480</v>
      </c>
      <c r="J265" s="429">
        <f t="shared" si="60"/>
        <v>177.16320000000002</v>
      </c>
      <c r="K265" s="429">
        <f t="shared" si="76"/>
        <v>54</v>
      </c>
      <c r="L265" s="429"/>
      <c r="M265" s="429">
        <v>54</v>
      </c>
      <c r="N265" s="429">
        <f t="shared" si="73"/>
        <v>29.527200000000001</v>
      </c>
      <c r="O265" s="429">
        <v>9</v>
      </c>
      <c r="P265" s="429">
        <f t="shared" si="73"/>
        <v>8.202</v>
      </c>
      <c r="Q265" s="430">
        <v>2.5</v>
      </c>
      <c r="R265" s="431">
        <f t="shared" si="78"/>
        <v>6.0000000000000009</v>
      </c>
      <c r="S265" s="432">
        <f t="shared" si="79"/>
        <v>21.6</v>
      </c>
      <c r="T265" s="423">
        <v>19</v>
      </c>
      <c r="U265" s="433">
        <f t="shared" si="77"/>
        <v>11250</v>
      </c>
      <c r="V265" s="433">
        <v>11250</v>
      </c>
      <c r="W265" s="433">
        <f>X265/0.7457</f>
        <v>11210.942738366635</v>
      </c>
      <c r="X265" s="434">
        <v>8360</v>
      </c>
      <c r="Y265" s="435">
        <v>30</v>
      </c>
      <c r="Z265" s="436"/>
      <c r="AA265" s="437">
        <f t="shared" si="70"/>
        <v>1.7638899870489388</v>
      </c>
      <c r="AB265" s="438">
        <f t="shared" si="61"/>
        <v>3.1113078864115056</v>
      </c>
      <c r="AC265" s="438">
        <f t="shared" si="62"/>
        <v>0.67034295656665588</v>
      </c>
      <c r="AD265" s="438">
        <f t="shared" si="63"/>
        <v>0.4493596794185255</v>
      </c>
      <c r="AE265" s="438">
        <f t="shared" si="64"/>
        <v>86.321840011238223</v>
      </c>
      <c r="AF265" s="439">
        <f t="shared" si="65"/>
        <v>1.28</v>
      </c>
      <c r="AG265" s="436">
        <v>2400</v>
      </c>
      <c r="AH265" s="425"/>
      <c r="AI265" s="425"/>
      <c r="AJ265" s="425"/>
      <c r="AK265" s="425"/>
      <c r="AL265" s="422" t="s">
        <v>1560</v>
      </c>
      <c r="AM265" s="422">
        <v>4</v>
      </c>
      <c r="AN265" s="440" t="s">
        <v>1561</v>
      </c>
      <c r="AO265" s="435">
        <f t="shared" si="66"/>
        <v>147.13141101956219</v>
      </c>
      <c r="AP265" s="439">
        <f t="shared" si="67"/>
        <v>3.9665122327887503</v>
      </c>
      <c r="AQ265" s="422"/>
      <c r="AR265" s="441" t="s">
        <v>1090</v>
      </c>
      <c r="AV265" s="349"/>
      <c r="AW265" s="349"/>
      <c r="AX265" s="349"/>
    </row>
    <row r="266" spans="1:50" s="352" customFormat="1" ht="15.75">
      <c r="A266" s="442" t="s">
        <v>1326</v>
      </c>
      <c r="B266" s="443" t="s">
        <v>1562</v>
      </c>
      <c r="C266" s="444">
        <v>2</v>
      </c>
      <c r="D266" s="445" t="s">
        <v>1267</v>
      </c>
      <c r="E266" s="446">
        <v>1997</v>
      </c>
      <c r="F266" s="444" t="s">
        <v>567</v>
      </c>
      <c r="G266" s="447"/>
      <c r="H266" s="448">
        <f t="shared" si="72"/>
        <v>487.70752063866462</v>
      </c>
      <c r="I266" s="449">
        <v>480</v>
      </c>
      <c r="J266" s="450">
        <f t="shared" si="60"/>
        <v>190.28640000000001</v>
      </c>
      <c r="K266" s="450">
        <f t="shared" si="76"/>
        <v>58</v>
      </c>
      <c r="L266" s="450"/>
      <c r="M266" s="450">
        <v>58</v>
      </c>
      <c r="N266" s="450">
        <f t="shared" si="73"/>
        <v>26.902559999999998</v>
      </c>
      <c r="O266" s="450">
        <v>8.1999999999999993</v>
      </c>
      <c r="P266" s="450">
        <f t="shared" si="73"/>
        <v>9.1862399999999997</v>
      </c>
      <c r="Q266" s="451">
        <v>2.8</v>
      </c>
      <c r="R266" s="452">
        <f t="shared" si="78"/>
        <v>7.073170731707318</v>
      </c>
      <c r="S266" s="453">
        <f t="shared" si="79"/>
        <v>20.714285714285715</v>
      </c>
      <c r="T266" s="444">
        <v>24</v>
      </c>
      <c r="U266" s="454"/>
      <c r="V266" s="454"/>
      <c r="W266" s="454"/>
      <c r="X266" s="455"/>
      <c r="Y266" s="456">
        <v>22</v>
      </c>
      <c r="Z266" s="457"/>
      <c r="AA266" s="458">
        <f t="shared" si="70"/>
        <v>1.2935193238358884</v>
      </c>
      <c r="AB266" s="459">
        <f t="shared" si="61"/>
        <v>1.6731922411368541</v>
      </c>
      <c r="AC266" s="459">
        <f t="shared" si="62"/>
        <v>0.47433083700772394</v>
      </c>
      <c r="AD266" s="459">
        <f t="shared" si="63"/>
        <v>0.22498974293644797</v>
      </c>
      <c r="AE266" s="459">
        <f t="shared" si="64"/>
        <v>69.665536796965952</v>
      </c>
      <c r="AF266" s="460"/>
      <c r="AG266" s="446"/>
      <c r="AH266" s="446"/>
      <c r="AI266" s="446"/>
      <c r="AJ266" s="446"/>
      <c r="AK266" s="446"/>
      <c r="AL266" s="443"/>
      <c r="AM266" s="443"/>
      <c r="AN266" s="461"/>
      <c r="AO266" s="456"/>
      <c r="AP266" s="460"/>
      <c r="AQ266" s="443"/>
      <c r="AR266" s="462" t="s">
        <v>1100</v>
      </c>
      <c r="AV266" s="349"/>
      <c r="AW266" s="349"/>
      <c r="AX266" s="349"/>
    </row>
    <row r="267" spans="1:50" s="352" customFormat="1" ht="15.75">
      <c r="A267" s="400" t="s">
        <v>1447</v>
      </c>
      <c r="B267" s="401" t="s">
        <v>1563</v>
      </c>
      <c r="C267" s="402"/>
      <c r="D267" s="403" t="s">
        <v>752</v>
      </c>
      <c r="E267" s="404"/>
      <c r="F267" s="402"/>
      <c r="G267" s="405"/>
      <c r="H267" s="406">
        <v>496</v>
      </c>
      <c r="I267" s="407">
        <f>H267*2204.6/2240</f>
        <v>488.16142857142853</v>
      </c>
      <c r="J267" s="408">
        <f t="shared" ref="J267:J276" si="80">K267*3.2808</f>
        <v>202.42536000000001</v>
      </c>
      <c r="K267" s="408">
        <v>61.7</v>
      </c>
      <c r="L267" s="408"/>
      <c r="M267" s="408"/>
      <c r="N267" s="408">
        <f t="shared" si="73"/>
        <v>24.934080000000002</v>
      </c>
      <c r="O267" s="408">
        <v>7.6</v>
      </c>
      <c r="P267" s="408">
        <f t="shared" si="73"/>
        <v>8.202</v>
      </c>
      <c r="Q267" s="409">
        <v>2.5</v>
      </c>
      <c r="R267" s="410">
        <f t="shared" si="78"/>
        <v>8.1184210526315788</v>
      </c>
      <c r="S267" s="411">
        <f t="shared" si="79"/>
        <v>24.680000000000003</v>
      </c>
      <c r="T267" s="402"/>
      <c r="U267" s="412"/>
      <c r="V267" s="412"/>
      <c r="W267" s="412"/>
      <c r="X267" s="413"/>
      <c r="Y267" s="414">
        <v>31</v>
      </c>
      <c r="Z267" s="415"/>
      <c r="AA267" s="416">
        <f t="shared" si="70"/>
        <v>1.8175717475343196</v>
      </c>
      <c r="AB267" s="417">
        <f t="shared" ref="AB267:AB276" si="81">AA267^2</f>
        <v>3.3035670574349605</v>
      </c>
      <c r="AC267" s="417">
        <f t="shared" ref="AC267:AC276" si="82">Y267*1.687/SQRT(32.174*J267)</f>
        <v>0.64802503997571714</v>
      </c>
      <c r="AD267" s="417">
        <f t="shared" ref="AD267:AD276" si="83">AC267^2</f>
        <v>0.41993645243552979</v>
      </c>
      <c r="AE267" s="417">
        <f t="shared" si="64"/>
        <v>58.853012822942745</v>
      </c>
      <c r="AF267" s="418"/>
      <c r="AG267" s="415">
        <v>3000</v>
      </c>
      <c r="AH267" s="415"/>
      <c r="AI267" s="415"/>
      <c r="AJ267" s="415"/>
      <c r="AK267" s="404"/>
      <c r="AL267" s="401"/>
      <c r="AM267" s="401"/>
      <c r="AN267" s="419"/>
      <c r="AO267" s="414"/>
      <c r="AP267" s="418"/>
      <c r="AQ267" s="401"/>
      <c r="AR267" s="420" t="s">
        <v>1081</v>
      </c>
      <c r="AV267" s="349"/>
      <c r="AW267" s="349"/>
      <c r="AX267" s="349"/>
    </row>
    <row r="268" spans="1:50" s="352" customFormat="1" ht="15.75">
      <c r="A268" s="442" t="s">
        <v>1326</v>
      </c>
      <c r="B268" s="443" t="s">
        <v>1564</v>
      </c>
      <c r="C268" s="444">
        <v>2</v>
      </c>
      <c r="D268" s="445" t="s">
        <v>1107</v>
      </c>
      <c r="E268" s="446"/>
      <c r="F268" s="444"/>
      <c r="G268" s="447"/>
      <c r="H268" s="448">
        <f t="shared" si="72"/>
        <v>497.86809398530346</v>
      </c>
      <c r="I268" s="449">
        <v>490</v>
      </c>
      <c r="J268" s="450">
        <f t="shared" si="80"/>
        <v>209.97120000000001</v>
      </c>
      <c r="K268" s="450">
        <f>IF(M268="",L268,M268)</f>
        <v>64</v>
      </c>
      <c r="L268" s="450"/>
      <c r="M268" s="450">
        <v>64</v>
      </c>
      <c r="N268" s="450">
        <f t="shared" si="73"/>
        <v>23.621760000000002</v>
      </c>
      <c r="O268" s="450">
        <v>7.2</v>
      </c>
      <c r="P268" s="450">
        <f t="shared" si="73"/>
        <v>7.2177600000000011</v>
      </c>
      <c r="Q268" s="451">
        <v>2.2000000000000002</v>
      </c>
      <c r="R268" s="452">
        <f t="shared" si="78"/>
        <v>8.8888888888888893</v>
      </c>
      <c r="S268" s="453">
        <f t="shared" si="79"/>
        <v>29.090909090909086</v>
      </c>
      <c r="T268" s="444">
        <v>72</v>
      </c>
      <c r="U268" s="454">
        <f>IF(V268="",W268,V268)</f>
        <v>8800</v>
      </c>
      <c r="V268" s="454">
        <v>8800</v>
      </c>
      <c r="W268" s="454"/>
      <c r="X268" s="455"/>
      <c r="Y268" s="456">
        <v>28</v>
      </c>
      <c r="Z268" s="457"/>
      <c r="AA268" s="458">
        <f t="shared" si="70"/>
        <v>1.6406494518428532</v>
      </c>
      <c r="AB268" s="459">
        <f t="shared" si="81"/>
        <v>2.6917306238322545</v>
      </c>
      <c r="AC268" s="459">
        <f t="shared" si="82"/>
        <v>0.57469936868994065</v>
      </c>
      <c r="AD268" s="459">
        <f t="shared" si="83"/>
        <v>0.33027936437261635</v>
      </c>
      <c r="AE268" s="459">
        <f t="shared" ref="AE268:AE276" si="84">I268/(0.01*J268)^3</f>
        <v>52.931827589746419</v>
      </c>
      <c r="AF268" s="460">
        <f t="shared" ref="AF268:AF276" si="85">IF(U268="","",Y268*I268/U268)</f>
        <v>1.5590909090909091</v>
      </c>
      <c r="AG268" s="457"/>
      <c r="AH268" s="457"/>
      <c r="AI268" s="457"/>
      <c r="AJ268" s="457"/>
      <c r="AK268" s="446"/>
      <c r="AL268" s="443"/>
      <c r="AM268" s="443"/>
      <c r="AN268" s="461"/>
      <c r="AO268" s="456">
        <f t="shared" ref="AO268:AO276" si="86">IF(U268="","",I268^(2/3)*Y268^3/U268)</f>
        <v>155.04418241338064</v>
      </c>
      <c r="AP268" s="460">
        <f t="shared" ref="AP268:AP276" si="87">IF(U268="","",0.61*I268*Y268^3/(J268*U268))</f>
        <v>3.5510566990312782</v>
      </c>
      <c r="AQ268" s="443"/>
      <c r="AR268" s="462" t="s">
        <v>1100</v>
      </c>
      <c r="AV268" s="349"/>
      <c r="AW268" s="349"/>
      <c r="AX268" s="349"/>
    </row>
    <row r="269" spans="1:50" s="352" customFormat="1" ht="15.75">
      <c r="A269" s="400" t="s">
        <v>1447</v>
      </c>
      <c r="B269" s="401" t="s">
        <v>1565</v>
      </c>
      <c r="C269" s="402"/>
      <c r="D269" s="403" t="s">
        <v>1377</v>
      </c>
      <c r="E269" s="404">
        <v>1980</v>
      </c>
      <c r="F269" s="402"/>
      <c r="G269" s="405"/>
      <c r="H269" s="406">
        <v>503</v>
      </c>
      <c r="I269" s="407">
        <f>H269*2204.6/2240</f>
        <v>495.05080357142862</v>
      </c>
      <c r="J269" s="408">
        <f t="shared" si="80"/>
        <v>190.61448000000001</v>
      </c>
      <c r="K269" s="408">
        <v>58.1</v>
      </c>
      <c r="L269" s="408"/>
      <c r="M269" s="408"/>
      <c r="N269" s="408">
        <f t="shared" si="73"/>
        <v>26.574480000000001</v>
      </c>
      <c r="O269" s="408">
        <v>8.1</v>
      </c>
      <c r="P269" s="408">
        <f t="shared" si="73"/>
        <v>6.5616000000000003</v>
      </c>
      <c r="Q269" s="409">
        <v>2</v>
      </c>
      <c r="R269" s="410">
        <f t="shared" si="78"/>
        <v>7.1728395061728394</v>
      </c>
      <c r="S269" s="411">
        <f t="shared" si="79"/>
        <v>29.05</v>
      </c>
      <c r="T269" s="402"/>
      <c r="U269" s="412">
        <f>X269/0.7457</f>
        <v>23065.575968888294</v>
      </c>
      <c r="V269" s="412"/>
      <c r="W269" s="412"/>
      <c r="X269" s="413">
        <v>17200</v>
      </c>
      <c r="Y269" s="414">
        <v>38</v>
      </c>
      <c r="Z269" s="415"/>
      <c r="AA269" s="416">
        <f t="shared" si="70"/>
        <v>2.2227933120098866</v>
      </c>
      <c r="AB269" s="417">
        <f t="shared" si="81"/>
        <v>4.9408101079158815</v>
      </c>
      <c r="AC269" s="417">
        <f t="shared" si="82"/>
        <v>0.81859333846757809</v>
      </c>
      <c r="AD269" s="417">
        <f t="shared" si="83"/>
        <v>0.67009505378349488</v>
      </c>
      <c r="AE269" s="417">
        <f t="shared" si="84"/>
        <v>71.479598397337313</v>
      </c>
      <c r="AF269" s="418">
        <f t="shared" si="85"/>
        <v>0.81558468607454326</v>
      </c>
      <c r="AG269" s="415">
        <v>2900</v>
      </c>
      <c r="AH269" s="415"/>
      <c r="AI269" s="415"/>
      <c r="AJ269" s="415"/>
      <c r="AK269" s="404"/>
      <c r="AL269" s="401" t="s">
        <v>721</v>
      </c>
      <c r="AM269" s="401">
        <v>4</v>
      </c>
      <c r="AN269" s="419" t="s">
        <v>1329</v>
      </c>
      <c r="AO269" s="414">
        <f t="shared" si="86"/>
        <v>148.87427718231723</v>
      </c>
      <c r="AP269" s="418">
        <f t="shared" si="87"/>
        <v>3.7688617091519001</v>
      </c>
      <c r="AQ269" s="401"/>
      <c r="AR269" s="420" t="s">
        <v>1081</v>
      </c>
      <c r="AV269" s="349"/>
      <c r="AW269" s="349"/>
      <c r="AX269" s="349"/>
    </row>
    <row r="270" spans="1:50" s="352" customFormat="1" ht="15.75">
      <c r="A270" s="421" t="s">
        <v>1447</v>
      </c>
      <c r="B270" s="422" t="s">
        <v>1566</v>
      </c>
      <c r="C270" s="423">
        <v>12</v>
      </c>
      <c r="D270" s="424" t="s">
        <v>1567</v>
      </c>
      <c r="E270" s="425">
        <v>1996</v>
      </c>
      <c r="F270" s="423">
        <v>1999</v>
      </c>
      <c r="G270" s="426"/>
      <c r="H270" s="427">
        <f t="shared" ref="H270:H276" si="88">I270*2240/2204.6</f>
        <v>508.0286673319423</v>
      </c>
      <c r="I270" s="428">
        <v>500</v>
      </c>
      <c r="J270" s="429">
        <f t="shared" si="80"/>
        <v>180.44400000000002</v>
      </c>
      <c r="K270" s="429">
        <f t="shared" ref="K270:K276" si="89">IF(M270="",L270,M270)</f>
        <v>55</v>
      </c>
      <c r="L270" s="429"/>
      <c r="M270" s="429">
        <v>55</v>
      </c>
      <c r="N270" s="429">
        <f t="shared" si="73"/>
        <v>28.214880000000001</v>
      </c>
      <c r="O270" s="429">
        <v>8.6</v>
      </c>
      <c r="P270" s="429">
        <f t="shared" si="73"/>
        <v>8.8581600000000016</v>
      </c>
      <c r="Q270" s="430">
        <v>2.7</v>
      </c>
      <c r="R270" s="431">
        <f t="shared" si="78"/>
        <v>6.395348837209303</v>
      </c>
      <c r="S270" s="432">
        <f t="shared" si="79"/>
        <v>20.37037037037037</v>
      </c>
      <c r="T270" s="423">
        <v>32</v>
      </c>
      <c r="U270" s="433">
        <f t="shared" ref="U270:U276" si="90">IF(V270="",W270,V270)</f>
        <v>8554</v>
      </c>
      <c r="V270" s="433">
        <v>8554</v>
      </c>
      <c r="W270" s="433">
        <f>X270/0.7457</f>
        <v>8435.0274909481013</v>
      </c>
      <c r="X270" s="434">
        <v>6290</v>
      </c>
      <c r="Y270" s="435">
        <v>20</v>
      </c>
      <c r="Z270" s="436"/>
      <c r="AA270" s="437">
        <f t="shared" si="70"/>
        <v>1.1679532012258913</v>
      </c>
      <c r="AB270" s="438">
        <f t="shared" si="81"/>
        <v>1.3641146802538073</v>
      </c>
      <c r="AC270" s="438">
        <f t="shared" si="82"/>
        <v>0.44281398323253712</v>
      </c>
      <c r="AD270" s="438">
        <f t="shared" si="83"/>
        <v>0.19608422374626566</v>
      </c>
      <c r="AE270" s="438">
        <f t="shared" si="84"/>
        <v>85.102568341657985</v>
      </c>
      <c r="AF270" s="439">
        <f t="shared" si="85"/>
        <v>1.1690437222352117</v>
      </c>
      <c r="AG270" s="436"/>
      <c r="AH270" s="425"/>
      <c r="AI270" s="425"/>
      <c r="AJ270" s="425"/>
      <c r="AK270" s="425">
        <v>2</v>
      </c>
      <c r="AL270" s="422" t="s">
        <v>1080</v>
      </c>
      <c r="AM270" s="422">
        <v>4</v>
      </c>
      <c r="AN270" s="440" t="s">
        <v>1086</v>
      </c>
      <c r="AO270" s="435">
        <f t="shared" si="86"/>
        <v>58.916111755663884</v>
      </c>
      <c r="AP270" s="439">
        <f t="shared" si="87"/>
        <v>1.5808043948559751</v>
      </c>
      <c r="AQ270" s="422"/>
      <c r="AR270" s="441" t="s">
        <v>1090</v>
      </c>
      <c r="AV270" s="349"/>
      <c r="AW270" s="349"/>
      <c r="AX270" s="349"/>
    </row>
    <row r="271" spans="1:50" s="352" customFormat="1" ht="15.75">
      <c r="A271" s="442" t="s">
        <v>1326</v>
      </c>
      <c r="B271" s="443" t="s">
        <v>1568</v>
      </c>
      <c r="C271" s="444">
        <v>1</v>
      </c>
      <c r="D271" s="445" t="s">
        <v>1379</v>
      </c>
      <c r="E271" s="446">
        <v>1963</v>
      </c>
      <c r="F271" s="444" t="s">
        <v>567</v>
      </c>
      <c r="G271" s="447"/>
      <c r="H271" s="448">
        <f t="shared" si="88"/>
        <v>538.51038737185888</v>
      </c>
      <c r="I271" s="449">
        <v>530</v>
      </c>
      <c r="J271" s="450">
        <f t="shared" si="80"/>
        <v>158.46263999999999</v>
      </c>
      <c r="K271" s="450">
        <f t="shared" si="89"/>
        <v>48.3</v>
      </c>
      <c r="L271" s="450"/>
      <c r="M271" s="450">
        <v>48.3</v>
      </c>
      <c r="N271" s="450">
        <f t="shared" ref="N271:N276" si="91">O271*3.2808</f>
        <v>27.230640000000005</v>
      </c>
      <c r="O271" s="450">
        <v>8.3000000000000007</v>
      </c>
      <c r="P271" s="450">
        <f t="shared" ref="P271:P276" si="92">Q271*3.2808</f>
        <v>14.10744</v>
      </c>
      <c r="Q271" s="451">
        <v>4.3</v>
      </c>
      <c r="R271" s="452">
        <f t="shared" si="78"/>
        <v>5.8192771084337336</v>
      </c>
      <c r="S271" s="453">
        <f t="shared" si="79"/>
        <v>11.232558139534882</v>
      </c>
      <c r="T271" s="444">
        <v>10</v>
      </c>
      <c r="U271" s="454">
        <f t="shared" si="90"/>
        <v>1800</v>
      </c>
      <c r="V271" s="454">
        <v>1800</v>
      </c>
      <c r="W271" s="454"/>
      <c r="X271" s="455"/>
      <c r="Y271" s="456">
        <v>15</v>
      </c>
      <c r="Z271" s="457"/>
      <c r="AA271" s="458">
        <f t="shared" si="70"/>
        <v>0.8674991552130713</v>
      </c>
      <c r="AB271" s="459">
        <f t="shared" si="81"/>
        <v>0.75255478429539235</v>
      </c>
      <c r="AC271" s="459">
        <f t="shared" si="82"/>
        <v>0.35439727132757753</v>
      </c>
      <c r="AD271" s="459">
        <f t="shared" si="83"/>
        <v>0.1255974259244326</v>
      </c>
      <c r="AE271" s="459">
        <f t="shared" si="84"/>
        <v>133.19723468234437</v>
      </c>
      <c r="AF271" s="460">
        <f t="shared" si="85"/>
        <v>4.416666666666667</v>
      </c>
      <c r="AG271" s="446"/>
      <c r="AH271" s="446"/>
      <c r="AI271" s="446"/>
      <c r="AJ271" s="446"/>
      <c r="AK271" s="446"/>
      <c r="AL271" s="443"/>
      <c r="AM271" s="443"/>
      <c r="AN271" s="461"/>
      <c r="AO271" s="456">
        <f t="shared" si="86"/>
        <v>122.79627283998238</v>
      </c>
      <c r="AP271" s="460">
        <f t="shared" si="87"/>
        <v>3.8254285047882584</v>
      </c>
      <c r="AQ271" s="443"/>
      <c r="AR271" s="462" t="s">
        <v>1100</v>
      </c>
      <c r="AV271" s="349"/>
      <c r="AW271" s="349"/>
      <c r="AX271" s="349"/>
    </row>
    <row r="272" spans="1:50" s="352" customFormat="1" ht="15.75">
      <c r="A272" s="442" t="s">
        <v>1326</v>
      </c>
      <c r="B272" s="443" t="s">
        <v>1569</v>
      </c>
      <c r="C272" s="444">
        <v>1</v>
      </c>
      <c r="D272" s="445" t="s">
        <v>1306</v>
      </c>
      <c r="E272" s="446">
        <v>1971</v>
      </c>
      <c r="F272" s="444" t="s">
        <v>567</v>
      </c>
      <c r="G272" s="447"/>
      <c r="H272" s="448">
        <f t="shared" si="88"/>
        <v>553.75124739181717</v>
      </c>
      <c r="I272" s="449">
        <v>545</v>
      </c>
      <c r="J272" s="450">
        <f t="shared" si="80"/>
        <v>159.11880000000002</v>
      </c>
      <c r="K272" s="450">
        <f t="shared" si="89"/>
        <v>48.5</v>
      </c>
      <c r="L272" s="450"/>
      <c r="M272" s="450">
        <v>48.5</v>
      </c>
      <c r="N272" s="450">
        <f t="shared" si="91"/>
        <v>27.886800000000001</v>
      </c>
      <c r="O272" s="450">
        <v>8.5</v>
      </c>
      <c r="P272" s="450">
        <f t="shared" si="92"/>
        <v>12.467040000000001</v>
      </c>
      <c r="Q272" s="451">
        <v>3.8</v>
      </c>
      <c r="R272" s="452">
        <f t="shared" si="78"/>
        <v>5.7058823529411766</v>
      </c>
      <c r="S272" s="453">
        <f t="shared" si="79"/>
        <v>12.763157894736842</v>
      </c>
      <c r="T272" s="444">
        <v>18</v>
      </c>
      <c r="U272" s="454">
        <f t="shared" si="90"/>
        <v>2000</v>
      </c>
      <c r="V272" s="454">
        <v>2000</v>
      </c>
      <c r="W272" s="454"/>
      <c r="X272" s="455"/>
      <c r="Y272" s="456">
        <v>15</v>
      </c>
      <c r="Z272" s="457"/>
      <c r="AA272" s="458">
        <f t="shared" si="70"/>
        <v>0.86347338365293536</v>
      </c>
      <c r="AB272" s="459">
        <f t="shared" si="81"/>
        <v>0.74558628427704932</v>
      </c>
      <c r="AC272" s="459">
        <f t="shared" si="82"/>
        <v>0.3536658004314911</v>
      </c>
      <c r="AD272" s="459">
        <f t="shared" si="83"/>
        <v>0.12507949839484728</v>
      </c>
      <c r="AE272" s="459">
        <f t="shared" si="84"/>
        <v>135.27950878835466</v>
      </c>
      <c r="AF272" s="460">
        <f t="shared" si="85"/>
        <v>4.0875000000000004</v>
      </c>
      <c r="AG272" s="446"/>
      <c r="AH272" s="446"/>
      <c r="AI272" s="446"/>
      <c r="AJ272" s="446"/>
      <c r="AK272" s="446"/>
      <c r="AL272" s="443"/>
      <c r="AM272" s="443"/>
      <c r="AN272" s="461"/>
      <c r="AO272" s="456">
        <f t="shared" si="86"/>
        <v>112.59215105906625</v>
      </c>
      <c r="AP272" s="460">
        <f t="shared" si="87"/>
        <v>3.5257265326284508</v>
      </c>
      <c r="AQ272" s="443"/>
      <c r="AR272" s="462" t="s">
        <v>1100</v>
      </c>
      <c r="AV272" s="349"/>
      <c r="AW272" s="349"/>
      <c r="AX272" s="349"/>
    </row>
    <row r="273" spans="1:50" s="352" customFormat="1" ht="15.75">
      <c r="A273" s="442" t="s">
        <v>1326</v>
      </c>
      <c r="B273" s="443" t="s">
        <v>1570</v>
      </c>
      <c r="C273" s="444">
        <v>1</v>
      </c>
      <c r="D273" s="445" t="s">
        <v>1306</v>
      </c>
      <c r="E273" s="446">
        <v>1977</v>
      </c>
      <c r="F273" s="444" t="s">
        <v>567</v>
      </c>
      <c r="G273" s="447"/>
      <c r="H273" s="448">
        <f t="shared" si="88"/>
        <v>558.83153406513657</v>
      </c>
      <c r="I273" s="449">
        <v>550</v>
      </c>
      <c r="J273" s="450">
        <f t="shared" si="80"/>
        <v>159.11880000000002</v>
      </c>
      <c r="K273" s="450">
        <f t="shared" si="89"/>
        <v>48.5</v>
      </c>
      <c r="L273" s="450"/>
      <c r="M273" s="450">
        <v>48.5</v>
      </c>
      <c r="N273" s="450">
        <f t="shared" si="91"/>
        <v>28.214880000000001</v>
      </c>
      <c r="O273" s="450">
        <v>8.6</v>
      </c>
      <c r="P273" s="450">
        <f t="shared" si="92"/>
        <v>12.795120000000001</v>
      </c>
      <c r="Q273" s="451">
        <v>3.9</v>
      </c>
      <c r="R273" s="452">
        <f t="shared" si="78"/>
        <v>5.6395348837209305</v>
      </c>
      <c r="S273" s="453">
        <f t="shared" si="79"/>
        <v>12.435897435897436</v>
      </c>
      <c r="T273" s="444">
        <v>23</v>
      </c>
      <c r="U273" s="454">
        <f t="shared" si="90"/>
        <v>2000</v>
      </c>
      <c r="V273" s="454">
        <v>2000</v>
      </c>
      <c r="W273" s="454"/>
      <c r="X273" s="455"/>
      <c r="Y273" s="456">
        <v>15</v>
      </c>
      <c r="Z273" s="457"/>
      <c r="AA273" s="458">
        <f t="shared" si="70"/>
        <v>0.86216010728212789</v>
      </c>
      <c r="AB273" s="459">
        <f t="shared" si="81"/>
        <v>0.7433200505887303</v>
      </c>
      <c r="AC273" s="459">
        <f t="shared" si="82"/>
        <v>0.3536658004314911</v>
      </c>
      <c r="AD273" s="459">
        <f t="shared" si="83"/>
        <v>0.12507949839484728</v>
      </c>
      <c r="AE273" s="459">
        <f t="shared" si="84"/>
        <v>136.52060519925698</v>
      </c>
      <c r="AF273" s="460">
        <f t="shared" si="85"/>
        <v>4.125</v>
      </c>
      <c r="AG273" s="446"/>
      <c r="AH273" s="446"/>
      <c r="AI273" s="446"/>
      <c r="AJ273" s="446"/>
      <c r="AK273" s="446"/>
      <c r="AL273" s="443"/>
      <c r="AM273" s="443"/>
      <c r="AN273" s="461"/>
      <c r="AO273" s="456">
        <f t="shared" si="86"/>
        <v>113.27973937739827</v>
      </c>
      <c r="AP273" s="460">
        <f t="shared" si="87"/>
        <v>3.5580726476066933</v>
      </c>
      <c r="AQ273" s="443"/>
      <c r="AR273" s="462" t="s">
        <v>1100</v>
      </c>
      <c r="AV273" s="349"/>
      <c r="AW273" s="349"/>
      <c r="AX273" s="349"/>
    </row>
    <row r="274" spans="1:50" s="352" customFormat="1" ht="15.75">
      <c r="A274" s="442" t="s">
        <v>1326</v>
      </c>
      <c r="B274" s="443" t="s">
        <v>1571</v>
      </c>
      <c r="C274" s="444">
        <v>2</v>
      </c>
      <c r="D274" s="445" t="s">
        <v>1154</v>
      </c>
      <c r="E274" s="446">
        <v>1993</v>
      </c>
      <c r="F274" s="444">
        <v>1994</v>
      </c>
      <c r="G274" s="447"/>
      <c r="H274" s="448">
        <f t="shared" si="88"/>
        <v>563.91182073845596</v>
      </c>
      <c r="I274" s="449">
        <v>555</v>
      </c>
      <c r="J274" s="450">
        <f t="shared" si="80"/>
        <v>185.36520000000002</v>
      </c>
      <c r="K274" s="450">
        <f t="shared" si="89"/>
        <v>56.5</v>
      </c>
      <c r="L274" s="450"/>
      <c r="M274" s="450">
        <v>56.5</v>
      </c>
      <c r="N274" s="450">
        <f t="shared" si="91"/>
        <v>32.808</v>
      </c>
      <c r="O274" s="450">
        <v>10</v>
      </c>
      <c r="P274" s="450">
        <f t="shared" si="92"/>
        <v>8.8581600000000016</v>
      </c>
      <c r="Q274" s="451">
        <v>2.7</v>
      </c>
      <c r="R274" s="452">
        <f t="shared" si="78"/>
        <v>5.65</v>
      </c>
      <c r="S274" s="453">
        <f t="shared" si="79"/>
        <v>20.925925925925924</v>
      </c>
      <c r="T274" s="444">
        <v>36</v>
      </c>
      <c r="U274" s="454">
        <f t="shared" si="90"/>
        <v>9200</v>
      </c>
      <c r="V274" s="454">
        <v>9200</v>
      </c>
      <c r="W274" s="454"/>
      <c r="X274" s="455"/>
      <c r="Y274" s="456">
        <v>24</v>
      </c>
      <c r="Z274" s="457"/>
      <c r="AA274" s="458">
        <f t="shared" si="70"/>
        <v>1.3773770980749882</v>
      </c>
      <c r="AB274" s="459">
        <f t="shared" si="81"/>
        <v>1.8971676703014757</v>
      </c>
      <c r="AC274" s="459">
        <f t="shared" si="82"/>
        <v>0.52427565742480986</v>
      </c>
      <c r="AD274" s="459">
        <f t="shared" si="83"/>
        <v>0.27486496496821661</v>
      </c>
      <c r="AE274" s="459">
        <f t="shared" si="84"/>
        <v>87.13815711977287</v>
      </c>
      <c r="AF274" s="460">
        <f t="shared" si="85"/>
        <v>1.4478260869565218</v>
      </c>
      <c r="AG274" s="446"/>
      <c r="AH274" s="446"/>
      <c r="AI274" s="446"/>
      <c r="AJ274" s="446"/>
      <c r="AK274" s="446"/>
      <c r="AL274" s="443"/>
      <c r="AM274" s="443"/>
      <c r="AN274" s="461"/>
      <c r="AO274" s="456">
        <f t="shared" si="86"/>
        <v>101.47862012898386</v>
      </c>
      <c r="AP274" s="460">
        <f t="shared" si="87"/>
        <v>2.7443564051561107</v>
      </c>
      <c r="AQ274" s="443"/>
      <c r="AR274" s="462" t="s">
        <v>1100</v>
      </c>
      <c r="AV274" s="349"/>
      <c r="AW274" s="349"/>
      <c r="AX274" s="349"/>
    </row>
    <row r="275" spans="1:50" s="352" customFormat="1" ht="15.75">
      <c r="A275" s="442" t="s">
        <v>1326</v>
      </c>
      <c r="B275" s="443" t="s">
        <v>1572</v>
      </c>
      <c r="C275" s="444">
        <v>2</v>
      </c>
      <c r="D275" s="445" t="s">
        <v>1154</v>
      </c>
      <c r="E275" s="446">
        <v>1990</v>
      </c>
      <c r="F275" s="444" t="s">
        <v>567</v>
      </c>
      <c r="G275" s="447"/>
      <c r="H275" s="448">
        <f t="shared" si="88"/>
        <v>563.91182073845596</v>
      </c>
      <c r="I275" s="449">
        <v>555</v>
      </c>
      <c r="J275" s="450">
        <f t="shared" si="80"/>
        <v>179.78783999999999</v>
      </c>
      <c r="K275" s="450">
        <f t="shared" si="89"/>
        <v>54.8</v>
      </c>
      <c r="L275" s="450"/>
      <c r="M275" s="450">
        <v>54.8</v>
      </c>
      <c r="N275" s="450">
        <f t="shared" si="91"/>
        <v>34.448399999999999</v>
      </c>
      <c r="O275" s="450">
        <v>10.5</v>
      </c>
      <c r="P275" s="450">
        <f t="shared" si="92"/>
        <v>8.5300799999999999</v>
      </c>
      <c r="Q275" s="451">
        <v>2.6</v>
      </c>
      <c r="R275" s="452">
        <f t="shared" si="78"/>
        <v>5.2190476190476192</v>
      </c>
      <c r="S275" s="453">
        <f t="shared" si="79"/>
        <v>21.076923076923077</v>
      </c>
      <c r="T275" s="444">
        <v>36</v>
      </c>
      <c r="U275" s="454">
        <f t="shared" si="90"/>
        <v>10000</v>
      </c>
      <c r="V275" s="454">
        <v>10000</v>
      </c>
      <c r="W275" s="454"/>
      <c r="X275" s="455"/>
      <c r="Y275" s="456">
        <v>25</v>
      </c>
      <c r="Z275" s="457"/>
      <c r="AA275" s="458">
        <f t="shared" si="70"/>
        <v>1.4347678104947794</v>
      </c>
      <c r="AB275" s="459">
        <f t="shared" si="81"/>
        <v>2.0585586700319833</v>
      </c>
      <c r="AC275" s="459">
        <f t="shared" si="82"/>
        <v>0.55452662751574977</v>
      </c>
      <c r="AD275" s="459">
        <f t="shared" si="83"/>
        <v>0.30749978062399108</v>
      </c>
      <c r="AE275" s="459">
        <f t="shared" si="84"/>
        <v>95.501905919678563</v>
      </c>
      <c r="AF275" s="460">
        <f t="shared" si="85"/>
        <v>1.3875</v>
      </c>
      <c r="AG275" s="446"/>
      <c r="AH275" s="446"/>
      <c r="AI275" s="446"/>
      <c r="AJ275" s="446"/>
      <c r="AK275" s="446"/>
      <c r="AL275" s="443"/>
      <c r="AM275" s="443"/>
      <c r="AN275" s="461"/>
      <c r="AO275" s="456">
        <f t="shared" si="86"/>
        <v>105.52337705108096</v>
      </c>
      <c r="AP275" s="460">
        <f t="shared" si="87"/>
        <v>2.9422700389525791</v>
      </c>
      <c r="AQ275" s="443"/>
      <c r="AR275" s="462" t="s">
        <v>1100</v>
      </c>
      <c r="AV275" s="349"/>
      <c r="AW275" s="349"/>
      <c r="AX275" s="349"/>
    </row>
    <row r="276" spans="1:50" s="352" customFormat="1" ht="15.75">
      <c r="A276" s="442" t="s">
        <v>1326</v>
      </c>
      <c r="B276" s="443" t="s">
        <v>1573</v>
      </c>
      <c r="C276" s="444">
        <v>5</v>
      </c>
      <c r="D276" s="445" t="s">
        <v>1533</v>
      </c>
      <c r="E276" s="446">
        <v>1995</v>
      </c>
      <c r="F276" s="444">
        <v>1997</v>
      </c>
      <c r="G276" s="447"/>
      <c r="H276" s="448">
        <f t="shared" si="88"/>
        <v>589.31325410505315</v>
      </c>
      <c r="I276" s="449">
        <v>580</v>
      </c>
      <c r="J276" s="450">
        <f t="shared" si="80"/>
        <v>209.97120000000001</v>
      </c>
      <c r="K276" s="450">
        <f t="shared" si="89"/>
        <v>64</v>
      </c>
      <c r="L276" s="450"/>
      <c r="M276" s="450">
        <v>64</v>
      </c>
      <c r="N276" s="450">
        <f t="shared" si="91"/>
        <v>37.401120000000006</v>
      </c>
      <c r="O276" s="450">
        <v>11.4</v>
      </c>
      <c r="P276" s="450">
        <f t="shared" si="92"/>
        <v>9.8424000000000014</v>
      </c>
      <c r="Q276" s="451">
        <v>3</v>
      </c>
      <c r="R276" s="452">
        <f t="shared" si="78"/>
        <v>5.6140350877192979</v>
      </c>
      <c r="S276" s="453">
        <f t="shared" si="79"/>
        <v>21.333333333333332</v>
      </c>
      <c r="T276" s="444">
        <v>24</v>
      </c>
      <c r="U276" s="454">
        <f t="shared" si="90"/>
        <v>10000</v>
      </c>
      <c r="V276" s="454">
        <v>10000</v>
      </c>
      <c r="W276" s="454"/>
      <c r="X276" s="455"/>
      <c r="Y276" s="456">
        <v>24</v>
      </c>
      <c r="Z276" s="457"/>
      <c r="AA276" s="458">
        <f t="shared" si="70"/>
        <v>1.3672996077231514</v>
      </c>
      <c r="AB276" s="459">
        <f t="shared" si="81"/>
        <v>1.8695082172798838</v>
      </c>
      <c r="AC276" s="459">
        <f t="shared" si="82"/>
        <v>0.49259945887709194</v>
      </c>
      <c r="AD276" s="459">
        <f t="shared" si="83"/>
        <v>0.2426542268860038</v>
      </c>
      <c r="AE276" s="459">
        <f t="shared" si="84"/>
        <v>62.654000004189633</v>
      </c>
      <c r="AF276" s="460">
        <f t="shared" si="85"/>
        <v>1.3919999999999999</v>
      </c>
      <c r="AG276" s="446"/>
      <c r="AH276" s="446"/>
      <c r="AI276" s="446"/>
      <c r="AJ276" s="446"/>
      <c r="AK276" s="446"/>
      <c r="AL276" s="443"/>
      <c r="AM276" s="443"/>
      <c r="AN276" s="461"/>
      <c r="AO276" s="456">
        <f t="shared" si="86"/>
        <v>96.143306532146951</v>
      </c>
      <c r="AP276" s="460">
        <f t="shared" si="87"/>
        <v>2.3293343087051941</v>
      </c>
      <c r="AQ276" s="443"/>
      <c r="AR276" s="462" t="s">
        <v>1100</v>
      </c>
    </row>
    <row r="277" spans="1:50" s="352" customFormat="1" ht="3" customHeight="1" thickBot="1">
      <c r="A277" s="565"/>
      <c r="B277" s="566"/>
      <c r="C277" s="567"/>
      <c r="D277" s="568"/>
      <c r="E277" s="569"/>
      <c r="F277" s="567"/>
      <c r="G277" s="570"/>
      <c r="H277" s="571"/>
      <c r="I277" s="572"/>
      <c r="J277" s="572"/>
      <c r="K277" s="572"/>
      <c r="L277" s="572"/>
      <c r="M277" s="572"/>
      <c r="N277" s="572"/>
      <c r="O277" s="572"/>
      <c r="P277" s="572"/>
      <c r="Q277" s="573"/>
      <c r="R277" s="574"/>
      <c r="S277" s="575"/>
      <c r="T277" s="567"/>
      <c r="U277" s="576"/>
      <c r="V277" s="576"/>
      <c r="W277" s="576"/>
      <c r="X277" s="577"/>
      <c r="Y277" s="571"/>
      <c r="Z277" s="578"/>
      <c r="AA277" s="579"/>
      <c r="AB277" s="578"/>
      <c r="AC277" s="578"/>
      <c r="AD277" s="578"/>
      <c r="AE277" s="578"/>
      <c r="AF277" s="580"/>
      <c r="AG277" s="578"/>
      <c r="AH277" s="578"/>
      <c r="AI277" s="578"/>
      <c r="AJ277" s="578"/>
      <c r="AK277" s="578"/>
      <c r="AL277" s="566"/>
      <c r="AM277" s="566"/>
      <c r="AN277" s="566"/>
      <c r="AO277" s="581"/>
      <c r="AP277" s="582"/>
      <c r="AQ277" s="578"/>
      <c r="AR277" s="583"/>
    </row>
    <row r="278" spans="1:50" s="352" customFormat="1" ht="3" customHeight="1">
      <c r="A278" s="383"/>
      <c r="B278" s="383"/>
      <c r="C278" s="386"/>
      <c r="D278" s="386"/>
      <c r="E278" s="386"/>
      <c r="F278" s="386"/>
      <c r="G278" s="386"/>
      <c r="H278" s="389"/>
      <c r="I278" s="389"/>
      <c r="J278" s="389"/>
      <c r="K278" s="389"/>
      <c r="L278" s="389"/>
      <c r="M278" s="389"/>
      <c r="N278" s="389"/>
      <c r="O278" s="389"/>
      <c r="P278" s="389"/>
      <c r="Q278" s="389"/>
      <c r="R278" s="391"/>
      <c r="S278" s="391"/>
      <c r="T278" s="386"/>
      <c r="U278" s="584"/>
      <c r="V278" s="584"/>
      <c r="W278" s="584"/>
      <c r="X278" s="585"/>
      <c r="Y278" s="389"/>
      <c r="Z278" s="393"/>
      <c r="AA278" s="393"/>
      <c r="AB278" s="393"/>
      <c r="AC278" s="393"/>
      <c r="AD278" s="393"/>
      <c r="AE278" s="393"/>
      <c r="AF278" s="393"/>
      <c r="AG278" s="393"/>
      <c r="AH278" s="393"/>
      <c r="AI278" s="393"/>
      <c r="AJ278" s="393"/>
      <c r="AK278" s="393"/>
      <c r="AL278" s="383"/>
      <c r="AM278" s="383"/>
      <c r="AN278" s="383"/>
      <c r="AO278" s="586"/>
      <c r="AP278" s="587"/>
      <c r="AQ278" s="393"/>
      <c r="AR278" s="393"/>
    </row>
    <row r="279" spans="1:50" s="352" customFormat="1" ht="16.5" thickBot="1">
      <c r="A279" s="345" t="s">
        <v>1574</v>
      </c>
      <c r="B279" s="345"/>
      <c r="C279" s="346"/>
      <c r="D279" s="346"/>
      <c r="E279" s="346"/>
      <c r="F279" s="346"/>
      <c r="G279" s="367"/>
      <c r="H279" s="347"/>
      <c r="I279" s="347"/>
      <c r="J279" s="347"/>
      <c r="K279" s="347"/>
      <c r="L279" s="347"/>
      <c r="M279" s="347"/>
      <c r="N279" s="347"/>
      <c r="O279" s="347"/>
      <c r="P279" s="347"/>
      <c r="Q279" s="347"/>
      <c r="R279" s="348"/>
      <c r="S279" s="348"/>
      <c r="T279" s="346"/>
      <c r="U279" s="588"/>
      <c r="V279" s="588"/>
      <c r="W279" s="588"/>
      <c r="X279" s="588"/>
      <c r="Y279" s="347"/>
      <c r="Z279" s="349"/>
      <c r="AA279" s="349"/>
      <c r="AB279" s="349"/>
      <c r="AC279" s="349"/>
      <c r="AD279" s="349"/>
      <c r="AE279" s="349"/>
      <c r="AF279" s="349"/>
      <c r="AG279" s="349"/>
      <c r="AH279" s="349"/>
      <c r="AI279" s="349"/>
      <c r="AJ279" s="349"/>
      <c r="AK279" s="346"/>
      <c r="AL279" s="345"/>
      <c r="AM279" s="369"/>
      <c r="AN279" s="369"/>
      <c r="AO279" s="589"/>
      <c r="AP279" s="590"/>
      <c r="AV279" s="349"/>
      <c r="AW279" s="349"/>
      <c r="AX279" s="349"/>
    </row>
    <row r="280" spans="1:50" s="367" customFormat="1" ht="15.75">
      <c r="A280" s="353" t="s">
        <v>1041</v>
      </c>
      <c r="B280" s="354" t="s">
        <v>638</v>
      </c>
      <c r="C280" s="355" t="s">
        <v>1042</v>
      </c>
      <c r="D280" s="354" t="s">
        <v>1043</v>
      </c>
      <c r="E280" s="643" t="s">
        <v>1044</v>
      </c>
      <c r="F280" s="644"/>
      <c r="G280" s="357" t="s">
        <v>1045</v>
      </c>
      <c r="H280" s="359" t="s">
        <v>263</v>
      </c>
      <c r="I280" s="359" t="s">
        <v>263</v>
      </c>
      <c r="J280" s="359" t="s">
        <v>1046</v>
      </c>
      <c r="K280" s="359" t="s">
        <v>1046</v>
      </c>
      <c r="L280" s="359" t="s">
        <v>978</v>
      </c>
      <c r="M280" s="359" t="s">
        <v>1047</v>
      </c>
      <c r="N280" s="359" t="s">
        <v>261</v>
      </c>
      <c r="O280" s="359" t="s">
        <v>261</v>
      </c>
      <c r="P280" s="359" t="s">
        <v>650</v>
      </c>
      <c r="Q280" s="360" t="s">
        <v>1048</v>
      </c>
      <c r="R280" s="361" t="s">
        <v>281</v>
      </c>
      <c r="S280" s="362" t="s">
        <v>1575</v>
      </c>
      <c r="T280" s="357" t="s">
        <v>1049</v>
      </c>
      <c r="U280" s="591" t="s">
        <v>265</v>
      </c>
      <c r="V280" s="591" t="s">
        <v>1050</v>
      </c>
      <c r="W280" s="591" t="s">
        <v>1051</v>
      </c>
      <c r="X280" s="592" t="s">
        <v>1052</v>
      </c>
      <c r="Y280" s="357" t="s">
        <v>1053</v>
      </c>
      <c r="Z280" s="354" t="s">
        <v>1054</v>
      </c>
      <c r="AA280" s="356" t="s">
        <v>1055</v>
      </c>
      <c r="AB280" s="354" t="s">
        <v>1056</v>
      </c>
      <c r="AC280" s="354" t="s">
        <v>683</v>
      </c>
      <c r="AD280" s="354" t="s">
        <v>1057</v>
      </c>
      <c r="AE280" s="354" t="s">
        <v>1058</v>
      </c>
      <c r="AF280" s="355" t="s">
        <v>1059</v>
      </c>
      <c r="AG280" s="354" t="s">
        <v>1060</v>
      </c>
      <c r="AH280" s="363" t="s">
        <v>1061</v>
      </c>
      <c r="AI280" s="354" t="s">
        <v>1062</v>
      </c>
      <c r="AJ280" s="363" t="s">
        <v>1063</v>
      </c>
      <c r="AK280" s="643" t="s">
        <v>1064</v>
      </c>
      <c r="AL280" s="643"/>
      <c r="AM280" s="643" t="s">
        <v>1065</v>
      </c>
      <c r="AN280" s="644"/>
      <c r="AO280" s="593" t="s">
        <v>1066</v>
      </c>
      <c r="AP280" s="365" t="s">
        <v>1067</v>
      </c>
      <c r="AQ280" s="354" t="s">
        <v>1068</v>
      </c>
      <c r="AR280" s="366" t="s">
        <v>1069</v>
      </c>
    </row>
    <row r="281" spans="1:50" s="367" customFormat="1" ht="15.75">
      <c r="A281" s="368"/>
      <c r="B281" s="369"/>
      <c r="C281" s="370"/>
      <c r="D281" s="372"/>
      <c r="E281" s="372"/>
      <c r="F281" s="370"/>
      <c r="G281" s="373"/>
      <c r="H281" s="375" t="s">
        <v>1070</v>
      </c>
      <c r="I281" s="375" t="s">
        <v>1071</v>
      </c>
      <c r="J281" s="375" t="s">
        <v>1072</v>
      </c>
      <c r="K281" s="375" t="s">
        <v>1073</v>
      </c>
      <c r="L281" s="375" t="s">
        <v>1073</v>
      </c>
      <c r="M281" s="375" t="s">
        <v>1073</v>
      </c>
      <c r="N281" s="375" t="s">
        <v>1072</v>
      </c>
      <c r="O281" s="375" t="s">
        <v>1073</v>
      </c>
      <c r="P281" s="375" t="s">
        <v>1072</v>
      </c>
      <c r="Q281" s="376" t="s">
        <v>1073</v>
      </c>
      <c r="R281" s="377"/>
      <c r="S281" s="378"/>
      <c r="T281" s="373"/>
      <c r="U281" s="594"/>
      <c r="V281" s="594" t="s">
        <v>1074</v>
      </c>
      <c r="W281" s="594" t="s">
        <v>1074</v>
      </c>
      <c r="X281" s="595" t="s">
        <v>1075</v>
      </c>
      <c r="Y281" s="373" t="s">
        <v>1076</v>
      </c>
      <c r="Z281" s="372"/>
      <c r="AA281" s="371"/>
      <c r="AB281" s="372"/>
      <c r="AC281" s="372"/>
      <c r="AD281" s="372"/>
      <c r="AE281" s="372"/>
      <c r="AF281" s="370"/>
      <c r="AG281" s="372" t="s">
        <v>1077</v>
      </c>
      <c r="AH281" s="372"/>
      <c r="AI281" s="372"/>
      <c r="AJ281" s="372"/>
      <c r="AK281" s="372"/>
      <c r="AL281" s="372"/>
      <c r="AM281" s="372"/>
      <c r="AN281" s="370"/>
      <c r="AO281" s="596"/>
      <c r="AP281" s="380"/>
      <c r="AQ281" s="372"/>
      <c r="AR281" s="381"/>
    </row>
    <row r="282" spans="1:50" s="352" customFormat="1" ht="3" customHeight="1">
      <c r="A282" s="368"/>
      <c r="B282" s="369"/>
      <c r="C282" s="370"/>
      <c r="D282" s="372"/>
      <c r="E282" s="372"/>
      <c r="F282" s="370"/>
      <c r="G282" s="387"/>
      <c r="H282" s="375"/>
      <c r="I282" s="375"/>
      <c r="J282" s="375"/>
      <c r="K282" s="375"/>
      <c r="L282" s="375"/>
      <c r="M282" s="375"/>
      <c r="N282" s="375"/>
      <c r="O282" s="375"/>
      <c r="P282" s="375"/>
      <c r="Q282" s="375"/>
      <c r="R282" s="377"/>
      <c r="S282" s="377"/>
      <c r="T282" s="373"/>
      <c r="U282" s="597"/>
      <c r="V282" s="597"/>
      <c r="W282" s="597"/>
      <c r="X282" s="598"/>
      <c r="Y282" s="599"/>
      <c r="Z282" s="600"/>
      <c r="AA282" s="600"/>
      <c r="AB282" s="600"/>
      <c r="AC282" s="600"/>
      <c r="AD282" s="600"/>
      <c r="AE282" s="600"/>
      <c r="AF282" s="601"/>
      <c r="AG282" s="600"/>
      <c r="AH282" s="600"/>
      <c r="AI282" s="600"/>
      <c r="AJ282" s="600"/>
      <c r="AK282" s="372"/>
      <c r="AL282" s="369"/>
      <c r="AM282" s="369"/>
      <c r="AN282" s="602"/>
      <c r="AO282" s="603"/>
      <c r="AP282" s="604"/>
      <c r="AQ282" s="393"/>
      <c r="AR282" s="605"/>
      <c r="AV282" s="349"/>
      <c r="AW282" s="349"/>
      <c r="AX282" s="349"/>
    </row>
    <row r="283" spans="1:50" s="352" customFormat="1" ht="15.75">
      <c r="A283" s="485" t="s">
        <v>1326</v>
      </c>
      <c r="B283" s="505" t="s">
        <v>775</v>
      </c>
      <c r="C283" s="487">
        <v>58</v>
      </c>
      <c r="D283" s="489" t="s">
        <v>768</v>
      </c>
      <c r="E283" s="489">
        <v>2007</v>
      </c>
      <c r="F283" s="487"/>
      <c r="G283" s="490" t="s">
        <v>1576</v>
      </c>
      <c r="H283" s="492">
        <f>I283*2240/2204.6</f>
        <v>330.21863376576249</v>
      </c>
      <c r="I283" s="492">
        <v>325</v>
      </c>
      <c r="J283" s="493">
        <f t="shared" ref="J283:J299" si="93">K283*3.2808</f>
        <v>134.1</v>
      </c>
      <c r="K283" s="493">
        <f>IF(M283="",L283,M283)</f>
        <v>40.87417702999268</v>
      </c>
      <c r="L283" s="493">
        <v>42.672518897829796</v>
      </c>
      <c r="M283" s="493">
        <f>134.1/3.2808</f>
        <v>40.87417702999268</v>
      </c>
      <c r="N283" s="493">
        <f t="shared" ref="N283:N299" si="94">O283*3.2808</f>
        <v>28.900000000000002</v>
      </c>
      <c r="O283" s="493">
        <f>28.9/3.2808</f>
        <v>8.8088271153377224</v>
      </c>
      <c r="P283" s="493">
        <f t="shared" ref="P283:P299" si="95">Q283*3.2808</f>
        <v>7.13</v>
      </c>
      <c r="Q283" s="493">
        <f>7.13/3.2808</f>
        <v>2.1732504267251889</v>
      </c>
      <c r="R283" s="495">
        <f>J283/N283</f>
        <v>4.6401384083044981</v>
      </c>
      <c r="S283" s="495">
        <f>J283/P283</f>
        <v>18.807854137447404</v>
      </c>
      <c r="T283" s="490">
        <v>22</v>
      </c>
      <c r="U283" s="497">
        <f t="shared" ref="U283:U299" si="96">IF(V283="",W283,V283)</f>
        <v>14600</v>
      </c>
      <c r="V283" s="497">
        <v>14600</v>
      </c>
      <c r="W283" s="497">
        <v>14400</v>
      </c>
      <c r="X283" s="498"/>
      <c r="Y283" s="606">
        <v>31</v>
      </c>
      <c r="Z283" s="500"/>
      <c r="AA283" s="607">
        <f>Y283*1.6878/SQRT(32.174*(H283*2204.6/2240*35)^(1/3))</f>
        <v>1.9450834864481774</v>
      </c>
      <c r="AB283" s="502">
        <f>AA283^2</f>
        <v>3.7833497692533973</v>
      </c>
      <c r="AC283" s="502">
        <f t="shared" ref="AC283:AC299" si="97">Y283*1.687/SQRT(32.174*J283)</f>
        <v>0.79617742393931357</v>
      </c>
      <c r="AD283" s="502">
        <f t="shared" ref="AD283:AD299" si="98">AC283^2</f>
        <v>0.63389849039064139</v>
      </c>
      <c r="AE283" s="502">
        <f>I283/(0.01*J283)^3</f>
        <v>134.77117892595302</v>
      </c>
      <c r="AF283" s="503">
        <f>IF(U283="","",Y283*I283/U283)</f>
        <v>0.69006849315068497</v>
      </c>
      <c r="AG283" s="489">
        <v>4238</v>
      </c>
      <c r="AH283" s="489">
        <v>10</v>
      </c>
      <c r="AI283" s="489"/>
      <c r="AJ283" s="489"/>
      <c r="AK283" s="489">
        <v>4</v>
      </c>
      <c r="AL283" s="505" t="s">
        <v>1080</v>
      </c>
      <c r="AM283" s="505">
        <v>4</v>
      </c>
      <c r="AN283" s="506"/>
      <c r="AO283" s="493">
        <f>IF(U283="","",I283^(2/3)*Y283^3/U283)</f>
        <v>96.454197720128022</v>
      </c>
      <c r="AP283" s="503">
        <f>IF(U283="","",0.61*I283*Y283^3/(J283*U283))</f>
        <v>3.0165924785224685</v>
      </c>
      <c r="AQ283" s="505" t="s">
        <v>1576</v>
      </c>
      <c r="AR283" s="507" t="s">
        <v>1149</v>
      </c>
      <c r="AV283" s="349"/>
      <c r="AW283" s="349"/>
      <c r="AX283" s="349"/>
    </row>
    <row r="284" spans="1:50" s="352" customFormat="1" ht="15.75">
      <c r="A284" s="542" t="s">
        <v>1326</v>
      </c>
      <c r="B284" s="543" t="s">
        <v>1327</v>
      </c>
      <c r="C284" s="544">
        <v>1</v>
      </c>
      <c r="D284" s="545" t="s">
        <v>1328</v>
      </c>
      <c r="E284" s="546">
        <v>2004</v>
      </c>
      <c r="F284" s="544"/>
      <c r="G284" s="547"/>
      <c r="H284" s="548"/>
      <c r="I284" s="549"/>
      <c r="J284" s="550">
        <f t="shared" si="93"/>
        <v>153.54143999999999</v>
      </c>
      <c r="K284" s="550">
        <f>IF(M284="",L284,M284)</f>
        <v>46.8</v>
      </c>
      <c r="L284" s="550">
        <v>46.8</v>
      </c>
      <c r="M284" s="550"/>
      <c r="N284" s="550">
        <f t="shared" si="94"/>
        <v>26.607288</v>
      </c>
      <c r="O284" s="550">
        <v>8.11</v>
      </c>
      <c r="P284" s="550">
        <f t="shared" si="95"/>
        <v>9.5143199999999997</v>
      </c>
      <c r="Q284" s="551">
        <v>2.9</v>
      </c>
      <c r="R284" s="552">
        <f t="shared" ref="R284:R292" si="99">J284/N284</f>
        <v>5.7706535141800241</v>
      </c>
      <c r="S284" s="553">
        <f t="shared" ref="S284:S292" si="100">J284/P284</f>
        <v>16.137931034482758</v>
      </c>
      <c r="T284" s="544">
        <v>16</v>
      </c>
      <c r="U284" s="554">
        <f t="shared" si="96"/>
        <v>7295.1589110902505</v>
      </c>
      <c r="V284" s="554">
        <f>X284/0.7457</f>
        <v>7295.1589110902505</v>
      </c>
      <c r="W284" s="554"/>
      <c r="X284" s="555">
        <v>5440</v>
      </c>
      <c r="Y284" s="556">
        <v>23.8</v>
      </c>
      <c r="Z284" s="557"/>
      <c r="AA284" s="558"/>
      <c r="AB284" s="559"/>
      <c r="AC284" s="559">
        <f t="shared" si="97"/>
        <v>0.57125064866689279</v>
      </c>
      <c r="AD284" s="559">
        <f t="shared" si="98"/>
        <v>0.3263273036023458</v>
      </c>
      <c r="AE284" s="559"/>
      <c r="AF284" s="560"/>
      <c r="AG284" s="557"/>
      <c r="AH284" s="557"/>
      <c r="AI284" s="557"/>
      <c r="AJ284" s="557"/>
      <c r="AK284" s="546">
        <v>2</v>
      </c>
      <c r="AL284" s="543" t="s">
        <v>1080</v>
      </c>
      <c r="AM284" s="543">
        <v>2</v>
      </c>
      <c r="AN284" s="561" t="s">
        <v>1329</v>
      </c>
      <c r="AO284" s="556"/>
      <c r="AP284" s="560"/>
      <c r="AQ284" s="543" t="s">
        <v>1330</v>
      </c>
      <c r="AR284" s="562" t="s">
        <v>1331</v>
      </c>
      <c r="AV284" s="349"/>
      <c r="AW284" s="349"/>
      <c r="AX284" s="349"/>
    </row>
    <row r="285" spans="1:50" s="352" customFormat="1" ht="15.75">
      <c r="A285" s="542" t="s">
        <v>1326</v>
      </c>
      <c r="B285" s="543" t="s">
        <v>1332</v>
      </c>
      <c r="C285" s="544">
        <v>10</v>
      </c>
      <c r="D285" s="545" t="s">
        <v>1333</v>
      </c>
      <c r="E285" s="546">
        <v>2003</v>
      </c>
      <c r="F285" s="544"/>
      <c r="G285" s="547"/>
      <c r="H285" s="548"/>
      <c r="I285" s="549"/>
      <c r="J285" s="550">
        <f t="shared" si="93"/>
        <v>106.29792</v>
      </c>
      <c r="K285" s="550">
        <f>IF(M285="",L285,M285)</f>
        <v>32.4</v>
      </c>
      <c r="L285" s="550">
        <v>37.5</v>
      </c>
      <c r="M285" s="550">
        <v>32.4</v>
      </c>
      <c r="N285" s="550">
        <f t="shared" si="94"/>
        <v>23.621760000000002</v>
      </c>
      <c r="O285" s="550">
        <v>7.2</v>
      </c>
      <c r="P285" s="550">
        <f t="shared" si="95"/>
        <v>7.2177600000000011</v>
      </c>
      <c r="Q285" s="551">
        <v>2.2000000000000002</v>
      </c>
      <c r="R285" s="552">
        <f t="shared" si="99"/>
        <v>4.5</v>
      </c>
      <c r="S285" s="553">
        <f t="shared" si="100"/>
        <v>14.727272727272727</v>
      </c>
      <c r="T285" s="544">
        <v>15</v>
      </c>
      <c r="U285" s="554">
        <f t="shared" si="96"/>
        <v>3500.0670510929326</v>
      </c>
      <c r="V285" s="554">
        <f>X285/0.7457</f>
        <v>3500.0670510929326</v>
      </c>
      <c r="W285" s="554"/>
      <c r="X285" s="555">
        <f>1305*2</f>
        <v>2610</v>
      </c>
      <c r="Y285" s="556">
        <v>29</v>
      </c>
      <c r="Z285" s="557"/>
      <c r="AA285" s="558"/>
      <c r="AB285" s="559"/>
      <c r="AC285" s="559">
        <f t="shared" si="97"/>
        <v>0.83656206782081011</v>
      </c>
      <c r="AD285" s="559">
        <f t="shared" si="98"/>
        <v>0.69983609331662966</v>
      </c>
      <c r="AE285" s="559"/>
      <c r="AF285" s="560"/>
      <c r="AG285" s="557">
        <v>1000</v>
      </c>
      <c r="AH285" s="557">
        <v>25</v>
      </c>
      <c r="AI285" s="557"/>
      <c r="AJ285" s="557"/>
      <c r="AK285" s="546">
        <v>2</v>
      </c>
      <c r="AL285" s="543" t="s">
        <v>1080</v>
      </c>
      <c r="AM285" s="543">
        <v>2</v>
      </c>
      <c r="AN285" s="561" t="s">
        <v>1334</v>
      </c>
      <c r="AO285" s="556"/>
      <c r="AP285" s="560"/>
      <c r="AQ285" s="543" t="s">
        <v>1335</v>
      </c>
      <c r="AR285" s="562" t="s">
        <v>1331</v>
      </c>
      <c r="AV285" s="349"/>
      <c r="AW285" s="349"/>
      <c r="AX285" s="349"/>
    </row>
    <row r="286" spans="1:50" s="352" customFormat="1" ht="15.75">
      <c r="A286" s="542" t="s">
        <v>1326</v>
      </c>
      <c r="B286" s="543" t="s">
        <v>1336</v>
      </c>
      <c r="C286" s="544"/>
      <c r="D286" s="545" t="s">
        <v>1337</v>
      </c>
      <c r="E286" s="546"/>
      <c r="F286" s="544"/>
      <c r="G286" s="547"/>
      <c r="H286" s="548"/>
      <c r="I286" s="549"/>
      <c r="J286" s="550">
        <f t="shared" si="93"/>
        <v>140.41824</v>
      </c>
      <c r="K286" s="550">
        <f>IF(M286="",L286,M286)</f>
        <v>42.8</v>
      </c>
      <c r="L286" s="550">
        <v>42.8</v>
      </c>
      <c r="M286" s="550"/>
      <c r="N286" s="550">
        <f t="shared" si="94"/>
        <v>23.326488000000001</v>
      </c>
      <c r="O286" s="550">
        <v>7.11</v>
      </c>
      <c r="P286" s="550">
        <f t="shared" si="95"/>
        <v>8.2676160000000003</v>
      </c>
      <c r="Q286" s="551">
        <v>2.52</v>
      </c>
      <c r="R286" s="552">
        <f t="shared" si="99"/>
        <v>6.0196905766526019</v>
      </c>
      <c r="S286" s="553">
        <f t="shared" si="100"/>
        <v>16.984126984126984</v>
      </c>
      <c r="T286" s="544">
        <v>12</v>
      </c>
      <c r="U286" s="554">
        <f t="shared" si="96"/>
        <v>5600.107281748692</v>
      </c>
      <c r="V286" s="554">
        <f>X286/0.7457</f>
        <v>5600.107281748692</v>
      </c>
      <c r="W286" s="554"/>
      <c r="X286" s="555">
        <v>4176</v>
      </c>
      <c r="Y286" s="556">
        <v>22.5</v>
      </c>
      <c r="Z286" s="557"/>
      <c r="AA286" s="558"/>
      <c r="AB286" s="559"/>
      <c r="AC286" s="559">
        <f t="shared" si="97"/>
        <v>0.56472018259847845</v>
      </c>
      <c r="AD286" s="559">
        <f t="shared" si="98"/>
        <v>0.31890888463405886</v>
      </c>
      <c r="AE286" s="559"/>
      <c r="AF286" s="560"/>
      <c r="AG286" s="557"/>
      <c r="AH286" s="557"/>
      <c r="AI286" s="557"/>
      <c r="AJ286" s="557"/>
      <c r="AK286" s="546">
        <v>2</v>
      </c>
      <c r="AL286" s="543" t="s">
        <v>1080</v>
      </c>
      <c r="AM286" s="543" t="s">
        <v>1338</v>
      </c>
      <c r="AN286" s="561"/>
      <c r="AO286" s="556"/>
      <c r="AP286" s="560"/>
      <c r="AQ286" s="543" t="s">
        <v>1330</v>
      </c>
      <c r="AR286" s="562" t="s">
        <v>1331</v>
      </c>
      <c r="AV286" s="349"/>
      <c r="AW286" s="349"/>
      <c r="AX286" s="349"/>
    </row>
    <row r="287" spans="1:50" s="352" customFormat="1" ht="15.75">
      <c r="A287" s="542" t="s">
        <v>1326</v>
      </c>
      <c r="B287" s="543" t="s">
        <v>1518</v>
      </c>
      <c r="C287" s="544">
        <v>12</v>
      </c>
      <c r="D287" s="545" t="s">
        <v>1504</v>
      </c>
      <c r="E287" s="546">
        <v>2005</v>
      </c>
      <c r="F287" s="544"/>
      <c r="G287" s="547"/>
      <c r="H287" s="548">
        <v>270</v>
      </c>
      <c r="I287" s="549">
        <f>H287*2204.6/2240</f>
        <v>265.73303571428573</v>
      </c>
      <c r="J287" s="550">
        <f t="shared" si="93"/>
        <v>170.92968000000002</v>
      </c>
      <c r="K287" s="550">
        <f>IF(M287="",L287,M287)</f>
        <v>52.1</v>
      </c>
      <c r="L287" s="550">
        <v>56.8</v>
      </c>
      <c r="M287" s="550">
        <v>52.1</v>
      </c>
      <c r="N287" s="550">
        <f t="shared" si="94"/>
        <v>31.758144000000001</v>
      </c>
      <c r="O287" s="550">
        <v>9.68</v>
      </c>
      <c r="P287" s="550">
        <f t="shared" si="95"/>
        <v>8.8581600000000016</v>
      </c>
      <c r="Q287" s="551">
        <v>2.7</v>
      </c>
      <c r="R287" s="552">
        <f t="shared" si="99"/>
        <v>5.3822314049586781</v>
      </c>
      <c r="S287" s="553">
        <f t="shared" si="100"/>
        <v>19.296296296296294</v>
      </c>
      <c r="T287" s="544">
        <v>21</v>
      </c>
      <c r="U287" s="554">
        <f t="shared" si="96"/>
        <v>6222.3414241652135</v>
      </c>
      <c r="V287" s="554"/>
      <c r="W287" s="554">
        <f>X287/0.7457</f>
        <v>6222.3414241652135</v>
      </c>
      <c r="X287" s="555">
        <f>2320*2</f>
        <v>4640</v>
      </c>
      <c r="Y287" s="556">
        <v>25</v>
      </c>
      <c r="Z287" s="557"/>
      <c r="AA287" s="558">
        <f t="shared" ref="AA287:AA299" si="101">Y287*1.6878/SQRT(32.174*(H287*2204.6/2240*35)^(1/3))</f>
        <v>1.6221444697088605</v>
      </c>
      <c r="AB287" s="559">
        <f t="shared" ref="AB287:AB299" si="102">AA287^2</f>
        <v>2.6313526806070402</v>
      </c>
      <c r="AC287" s="559">
        <f t="shared" si="97"/>
        <v>0.56871387342933044</v>
      </c>
      <c r="AD287" s="559">
        <f t="shared" si="98"/>
        <v>0.32343546983099247</v>
      </c>
      <c r="AE287" s="559">
        <f t="shared" ref="AE287:AE299" si="103">I287/(0.01*J287)^3</f>
        <v>53.209981773949856</v>
      </c>
      <c r="AF287" s="560">
        <f t="shared" ref="AF287:AF299" si="104">IF(U287="","",Y287*I287/U287)</f>
        <v>1.0676569220481835</v>
      </c>
      <c r="AG287" s="557">
        <v>3000</v>
      </c>
      <c r="AH287" s="557"/>
      <c r="AI287" s="557"/>
      <c r="AJ287" s="557"/>
      <c r="AK287" s="546">
        <v>2</v>
      </c>
      <c r="AL287" s="543" t="s">
        <v>1080</v>
      </c>
      <c r="AM287" s="543">
        <v>2</v>
      </c>
      <c r="AN287" s="561" t="s">
        <v>1334</v>
      </c>
      <c r="AO287" s="556">
        <f t="shared" ref="AO287:AO299" si="105">IF(U287="","",I287^(2/3)*Y287^3/U287)</f>
        <v>103.79184240236935</v>
      </c>
      <c r="AP287" s="560">
        <f t="shared" ref="AP287:AP299" si="106">IF(U287="","",0.61*I287*Y287^3/(J287*U287))</f>
        <v>2.3813547274579232</v>
      </c>
      <c r="AQ287" s="543"/>
      <c r="AR287" s="562" t="s">
        <v>1331</v>
      </c>
      <c r="AV287" s="349"/>
      <c r="AW287" s="349"/>
      <c r="AX287" s="349"/>
    </row>
    <row r="288" spans="1:50" s="352" customFormat="1" ht="15.75">
      <c r="A288" s="542" t="s">
        <v>1326</v>
      </c>
      <c r="B288" s="543" t="s">
        <v>1363</v>
      </c>
      <c r="C288" s="544"/>
      <c r="D288" s="545" t="s">
        <v>1364</v>
      </c>
      <c r="E288" s="546">
        <v>2004</v>
      </c>
      <c r="F288" s="544"/>
      <c r="G288" s="547"/>
      <c r="H288" s="548"/>
      <c r="I288" s="549"/>
      <c r="J288" s="550">
        <f t="shared" si="93"/>
        <v>137.7936</v>
      </c>
      <c r="K288" s="550">
        <v>42</v>
      </c>
      <c r="L288" s="550"/>
      <c r="M288" s="550"/>
      <c r="N288" s="550">
        <f t="shared" si="94"/>
        <v>26.902559999999998</v>
      </c>
      <c r="O288" s="550">
        <v>8.1999999999999993</v>
      </c>
      <c r="P288" s="550">
        <f t="shared" si="95"/>
        <v>6.5616000000000003</v>
      </c>
      <c r="Q288" s="551">
        <v>2</v>
      </c>
      <c r="R288" s="552">
        <f t="shared" si="99"/>
        <v>5.1219512195121952</v>
      </c>
      <c r="S288" s="553">
        <f t="shared" si="100"/>
        <v>21</v>
      </c>
      <c r="T288" s="544">
        <v>9</v>
      </c>
      <c r="U288" s="554">
        <f t="shared" si="96"/>
        <v>4693.5765052970364</v>
      </c>
      <c r="V288" s="554">
        <f>X288/0.7457</f>
        <v>4693.5765052970364</v>
      </c>
      <c r="W288" s="554"/>
      <c r="X288" s="555">
        <v>3500</v>
      </c>
      <c r="Y288" s="556">
        <v>18</v>
      </c>
      <c r="Z288" s="557"/>
      <c r="AA288" s="558"/>
      <c r="AB288" s="559"/>
      <c r="AC288" s="559">
        <f t="shared" si="97"/>
        <v>0.45605848016549405</v>
      </c>
      <c r="AD288" s="559">
        <f t="shared" si="98"/>
        <v>0.20798933733086034</v>
      </c>
      <c r="AE288" s="559"/>
      <c r="AF288" s="560"/>
      <c r="AG288" s="557">
        <v>1000</v>
      </c>
      <c r="AH288" s="557">
        <v>18</v>
      </c>
      <c r="AI288" s="557"/>
      <c r="AJ288" s="557"/>
      <c r="AK288" s="546"/>
      <c r="AL288" s="543"/>
      <c r="AM288" s="543"/>
      <c r="AN288" s="561"/>
      <c r="AO288" s="556"/>
      <c r="AP288" s="560"/>
      <c r="AQ288" s="543"/>
      <c r="AR288" s="562" t="s">
        <v>1331</v>
      </c>
      <c r="AV288" s="349"/>
      <c r="AW288" s="349"/>
      <c r="AX288" s="349"/>
    </row>
    <row r="289" spans="1:50" s="352" customFormat="1" ht="15.75">
      <c r="A289" s="542" t="s">
        <v>1326</v>
      </c>
      <c r="B289" s="543" t="s">
        <v>1386</v>
      </c>
      <c r="C289" s="544"/>
      <c r="D289" s="545" t="s">
        <v>1364</v>
      </c>
      <c r="E289" s="546">
        <v>2004</v>
      </c>
      <c r="F289" s="544"/>
      <c r="G289" s="547"/>
      <c r="H289" s="548"/>
      <c r="I289" s="549"/>
      <c r="J289" s="550">
        <f t="shared" si="93"/>
        <v>137.7936</v>
      </c>
      <c r="K289" s="550">
        <v>42</v>
      </c>
      <c r="L289" s="550"/>
      <c r="M289" s="550"/>
      <c r="N289" s="550">
        <f t="shared" si="94"/>
        <v>26.902559999999998</v>
      </c>
      <c r="O289" s="550">
        <v>8.1999999999999993</v>
      </c>
      <c r="P289" s="550">
        <f t="shared" si="95"/>
        <v>6.5616000000000003</v>
      </c>
      <c r="Q289" s="551">
        <v>2</v>
      </c>
      <c r="R289" s="552">
        <f t="shared" si="99"/>
        <v>5.1219512195121952</v>
      </c>
      <c r="S289" s="553">
        <f t="shared" si="100"/>
        <v>21</v>
      </c>
      <c r="T289" s="544">
        <v>9</v>
      </c>
      <c r="U289" s="554">
        <f t="shared" si="96"/>
        <v>5364.087434625184</v>
      </c>
      <c r="V289" s="554">
        <f>X289/0.7457</f>
        <v>5364.087434625184</v>
      </c>
      <c r="W289" s="554"/>
      <c r="X289" s="555">
        <v>4000</v>
      </c>
      <c r="Y289" s="556">
        <v>18</v>
      </c>
      <c r="Z289" s="557"/>
      <c r="AA289" s="558"/>
      <c r="AB289" s="559"/>
      <c r="AC289" s="559">
        <f t="shared" si="97"/>
        <v>0.45605848016549405</v>
      </c>
      <c r="AD289" s="559">
        <f t="shared" si="98"/>
        <v>0.20798933733086034</v>
      </c>
      <c r="AE289" s="559"/>
      <c r="AF289" s="560"/>
      <c r="AG289" s="557">
        <v>1000</v>
      </c>
      <c r="AH289" s="557">
        <v>18</v>
      </c>
      <c r="AI289" s="557"/>
      <c r="AJ289" s="557"/>
      <c r="AK289" s="546"/>
      <c r="AL289" s="543"/>
      <c r="AM289" s="543"/>
      <c r="AN289" s="561"/>
      <c r="AO289" s="556"/>
      <c r="AP289" s="560"/>
      <c r="AQ289" s="543"/>
      <c r="AR289" s="562" t="s">
        <v>1331</v>
      </c>
      <c r="AV289" s="349"/>
      <c r="AW289" s="349"/>
      <c r="AX289" s="349"/>
    </row>
    <row r="290" spans="1:50" s="352" customFormat="1" ht="15.75">
      <c r="A290" s="421" t="s">
        <v>1326</v>
      </c>
      <c r="B290" s="422" t="s">
        <v>1503</v>
      </c>
      <c r="C290" s="423">
        <v>15</v>
      </c>
      <c r="D290" s="424" t="s">
        <v>1504</v>
      </c>
      <c r="E290" s="425">
        <v>1980</v>
      </c>
      <c r="F290" s="423">
        <v>1984</v>
      </c>
      <c r="G290" s="426"/>
      <c r="H290" s="427">
        <f t="shared" ref="H290:H296" si="107">I290*2240/2204.6</f>
        <v>248.93404699265173</v>
      </c>
      <c r="I290" s="428">
        <v>245</v>
      </c>
      <c r="J290" s="429">
        <f t="shared" si="93"/>
        <v>137.13744</v>
      </c>
      <c r="K290" s="429">
        <f>IF(M290="",L290,M290)</f>
        <v>41.8</v>
      </c>
      <c r="L290" s="429"/>
      <c r="M290" s="429">
        <v>41.8</v>
      </c>
      <c r="N290" s="429">
        <f t="shared" si="94"/>
        <v>23.293679999999998</v>
      </c>
      <c r="O290" s="429">
        <v>7.1</v>
      </c>
      <c r="P290" s="429">
        <f t="shared" si="95"/>
        <v>5.9054400000000005</v>
      </c>
      <c r="Q290" s="430">
        <v>1.8</v>
      </c>
      <c r="R290" s="431">
        <f t="shared" si="99"/>
        <v>5.887323943661972</v>
      </c>
      <c r="S290" s="432">
        <f t="shared" si="100"/>
        <v>23.222222222222221</v>
      </c>
      <c r="T290" s="423">
        <v>24</v>
      </c>
      <c r="U290" s="433">
        <f t="shared" si="96"/>
        <v>6140</v>
      </c>
      <c r="V290" s="433">
        <v>6140</v>
      </c>
      <c r="W290" s="433">
        <f>X290/0.7457</f>
        <v>6034.5983639533324</v>
      </c>
      <c r="X290" s="434">
        <v>4500</v>
      </c>
      <c r="Y290" s="435">
        <v>30</v>
      </c>
      <c r="Z290" s="436"/>
      <c r="AA290" s="437">
        <f t="shared" si="101"/>
        <v>1.9731072260069775</v>
      </c>
      <c r="AB290" s="438">
        <f t="shared" si="102"/>
        <v>3.8931521253209498</v>
      </c>
      <c r="AC290" s="438">
        <f t="shared" si="97"/>
        <v>0.76191371198579361</v>
      </c>
      <c r="AD290" s="438">
        <f t="shared" si="98"/>
        <v>0.58051250451197089</v>
      </c>
      <c r="AE290" s="438">
        <f t="shared" si="103"/>
        <v>94.994392603268579</v>
      </c>
      <c r="AF290" s="439">
        <f t="shared" si="104"/>
        <v>1.1970684039087949</v>
      </c>
      <c r="AG290" s="436">
        <v>1450</v>
      </c>
      <c r="AH290" s="425"/>
      <c r="AI290" s="425"/>
      <c r="AJ290" s="425"/>
      <c r="AK290" s="425">
        <v>2</v>
      </c>
      <c r="AL290" s="422" t="s">
        <v>1080</v>
      </c>
      <c r="AM290" s="422">
        <v>4</v>
      </c>
      <c r="AN290" s="440"/>
      <c r="AO290" s="435">
        <f t="shared" si="105"/>
        <v>172.17606681871666</v>
      </c>
      <c r="AP290" s="439">
        <f t="shared" si="106"/>
        <v>4.7922037464453782</v>
      </c>
      <c r="AQ290" s="422"/>
      <c r="AR290" s="441" t="s">
        <v>1090</v>
      </c>
      <c r="AV290" s="349"/>
      <c r="AW290" s="349"/>
      <c r="AX290" s="349"/>
    </row>
    <row r="291" spans="1:50" s="352" customFormat="1" ht="15.75">
      <c r="A291" s="442" t="s">
        <v>1326</v>
      </c>
      <c r="B291" s="443" t="s">
        <v>1468</v>
      </c>
      <c r="C291" s="444">
        <v>2</v>
      </c>
      <c r="D291" s="445" t="s">
        <v>1500</v>
      </c>
      <c r="E291" s="446">
        <v>1974</v>
      </c>
      <c r="F291" s="444" t="s">
        <v>567</v>
      </c>
      <c r="G291" s="447"/>
      <c r="H291" s="448">
        <f t="shared" si="107"/>
        <v>283.47999637122382</v>
      </c>
      <c r="I291" s="449">
        <v>279</v>
      </c>
      <c r="J291" s="450">
        <f t="shared" si="93"/>
        <v>144.3552</v>
      </c>
      <c r="K291" s="450">
        <f>IF(M291="",L291,M291)</f>
        <v>44</v>
      </c>
      <c r="L291" s="450"/>
      <c r="M291" s="450">
        <v>44</v>
      </c>
      <c r="N291" s="450">
        <f t="shared" si="94"/>
        <v>24.277920000000002</v>
      </c>
      <c r="O291" s="450">
        <v>7.4</v>
      </c>
      <c r="P291" s="450">
        <f t="shared" si="95"/>
        <v>4.9212000000000007</v>
      </c>
      <c r="Q291" s="451">
        <v>1.5</v>
      </c>
      <c r="R291" s="452">
        <f t="shared" si="99"/>
        <v>5.9459459459459456</v>
      </c>
      <c r="S291" s="453">
        <f t="shared" si="100"/>
        <v>29.333333333333329</v>
      </c>
      <c r="T291" s="444">
        <v>32</v>
      </c>
      <c r="U291" s="454">
        <f t="shared" si="96"/>
        <v>4050</v>
      </c>
      <c r="V291" s="454">
        <v>4050</v>
      </c>
      <c r="W291" s="454"/>
      <c r="X291" s="455"/>
      <c r="Y291" s="456">
        <v>27.5</v>
      </c>
      <c r="Z291" s="457"/>
      <c r="AA291" s="458">
        <f t="shared" si="101"/>
        <v>1.7699287060588778</v>
      </c>
      <c r="AB291" s="459">
        <f t="shared" si="102"/>
        <v>3.1326476245312533</v>
      </c>
      <c r="AC291" s="459">
        <f t="shared" si="97"/>
        <v>0.68073649042809092</v>
      </c>
      <c r="AD291" s="459">
        <f t="shared" si="98"/>
        <v>0.46340216940035434</v>
      </c>
      <c r="AE291" s="459">
        <f t="shared" si="103"/>
        <v>92.748502216103887</v>
      </c>
      <c r="AF291" s="460">
        <f t="shared" si="104"/>
        <v>1.8944444444444444</v>
      </c>
      <c r="AG291" s="446"/>
      <c r="AH291" s="446"/>
      <c r="AI291" s="446"/>
      <c r="AJ291" s="446"/>
      <c r="AK291" s="446"/>
      <c r="AL291" s="443"/>
      <c r="AM291" s="443"/>
      <c r="AN291" s="461"/>
      <c r="AO291" s="456">
        <f t="shared" si="105"/>
        <v>219.25315953489016</v>
      </c>
      <c r="AP291" s="460">
        <f t="shared" si="106"/>
        <v>6.0540313253542504</v>
      </c>
      <c r="AQ291" s="443"/>
      <c r="AR291" s="462" t="s">
        <v>1100</v>
      </c>
      <c r="AV291" s="349"/>
      <c r="AW291" s="349"/>
      <c r="AX291" s="349"/>
    </row>
    <row r="292" spans="1:50" s="352" customFormat="1" ht="15.75">
      <c r="A292" s="521" t="s">
        <v>1326</v>
      </c>
      <c r="B292" s="522" t="s">
        <v>1526</v>
      </c>
      <c r="C292" s="523">
        <v>13</v>
      </c>
      <c r="D292" s="524" t="s">
        <v>1377</v>
      </c>
      <c r="E292" s="525">
        <v>1993</v>
      </c>
      <c r="F292" s="523">
        <v>2000</v>
      </c>
      <c r="G292" s="526" t="s">
        <v>1461</v>
      </c>
      <c r="H292" s="527">
        <f t="shared" si="107"/>
        <v>339.36314977773748</v>
      </c>
      <c r="I292" s="528">
        <v>334</v>
      </c>
      <c r="J292" s="529">
        <f t="shared" si="93"/>
        <v>170.27351999999999</v>
      </c>
      <c r="K292" s="529">
        <f>IF(M292="",#REF!,M292)</f>
        <v>51.9</v>
      </c>
      <c r="L292" s="529">
        <v>54.559863447939527</v>
      </c>
      <c r="M292" s="529">
        <v>51.9</v>
      </c>
      <c r="N292" s="529">
        <f t="shared" si="94"/>
        <v>25.918320000000001</v>
      </c>
      <c r="O292" s="529">
        <v>7.9</v>
      </c>
      <c r="P292" s="529">
        <f t="shared" si="95"/>
        <v>7.87392</v>
      </c>
      <c r="Q292" s="530">
        <v>2.4</v>
      </c>
      <c r="R292" s="531">
        <f t="shared" si="99"/>
        <v>6.5696202531645564</v>
      </c>
      <c r="S292" s="532">
        <f t="shared" si="100"/>
        <v>21.625</v>
      </c>
      <c r="T292" s="523">
        <v>28</v>
      </c>
      <c r="U292" s="533">
        <f t="shared" si="96"/>
        <v>13400</v>
      </c>
      <c r="V292" s="533">
        <v>13400</v>
      </c>
      <c r="W292" s="533">
        <v>13400</v>
      </c>
      <c r="X292" s="534">
        <v>10000</v>
      </c>
      <c r="Y292" s="535">
        <v>35</v>
      </c>
      <c r="Z292" s="536"/>
      <c r="AA292" s="537">
        <f t="shared" si="101"/>
        <v>2.1860868556917641</v>
      </c>
      <c r="AB292" s="538">
        <f t="shared" si="102"/>
        <v>4.7789757406283035</v>
      </c>
      <c r="AC292" s="538">
        <f t="shared" si="97"/>
        <v>0.79773205063482977</v>
      </c>
      <c r="AD292" s="538">
        <f t="shared" si="98"/>
        <v>0.63637642461005062</v>
      </c>
      <c r="AE292" s="538">
        <f t="shared" si="103"/>
        <v>67.655814126111181</v>
      </c>
      <c r="AF292" s="539">
        <f t="shared" si="104"/>
        <v>0.87238805970149258</v>
      </c>
      <c r="AG292" s="536">
        <v>2500</v>
      </c>
      <c r="AH292" s="536"/>
      <c r="AI292" s="536"/>
      <c r="AJ292" s="536"/>
      <c r="AK292" s="525">
        <v>4</v>
      </c>
      <c r="AL292" s="522" t="s">
        <v>1080</v>
      </c>
      <c r="AM292" s="522">
        <v>4</v>
      </c>
      <c r="AN292" s="540"/>
      <c r="AO292" s="535">
        <f t="shared" si="105"/>
        <v>154.02704345497509</v>
      </c>
      <c r="AP292" s="539">
        <f t="shared" si="106"/>
        <v>3.8284988623712031</v>
      </c>
      <c r="AQ292" s="522"/>
      <c r="AR292" s="541" t="s">
        <v>1304</v>
      </c>
      <c r="AV292" s="349"/>
      <c r="AW292" s="349"/>
      <c r="AX292" s="349"/>
    </row>
    <row r="293" spans="1:50" s="352" customFormat="1" ht="15.75">
      <c r="A293" s="464" t="s">
        <v>1326</v>
      </c>
      <c r="B293" s="465" t="s">
        <v>1460</v>
      </c>
      <c r="C293" s="466">
        <v>49</v>
      </c>
      <c r="D293" s="467" t="s">
        <v>1377</v>
      </c>
      <c r="E293" s="468">
        <v>1986</v>
      </c>
      <c r="F293" s="466">
        <v>1992</v>
      </c>
      <c r="G293" s="469" t="s">
        <v>1461</v>
      </c>
      <c r="H293" s="470">
        <f t="shared" si="107"/>
        <v>170.69763222353262</v>
      </c>
      <c r="I293" s="471">
        <v>168</v>
      </c>
      <c r="J293" s="472">
        <f t="shared" si="93"/>
        <v>109.9068</v>
      </c>
      <c r="K293" s="472">
        <f>IF(M293="",#REF!,M293)</f>
        <v>33.5</v>
      </c>
      <c r="L293" s="472">
        <v>33.528407705437694</v>
      </c>
      <c r="M293" s="472">
        <v>33.5</v>
      </c>
      <c r="N293" s="472">
        <f t="shared" si="94"/>
        <v>20.997120000000002</v>
      </c>
      <c r="O293" s="472">
        <v>6.4</v>
      </c>
      <c r="P293" s="472">
        <f t="shared" si="95"/>
        <v>7.2177600000000011</v>
      </c>
      <c r="Q293" s="473">
        <v>2.2000000000000002</v>
      </c>
      <c r="R293" s="474">
        <f>J293/N293</f>
        <v>5.234375</v>
      </c>
      <c r="S293" s="475">
        <f>J293/P293</f>
        <v>15.227272727272725</v>
      </c>
      <c r="T293" s="466">
        <v>16</v>
      </c>
      <c r="U293" s="476">
        <f t="shared" si="96"/>
        <v>6246</v>
      </c>
      <c r="V293" s="476">
        <v>6246</v>
      </c>
      <c r="W293" s="476">
        <v>5760</v>
      </c>
      <c r="X293" s="477"/>
      <c r="Y293" s="478">
        <v>29</v>
      </c>
      <c r="Z293" s="479"/>
      <c r="AA293" s="480">
        <f t="shared" si="101"/>
        <v>2.0311261489831538</v>
      </c>
      <c r="AB293" s="481">
        <f t="shared" si="102"/>
        <v>4.1254734330831369</v>
      </c>
      <c r="AC293" s="481">
        <f t="shared" si="97"/>
        <v>0.82271283003260776</v>
      </c>
      <c r="AD293" s="481">
        <f t="shared" si="98"/>
        <v>0.67685640070026254</v>
      </c>
      <c r="AE293" s="481">
        <f t="shared" si="103"/>
        <v>126.54226152646078</v>
      </c>
      <c r="AF293" s="482">
        <f t="shared" si="104"/>
        <v>0.78001921229586935</v>
      </c>
      <c r="AG293" s="479"/>
      <c r="AH293" s="468"/>
      <c r="AI293" s="468"/>
      <c r="AJ293" s="468"/>
      <c r="AK293" s="468"/>
      <c r="AL293" s="465"/>
      <c r="AM293" s="465"/>
      <c r="AN293" s="483"/>
      <c r="AO293" s="478">
        <f t="shared" si="105"/>
        <v>118.88622441253456</v>
      </c>
      <c r="AP293" s="482">
        <f t="shared" si="106"/>
        <v>3.640881693397533</v>
      </c>
      <c r="AQ293" s="465"/>
      <c r="AR293" s="484" t="s">
        <v>1140</v>
      </c>
      <c r="AV293" s="349"/>
      <c r="AW293" s="349"/>
      <c r="AX293" s="349"/>
    </row>
    <row r="294" spans="1:50" s="352" customFormat="1" ht="15.75">
      <c r="A294" s="485" t="s">
        <v>1326</v>
      </c>
      <c r="B294" s="505" t="s">
        <v>1467</v>
      </c>
      <c r="C294" s="487"/>
      <c r="D294" s="488" t="s">
        <v>768</v>
      </c>
      <c r="E294" s="489"/>
      <c r="F294" s="487"/>
      <c r="G294" s="490" t="s">
        <v>1461</v>
      </c>
      <c r="H294" s="491">
        <f t="shared" si="107"/>
        <v>182.89032023949923</v>
      </c>
      <c r="I294" s="492">
        <v>180</v>
      </c>
      <c r="J294" s="493">
        <f t="shared" si="93"/>
        <v>123.00000000000001</v>
      </c>
      <c r="K294" s="493">
        <f>IF(M294="",L294,M294)</f>
        <v>37.490855888807609</v>
      </c>
      <c r="L294" s="493">
        <v>37.490855888807609</v>
      </c>
      <c r="M294" s="493"/>
      <c r="N294" s="493">
        <f t="shared" si="94"/>
        <v>20.997120000000002</v>
      </c>
      <c r="O294" s="493">
        <v>6.4</v>
      </c>
      <c r="P294" s="493">
        <f t="shared" si="95"/>
        <v>7.5</v>
      </c>
      <c r="Q294" s="494">
        <f>7.5/3.2808</f>
        <v>2.2860277980980248</v>
      </c>
      <c r="R294" s="495">
        <f t="shared" ref="R294:R299" si="108">J294/N294</f>
        <v>5.8579462326261886</v>
      </c>
      <c r="S294" s="496">
        <f t="shared" ref="S294:S299" si="109">J294/P294</f>
        <v>16.400000000000002</v>
      </c>
      <c r="T294" s="487"/>
      <c r="U294" s="497">
        <f t="shared" si="96"/>
        <v>5760</v>
      </c>
      <c r="V294" s="497"/>
      <c r="W294" s="497">
        <v>5760</v>
      </c>
      <c r="X294" s="498"/>
      <c r="Y294" s="499">
        <v>28</v>
      </c>
      <c r="Z294" s="500"/>
      <c r="AA294" s="501">
        <f t="shared" si="101"/>
        <v>1.9386662966524508</v>
      </c>
      <c r="AB294" s="502">
        <f t="shared" si="102"/>
        <v>3.7584270097761285</v>
      </c>
      <c r="AC294" s="502">
        <f t="shared" si="97"/>
        <v>0.75087566481043722</v>
      </c>
      <c r="AD294" s="502">
        <f t="shared" si="98"/>
        <v>0.56381426400451606</v>
      </c>
      <c r="AE294" s="502">
        <f t="shared" si="103"/>
        <v>96.729105304140447</v>
      </c>
      <c r="AF294" s="503">
        <f t="shared" si="104"/>
        <v>0.875</v>
      </c>
      <c r="AG294" s="489"/>
      <c r="AH294" s="489"/>
      <c r="AI294" s="489"/>
      <c r="AJ294" s="489"/>
      <c r="AK294" s="489"/>
      <c r="AL294" s="505"/>
      <c r="AM294" s="505"/>
      <c r="AN294" s="506"/>
      <c r="AO294" s="499">
        <f t="shared" si="105"/>
        <v>121.49729640987854</v>
      </c>
      <c r="AP294" s="503">
        <f t="shared" si="106"/>
        <v>3.4021138211382111</v>
      </c>
      <c r="AQ294" s="505"/>
      <c r="AR294" s="507" t="s">
        <v>1149</v>
      </c>
      <c r="AV294" s="349"/>
      <c r="AW294" s="349"/>
      <c r="AX294" s="349"/>
    </row>
    <row r="295" spans="1:50" s="352" customFormat="1" ht="15.75">
      <c r="A295" s="421" t="s">
        <v>1577</v>
      </c>
      <c r="B295" s="422" t="s">
        <v>1314</v>
      </c>
      <c r="C295" s="423">
        <v>6</v>
      </c>
      <c r="D295" s="424" t="s">
        <v>1315</v>
      </c>
      <c r="E295" s="425">
        <v>1981</v>
      </c>
      <c r="F295" s="423">
        <v>1982</v>
      </c>
      <c r="G295" s="426"/>
      <c r="H295" s="427">
        <f t="shared" si="107"/>
        <v>311.92960174181258</v>
      </c>
      <c r="I295" s="428">
        <v>307</v>
      </c>
      <c r="J295" s="429">
        <f t="shared" si="93"/>
        <v>170.60160000000002</v>
      </c>
      <c r="K295" s="429">
        <f>IF(M295="",L295,M295)</f>
        <v>52</v>
      </c>
      <c r="L295" s="429"/>
      <c r="M295" s="429">
        <v>52</v>
      </c>
      <c r="N295" s="429">
        <f t="shared" si="94"/>
        <v>24.934080000000002</v>
      </c>
      <c r="O295" s="429">
        <v>7.6</v>
      </c>
      <c r="P295" s="429">
        <f t="shared" si="95"/>
        <v>7.5458400000000001</v>
      </c>
      <c r="Q295" s="430">
        <v>2.2999999999999998</v>
      </c>
      <c r="R295" s="431">
        <f t="shared" si="108"/>
        <v>6.8421052631578947</v>
      </c>
      <c r="S295" s="432">
        <f t="shared" si="109"/>
        <v>22.608695652173914</v>
      </c>
      <c r="T295" s="423">
        <v>30</v>
      </c>
      <c r="U295" s="433">
        <f t="shared" si="96"/>
        <v>15360</v>
      </c>
      <c r="V295" s="433">
        <v>15360</v>
      </c>
      <c r="W295" s="433">
        <f>X295/0.7457</f>
        <v>15140.136784229582</v>
      </c>
      <c r="X295" s="434">
        <v>11290</v>
      </c>
      <c r="Y295" s="435">
        <v>40</v>
      </c>
      <c r="Z295" s="436"/>
      <c r="AA295" s="437">
        <f t="shared" si="101"/>
        <v>2.5337321871449698</v>
      </c>
      <c r="AB295" s="438">
        <f t="shared" si="102"/>
        <v>6.4197987961744323</v>
      </c>
      <c r="AC295" s="438">
        <f t="shared" si="97"/>
        <v>0.91081672166521521</v>
      </c>
      <c r="AD295" s="438">
        <f t="shared" si="98"/>
        <v>0.82958710046497008</v>
      </c>
      <c r="AE295" s="438">
        <f t="shared" si="103"/>
        <v>61.828552017067437</v>
      </c>
      <c r="AF295" s="439">
        <f t="shared" si="104"/>
        <v>0.79947916666666663</v>
      </c>
      <c r="AG295" s="436">
        <v>1600</v>
      </c>
      <c r="AH295" s="425"/>
      <c r="AI295" s="425"/>
      <c r="AJ295" s="425"/>
      <c r="AK295" s="425">
        <v>4</v>
      </c>
      <c r="AL295" s="422" t="s">
        <v>1080</v>
      </c>
      <c r="AM295" s="422">
        <v>4</v>
      </c>
      <c r="AN295" s="440"/>
      <c r="AO295" s="435">
        <f t="shared" si="105"/>
        <v>189.61863180975163</v>
      </c>
      <c r="AP295" s="439">
        <f t="shared" si="106"/>
        <v>4.5737652323698397</v>
      </c>
      <c r="AQ295" s="422" t="s">
        <v>1172</v>
      </c>
      <c r="AR295" s="441" t="s">
        <v>1090</v>
      </c>
      <c r="AV295" s="349"/>
      <c r="AW295" s="349"/>
      <c r="AX295" s="349"/>
    </row>
    <row r="296" spans="1:50" s="352" customFormat="1" ht="15.75">
      <c r="A296" s="521" t="s">
        <v>1577</v>
      </c>
      <c r="B296" s="522" t="s">
        <v>1305</v>
      </c>
      <c r="C296" s="523">
        <v>4</v>
      </c>
      <c r="D296" s="524" t="s">
        <v>1306</v>
      </c>
      <c r="E296" s="525">
        <v>1990</v>
      </c>
      <c r="F296" s="523">
        <v>1992</v>
      </c>
      <c r="G296" s="526" t="s">
        <v>1307</v>
      </c>
      <c r="H296" s="527">
        <f t="shared" si="107"/>
        <v>251.98221899664338</v>
      </c>
      <c r="I296" s="528">
        <v>248</v>
      </c>
      <c r="J296" s="529">
        <f t="shared" si="93"/>
        <v>157.47840000000002</v>
      </c>
      <c r="K296" s="529">
        <f>IF(M296="",#REF!,M296)</f>
        <v>48</v>
      </c>
      <c r="L296" s="529">
        <v>48.006583760058518</v>
      </c>
      <c r="M296" s="529">
        <v>48</v>
      </c>
      <c r="N296" s="529">
        <f t="shared" si="94"/>
        <v>26.246400000000001</v>
      </c>
      <c r="O296" s="529">
        <v>8</v>
      </c>
      <c r="P296" s="529">
        <f t="shared" si="95"/>
        <v>4.9212000000000007</v>
      </c>
      <c r="Q296" s="530">
        <v>1.5</v>
      </c>
      <c r="R296" s="531">
        <f t="shared" si="108"/>
        <v>6.0000000000000009</v>
      </c>
      <c r="S296" s="532">
        <f t="shared" si="109"/>
        <v>32</v>
      </c>
      <c r="T296" s="523">
        <v>19</v>
      </c>
      <c r="U296" s="533">
        <f t="shared" si="96"/>
        <v>7510</v>
      </c>
      <c r="V296" s="533">
        <v>7510</v>
      </c>
      <c r="W296" s="533">
        <v>7510</v>
      </c>
      <c r="X296" s="534"/>
      <c r="Y296" s="535">
        <v>30</v>
      </c>
      <c r="Z296" s="536"/>
      <c r="AA296" s="537">
        <f t="shared" si="101"/>
        <v>1.9691089871408007</v>
      </c>
      <c r="AB296" s="538">
        <f t="shared" si="102"/>
        <v>3.87739020323867</v>
      </c>
      <c r="AC296" s="538">
        <f t="shared" si="97"/>
        <v>0.71100607546338246</v>
      </c>
      <c r="AD296" s="538">
        <f t="shared" si="98"/>
        <v>0.50552963934584116</v>
      </c>
      <c r="AE296" s="538">
        <f t="shared" si="103"/>
        <v>63.502189531704843</v>
      </c>
      <c r="AF296" s="539">
        <f t="shared" si="104"/>
        <v>0.99067909454061254</v>
      </c>
      <c r="AG296" s="536"/>
      <c r="AH296" s="536"/>
      <c r="AI296" s="536"/>
      <c r="AJ296" s="536"/>
      <c r="AK296" s="525">
        <v>2</v>
      </c>
      <c r="AL296" s="522"/>
      <c r="AM296" s="522"/>
      <c r="AN296" s="540"/>
      <c r="AO296" s="535">
        <f t="shared" si="105"/>
        <v>141.91390406759641</v>
      </c>
      <c r="AP296" s="539">
        <f t="shared" si="106"/>
        <v>3.4536979223994919</v>
      </c>
      <c r="AQ296" s="522" t="s">
        <v>1308</v>
      </c>
      <c r="AR296" s="541" t="s">
        <v>1304</v>
      </c>
      <c r="AV296" s="349"/>
      <c r="AW296" s="349"/>
      <c r="AX296" s="349"/>
    </row>
    <row r="297" spans="1:50" s="352" customFormat="1" ht="15.75">
      <c r="A297" s="521" t="s">
        <v>1577</v>
      </c>
      <c r="B297" s="522" t="s">
        <v>1309</v>
      </c>
      <c r="C297" s="523">
        <v>2</v>
      </c>
      <c r="D297" s="524" t="s">
        <v>1306</v>
      </c>
      <c r="E297" s="525">
        <v>1998</v>
      </c>
      <c r="F297" s="523">
        <v>2002</v>
      </c>
      <c r="G297" s="526" t="s">
        <v>1307</v>
      </c>
      <c r="H297" s="527">
        <v>274</v>
      </c>
      <c r="I297" s="528">
        <v>270</v>
      </c>
      <c r="J297" s="529">
        <f t="shared" si="93"/>
        <v>166.66463999999999</v>
      </c>
      <c r="K297" s="529">
        <v>50.8</v>
      </c>
      <c r="L297" s="529">
        <v>49.987807851743476</v>
      </c>
      <c r="M297" s="529">
        <v>50.8</v>
      </c>
      <c r="N297" s="529">
        <f t="shared" si="94"/>
        <v>27.230640000000005</v>
      </c>
      <c r="O297" s="529">
        <v>8.3000000000000007</v>
      </c>
      <c r="P297" s="529">
        <f t="shared" si="95"/>
        <v>6.5616000000000003</v>
      </c>
      <c r="Q297" s="530">
        <v>2</v>
      </c>
      <c r="R297" s="531">
        <f t="shared" si="108"/>
        <v>6.1204819277108422</v>
      </c>
      <c r="S297" s="532">
        <f t="shared" si="109"/>
        <v>25.4</v>
      </c>
      <c r="T297" s="523">
        <v>21</v>
      </c>
      <c r="U297" s="533">
        <f t="shared" si="96"/>
        <v>7510</v>
      </c>
      <c r="V297" s="533">
        <f>IF(W297="",#REF!,W297)</f>
        <v>7510</v>
      </c>
      <c r="W297" s="533">
        <v>7510</v>
      </c>
      <c r="X297" s="534">
        <v>5520</v>
      </c>
      <c r="Y297" s="535">
        <v>32</v>
      </c>
      <c r="Z297" s="536"/>
      <c r="AA297" s="537">
        <f t="shared" si="101"/>
        <v>2.0712619805709669</v>
      </c>
      <c r="AB297" s="538">
        <f t="shared" si="102"/>
        <v>4.2901261921587643</v>
      </c>
      <c r="AC297" s="538">
        <f t="shared" si="97"/>
        <v>0.73720928747063208</v>
      </c>
      <c r="AD297" s="538">
        <f t="shared" si="98"/>
        <v>0.54347753353295702</v>
      </c>
      <c r="AE297" s="538">
        <f t="shared" si="103"/>
        <v>58.322127565342186</v>
      </c>
      <c r="AF297" s="539">
        <f t="shared" si="104"/>
        <v>1.1504660452729694</v>
      </c>
      <c r="AG297" s="536">
        <v>500</v>
      </c>
      <c r="AH297" s="536">
        <v>30</v>
      </c>
      <c r="AI297" s="536"/>
      <c r="AJ297" s="536"/>
      <c r="AK297" s="525">
        <v>2</v>
      </c>
      <c r="AL297" s="522" t="s">
        <v>1080</v>
      </c>
      <c r="AM297" s="522">
        <v>2</v>
      </c>
      <c r="AN297" s="540" t="s">
        <v>1310</v>
      </c>
      <c r="AO297" s="535">
        <f t="shared" si="105"/>
        <v>182.271670585674</v>
      </c>
      <c r="AP297" s="539">
        <f t="shared" si="106"/>
        <v>4.3118150947873977</v>
      </c>
      <c r="AQ297" s="522" t="s">
        <v>1311</v>
      </c>
      <c r="AR297" s="541" t="s">
        <v>1304</v>
      </c>
      <c r="AV297" s="349"/>
      <c r="AW297" s="349"/>
      <c r="AX297" s="349"/>
    </row>
    <row r="298" spans="1:50" s="352" customFormat="1" ht="15.75">
      <c r="A298" s="521" t="s">
        <v>1577</v>
      </c>
      <c r="B298" s="522" t="s">
        <v>1312</v>
      </c>
      <c r="C298" s="523">
        <v>4</v>
      </c>
      <c r="D298" s="524" t="s">
        <v>1306</v>
      </c>
      <c r="E298" s="525">
        <v>1981</v>
      </c>
      <c r="F298" s="523">
        <v>1986</v>
      </c>
      <c r="G298" s="526" t="s">
        <v>1307</v>
      </c>
      <c r="H298" s="527">
        <f>I298*2240/2204.6</f>
        <v>304.81720039916542</v>
      </c>
      <c r="I298" s="528">
        <v>300</v>
      </c>
      <c r="J298" s="529">
        <f>K298*3.2808</f>
        <v>147.636</v>
      </c>
      <c r="K298" s="529">
        <f>IF(M298="",#REF!,M298)</f>
        <v>45</v>
      </c>
      <c r="L298" s="529">
        <v>44.989027066569129</v>
      </c>
      <c r="M298" s="529">
        <v>45</v>
      </c>
      <c r="N298" s="529">
        <f t="shared" si="94"/>
        <v>29.199120000000004</v>
      </c>
      <c r="O298" s="529">
        <v>8.9</v>
      </c>
      <c r="P298" s="529">
        <f>Q298*3.2808</f>
        <v>9.8424000000000014</v>
      </c>
      <c r="Q298" s="530">
        <v>3</v>
      </c>
      <c r="R298" s="531">
        <f>J298/N298</f>
        <v>5.0561797752808983</v>
      </c>
      <c r="S298" s="532">
        <f>J298/P298</f>
        <v>14.999999999999998</v>
      </c>
      <c r="T298" s="523">
        <v>30</v>
      </c>
      <c r="U298" s="533">
        <f>IF(V298="",W298,V298)</f>
        <v>10230</v>
      </c>
      <c r="V298" s="533">
        <v>10230</v>
      </c>
      <c r="W298" s="533">
        <f>X298/0.7457</f>
        <v>10084.484377095347</v>
      </c>
      <c r="X298" s="534">
        <v>7520</v>
      </c>
      <c r="Y298" s="535">
        <v>30</v>
      </c>
      <c r="Z298" s="536"/>
      <c r="AA298" s="537">
        <f>Y298*1.6878/SQRT(32.174*(H298*2204.6/2240*35)^(1/3))</f>
        <v>1.9076183527014858</v>
      </c>
      <c r="AB298" s="538">
        <f>AA298^2</f>
        <v>3.6390077795635305</v>
      </c>
      <c r="AC298" s="538">
        <f>Y298*1.687/SQRT(32.174*J298)</f>
        <v>0.73432391715252643</v>
      </c>
      <c r="AD298" s="538">
        <f>AC298^2</f>
        <v>0.53923161530223052</v>
      </c>
      <c r="AE298" s="538">
        <f>I298/(0.01*J298)^3</f>
        <v>93.227587212137323</v>
      </c>
      <c r="AF298" s="539">
        <f>IF(U298="","",Y298*I298/U298)</f>
        <v>0.87976539589442815</v>
      </c>
      <c r="AG298" s="536">
        <v>300</v>
      </c>
      <c r="AH298" s="536"/>
      <c r="AI298" s="536"/>
      <c r="AJ298" s="536"/>
      <c r="AK298" s="525">
        <v>3</v>
      </c>
      <c r="AL298" s="522" t="s">
        <v>1080</v>
      </c>
      <c r="AM298" s="522">
        <v>4</v>
      </c>
      <c r="AN298" s="540"/>
      <c r="AO298" s="535">
        <f>IF(U298="","",I298^(2/3)*Y298^3/U298)</f>
        <v>118.27754463054094</v>
      </c>
      <c r="AP298" s="539">
        <f>IF(U298="","",0.61*I298*Y298^3/(J298*U298))</f>
        <v>3.2715001919995195</v>
      </c>
      <c r="AQ298" s="522" t="s">
        <v>1313</v>
      </c>
      <c r="AR298" s="541" t="s">
        <v>1304</v>
      </c>
      <c r="AV298" s="349"/>
      <c r="AW298" s="349"/>
      <c r="AX298" s="349"/>
    </row>
    <row r="299" spans="1:50" s="352" customFormat="1" ht="15.75">
      <c r="A299" s="442" t="s">
        <v>1096</v>
      </c>
      <c r="B299" s="443" t="s">
        <v>1217</v>
      </c>
      <c r="C299" s="444">
        <v>2</v>
      </c>
      <c r="D299" s="445" t="s">
        <v>1210</v>
      </c>
      <c r="E299" s="446">
        <v>1990</v>
      </c>
      <c r="F299" s="444" t="s">
        <v>567</v>
      </c>
      <c r="G299" s="447"/>
      <c r="H299" s="448">
        <f>I299*2240/2204.6</f>
        <v>264.17490701260999</v>
      </c>
      <c r="I299" s="449">
        <v>260</v>
      </c>
      <c r="J299" s="450">
        <f t="shared" si="93"/>
        <v>147.30792</v>
      </c>
      <c r="K299" s="450">
        <f>IF(M299="",L299,M299)</f>
        <v>44.9</v>
      </c>
      <c r="L299" s="450"/>
      <c r="M299" s="450">
        <v>44.9</v>
      </c>
      <c r="N299" s="450">
        <f t="shared" si="94"/>
        <v>22.965600000000002</v>
      </c>
      <c r="O299" s="450">
        <v>7</v>
      </c>
      <c r="P299" s="450">
        <f t="shared" si="95"/>
        <v>7.2177600000000011</v>
      </c>
      <c r="Q299" s="451">
        <v>2.2000000000000002</v>
      </c>
      <c r="R299" s="452">
        <f t="shared" si="108"/>
        <v>6.4142857142857137</v>
      </c>
      <c r="S299" s="453">
        <f t="shared" si="109"/>
        <v>20.409090909090907</v>
      </c>
      <c r="T299" s="444">
        <v>40</v>
      </c>
      <c r="U299" s="454">
        <f t="shared" si="96"/>
        <v>9370</v>
      </c>
      <c r="V299" s="454">
        <v>9370</v>
      </c>
      <c r="W299" s="454"/>
      <c r="X299" s="455"/>
      <c r="Y299" s="456">
        <v>40</v>
      </c>
      <c r="Z299" s="457"/>
      <c r="AA299" s="458">
        <f t="shared" si="101"/>
        <v>2.6048829497737058</v>
      </c>
      <c r="AB299" s="459">
        <f t="shared" si="102"/>
        <v>6.7854151820217625</v>
      </c>
      <c r="AC299" s="459">
        <f t="shared" si="97"/>
        <v>0.98018825999773229</v>
      </c>
      <c r="AD299" s="459">
        <f t="shared" si="98"/>
        <v>0.96076902503738204</v>
      </c>
      <c r="AE299" s="459">
        <f t="shared" si="103"/>
        <v>81.338293420838198</v>
      </c>
      <c r="AF299" s="460">
        <f t="shared" si="104"/>
        <v>1.1099252934898614</v>
      </c>
      <c r="AG299" s="446"/>
      <c r="AH299" s="446"/>
      <c r="AI299" s="446"/>
      <c r="AJ299" s="446"/>
      <c r="AK299" s="446"/>
      <c r="AL299" s="443"/>
      <c r="AM299" s="443"/>
      <c r="AN299" s="461"/>
      <c r="AO299" s="456">
        <f t="shared" si="105"/>
        <v>278.2419543220675</v>
      </c>
      <c r="AP299" s="460">
        <f t="shared" si="106"/>
        <v>7.3538957473984059</v>
      </c>
      <c r="AQ299" s="443" t="s">
        <v>1162</v>
      </c>
      <c r="AR299" s="462" t="s">
        <v>1100</v>
      </c>
      <c r="AV299" s="349"/>
      <c r="AW299" s="349"/>
      <c r="AX299" s="349"/>
    </row>
    <row r="300" spans="1:50" s="352" customFormat="1" ht="3" customHeight="1" thickBot="1">
      <c r="A300" s="565"/>
      <c r="B300" s="566"/>
      <c r="C300" s="567"/>
      <c r="D300" s="569"/>
      <c r="E300" s="569"/>
      <c r="F300" s="567"/>
      <c r="G300" s="570"/>
      <c r="H300" s="608"/>
      <c r="I300" s="608"/>
      <c r="J300" s="609"/>
      <c r="K300" s="609"/>
      <c r="L300" s="609"/>
      <c r="M300" s="609"/>
      <c r="N300" s="609"/>
      <c r="O300" s="609"/>
      <c r="P300" s="609"/>
      <c r="Q300" s="609"/>
      <c r="R300" s="574"/>
      <c r="S300" s="574"/>
      <c r="T300" s="570"/>
      <c r="U300" s="610"/>
      <c r="V300" s="610"/>
      <c r="W300" s="610"/>
      <c r="X300" s="611"/>
      <c r="Y300" s="612"/>
      <c r="Z300" s="613"/>
      <c r="AA300" s="614"/>
      <c r="AB300" s="572"/>
      <c r="AC300" s="572"/>
      <c r="AD300" s="572"/>
      <c r="AE300" s="572"/>
      <c r="AF300" s="573"/>
      <c r="AG300" s="569"/>
      <c r="AH300" s="569"/>
      <c r="AI300" s="569"/>
      <c r="AJ300" s="569"/>
      <c r="AK300" s="569"/>
      <c r="AL300" s="566"/>
      <c r="AM300" s="566"/>
      <c r="AN300" s="615"/>
      <c r="AO300" s="609"/>
      <c r="AP300" s="582"/>
      <c r="AQ300" s="566"/>
      <c r="AR300" s="616"/>
    </row>
    <row r="301" spans="1:50" s="352" customFormat="1" ht="15.75">
      <c r="A301" s="345"/>
      <c r="B301" s="345"/>
      <c r="C301" s="346"/>
      <c r="D301" s="346"/>
      <c r="E301" s="346"/>
      <c r="F301" s="346"/>
      <c r="G301" s="367"/>
      <c r="H301" s="347"/>
      <c r="I301" s="347"/>
      <c r="J301" s="347"/>
      <c r="K301" s="347"/>
      <c r="L301" s="347"/>
      <c r="M301" s="347"/>
      <c r="N301" s="347"/>
      <c r="O301" s="347"/>
      <c r="P301" s="347"/>
      <c r="Q301" s="347"/>
      <c r="R301" s="348"/>
      <c r="S301" s="348"/>
      <c r="T301" s="346"/>
      <c r="U301" s="588"/>
      <c r="V301" s="588"/>
      <c r="W301" s="588"/>
      <c r="X301" s="588"/>
      <c r="Y301" s="347"/>
      <c r="Z301" s="349"/>
      <c r="AA301" s="349"/>
      <c r="AB301" s="349"/>
      <c r="AC301" s="349"/>
      <c r="AD301" s="349"/>
      <c r="AE301" s="349"/>
      <c r="AF301" s="349"/>
      <c r="AG301" s="349"/>
      <c r="AH301" s="349"/>
      <c r="AI301" s="349"/>
      <c r="AJ301" s="349"/>
      <c r="AK301" s="346"/>
      <c r="AL301" s="345"/>
      <c r="AM301" s="369"/>
      <c r="AN301" s="369"/>
      <c r="AO301" s="350"/>
      <c r="AP301" s="351"/>
      <c r="AV301" s="349"/>
      <c r="AW301" s="349"/>
      <c r="AX301" s="349"/>
    </row>
    <row r="302" spans="1:50" ht="16.5" thickBot="1">
      <c r="A302" s="345" t="s">
        <v>1578</v>
      </c>
      <c r="U302" s="588"/>
      <c r="V302" s="588"/>
      <c r="W302" s="588"/>
      <c r="X302" s="588"/>
      <c r="AL302" s="345"/>
      <c r="AM302" s="369"/>
      <c r="AN302" s="369"/>
    </row>
    <row r="303" spans="1:50" s="367" customFormat="1" ht="15.75">
      <c r="A303" s="353" t="s">
        <v>1041</v>
      </c>
      <c r="B303" s="354" t="s">
        <v>638</v>
      </c>
      <c r="C303" s="355" t="s">
        <v>1042</v>
      </c>
      <c r="D303" s="356" t="s">
        <v>1043</v>
      </c>
      <c r="E303" s="643" t="s">
        <v>1044</v>
      </c>
      <c r="F303" s="644"/>
      <c r="G303" s="357" t="s">
        <v>1045</v>
      </c>
      <c r="H303" s="358" t="s">
        <v>263</v>
      </c>
      <c r="I303" s="359" t="s">
        <v>263</v>
      </c>
      <c r="J303" s="359" t="s">
        <v>1046</v>
      </c>
      <c r="K303" s="359" t="s">
        <v>1046</v>
      </c>
      <c r="L303" s="359" t="s">
        <v>978</v>
      </c>
      <c r="M303" s="359" t="s">
        <v>1047</v>
      </c>
      <c r="N303" s="359" t="s">
        <v>261</v>
      </c>
      <c r="O303" s="359" t="s">
        <v>261</v>
      </c>
      <c r="P303" s="359" t="s">
        <v>650</v>
      </c>
      <c r="Q303" s="360" t="s">
        <v>1048</v>
      </c>
      <c r="R303" s="361" t="s">
        <v>281</v>
      </c>
      <c r="S303" s="362" t="s">
        <v>1575</v>
      </c>
      <c r="T303" s="355" t="s">
        <v>1049</v>
      </c>
      <c r="U303" s="591" t="s">
        <v>265</v>
      </c>
      <c r="V303" s="591" t="s">
        <v>1050</v>
      </c>
      <c r="W303" s="591" t="s">
        <v>1051</v>
      </c>
      <c r="X303" s="592" t="s">
        <v>1052</v>
      </c>
      <c r="Y303" s="356" t="s">
        <v>1053</v>
      </c>
      <c r="Z303" s="354" t="s">
        <v>1054</v>
      </c>
      <c r="AA303" s="356" t="s">
        <v>1055</v>
      </c>
      <c r="AB303" s="354" t="s">
        <v>1056</v>
      </c>
      <c r="AC303" s="354" t="s">
        <v>683</v>
      </c>
      <c r="AD303" s="354" t="s">
        <v>1057</v>
      </c>
      <c r="AE303" s="354" t="s">
        <v>1058</v>
      </c>
      <c r="AF303" s="355" t="s">
        <v>1059</v>
      </c>
      <c r="AG303" s="354" t="s">
        <v>1060</v>
      </c>
      <c r="AH303" s="363" t="s">
        <v>1061</v>
      </c>
      <c r="AI303" s="354" t="s">
        <v>1062</v>
      </c>
      <c r="AJ303" s="363" t="s">
        <v>1063</v>
      </c>
      <c r="AK303" s="643" t="s">
        <v>1064</v>
      </c>
      <c r="AL303" s="643"/>
      <c r="AM303" s="643" t="s">
        <v>1065</v>
      </c>
      <c r="AN303" s="644"/>
      <c r="AO303" s="364" t="s">
        <v>1066</v>
      </c>
      <c r="AP303" s="365" t="s">
        <v>1067</v>
      </c>
      <c r="AQ303" s="354" t="s">
        <v>1068</v>
      </c>
      <c r="AR303" s="366" t="s">
        <v>1069</v>
      </c>
    </row>
    <row r="304" spans="1:50" s="367" customFormat="1" ht="15.75">
      <c r="A304" s="368"/>
      <c r="B304" s="369"/>
      <c r="C304" s="370"/>
      <c r="D304" s="371"/>
      <c r="E304" s="372"/>
      <c r="F304" s="370"/>
      <c r="G304" s="373"/>
      <c r="H304" s="374" t="s">
        <v>1070</v>
      </c>
      <c r="I304" s="375" t="s">
        <v>1071</v>
      </c>
      <c r="J304" s="375" t="s">
        <v>1072</v>
      </c>
      <c r="K304" s="375" t="s">
        <v>1073</v>
      </c>
      <c r="L304" s="375" t="s">
        <v>1073</v>
      </c>
      <c r="M304" s="375" t="s">
        <v>1073</v>
      </c>
      <c r="N304" s="375" t="s">
        <v>1072</v>
      </c>
      <c r="O304" s="375" t="s">
        <v>1073</v>
      </c>
      <c r="P304" s="375" t="s">
        <v>1072</v>
      </c>
      <c r="Q304" s="376" t="s">
        <v>1073</v>
      </c>
      <c r="R304" s="377"/>
      <c r="S304" s="378"/>
      <c r="T304" s="370"/>
      <c r="U304" s="594"/>
      <c r="V304" s="594" t="s">
        <v>1074</v>
      </c>
      <c r="W304" s="594" t="s">
        <v>1074</v>
      </c>
      <c r="X304" s="595" t="s">
        <v>1075</v>
      </c>
      <c r="Y304" s="371" t="s">
        <v>1076</v>
      </c>
      <c r="Z304" s="372"/>
      <c r="AA304" s="371"/>
      <c r="AB304" s="372"/>
      <c r="AC304" s="372"/>
      <c r="AD304" s="372"/>
      <c r="AE304" s="372"/>
      <c r="AF304" s="370"/>
      <c r="AG304" s="372" t="s">
        <v>1077</v>
      </c>
      <c r="AH304" s="372"/>
      <c r="AI304" s="372"/>
      <c r="AJ304" s="372"/>
      <c r="AK304" s="372"/>
      <c r="AL304" s="372"/>
      <c r="AM304" s="372"/>
      <c r="AN304" s="370"/>
      <c r="AO304" s="379"/>
      <c r="AP304" s="380"/>
      <c r="AQ304" s="372"/>
      <c r="AR304" s="381"/>
    </row>
    <row r="305" spans="1:50" s="367" customFormat="1" ht="3" customHeight="1">
      <c r="A305" s="368"/>
      <c r="B305" s="369"/>
      <c r="C305" s="370"/>
      <c r="D305" s="371"/>
      <c r="E305" s="372"/>
      <c r="F305" s="370"/>
      <c r="G305" s="373"/>
      <c r="H305" s="374"/>
      <c r="I305" s="375"/>
      <c r="J305" s="375"/>
      <c r="K305" s="375"/>
      <c r="L305" s="375"/>
      <c r="M305" s="375"/>
      <c r="N305" s="375"/>
      <c r="O305" s="375"/>
      <c r="P305" s="375"/>
      <c r="Q305" s="376"/>
      <c r="R305" s="377"/>
      <c r="S305" s="378"/>
      <c r="T305" s="370"/>
      <c r="U305" s="594"/>
      <c r="V305" s="594"/>
      <c r="W305" s="594"/>
      <c r="X305" s="595"/>
      <c r="Y305" s="374"/>
      <c r="Z305" s="372"/>
      <c r="AA305" s="371"/>
      <c r="AB305" s="372"/>
      <c r="AC305" s="372"/>
      <c r="AD305" s="372"/>
      <c r="AE305" s="372"/>
      <c r="AF305" s="370"/>
      <c r="AG305" s="372"/>
      <c r="AH305" s="372"/>
      <c r="AI305" s="372"/>
      <c r="AJ305" s="372"/>
      <c r="AK305" s="372"/>
      <c r="AL305" s="372"/>
      <c r="AM305" s="372"/>
      <c r="AN305" s="370"/>
      <c r="AO305" s="379"/>
      <c r="AP305" s="380"/>
      <c r="AQ305" s="372"/>
      <c r="AR305" s="381"/>
    </row>
    <row r="306" spans="1:50" s="352" customFormat="1" ht="15.75">
      <c r="A306" s="400" t="s">
        <v>585</v>
      </c>
      <c r="B306" s="401" t="s">
        <v>1579</v>
      </c>
      <c r="C306" s="402"/>
      <c r="D306" s="403" t="s">
        <v>788</v>
      </c>
      <c r="E306" s="404"/>
      <c r="F306" s="402"/>
      <c r="G306" s="405"/>
      <c r="H306" s="406">
        <v>630</v>
      </c>
      <c r="I306" s="407">
        <f t="shared" ref="I306:I322" si="110">H306*2204.6/2240</f>
        <v>620.04375000000005</v>
      </c>
      <c r="J306" s="408">
        <f t="shared" ref="J306:J349" si="111">K306*3.2808</f>
        <v>236.2176</v>
      </c>
      <c r="K306" s="408">
        <v>72</v>
      </c>
      <c r="L306" s="408"/>
      <c r="M306" s="408"/>
      <c r="N306" s="408">
        <f t="shared" ref="N306:N349" si="112">O306*3.2808</f>
        <v>34.12032</v>
      </c>
      <c r="O306" s="408">
        <v>10.4</v>
      </c>
      <c r="P306" s="408">
        <f t="shared" ref="P306:P349" si="113">Q306*3.2808</f>
        <v>8.202</v>
      </c>
      <c r="Q306" s="409">
        <v>2.5</v>
      </c>
      <c r="R306" s="410">
        <f t="shared" ref="R306:R349" si="114">J306/N306</f>
        <v>6.9230769230769234</v>
      </c>
      <c r="S306" s="411">
        <f t="shared" ref="S306:S349" si="115">J306/P306</f>
        <v>28.8</v>
      </c>
      <c r="T306" s="402"/>
      <c r="U306" s="412"/>
      <c r="V306" s="412"/>
      <c r="W306" s="412"/>
      <c r="X306" s="413"/>
      <c r="Y306" s="414">
        <v>35</v>
      </c>
      <c r="Z306" s="415"/>
      <c r="AA306" s="416">
        <f t="shared" ref="AA306:AA345" si="116">Y306*1.6878/SQRT(32.174*(H306*2204.6/2240*35)^(1/3))</f>
        <v>1.9719145964503522</v>
      </c>
      <c r="AB306" s="417">
        <f t="shared" ref="AB306:AB349" si="117">AA306^2</f>
        <v>3.8884471756939551</v>
      </c>
      <c r="AC306" s="417">
        <f t="shared" ref="AC306:AC349" si="118">Y306*1.687/SQRT(32.174*J306)</f>
        <v>0.67728970124047472</v>
      </c>
      <c r="AD306" s="417">
        <f t="shared" ref="AD306:AD349" si="119">AC306^2</f>
        <v>0.45872133940641152</v>
      </c>
      <c r="AE306" s="417">
        <f t="shared" ref="AE306:AE349" si="120">I306/(0.01*J306)^3</f>
        <v>47.041978172579469</v>
      </c>
      <c r="AF306" s="418" t="str">
        <f t="shared" ref="AF306:AF349" si="121">IF(U306="","",Y306*I306/U306)</f>
        <v/>
      </c>
      <c r="AG306" s="415"/>
      <c r="AH306" s="415"/>
      <c r="AI306" s="415"/>
      <c r="AJ306" s="415"/>
      <c r="AK306" s="404"/>
      <c r="AL306" s="401"/>
      <c r="AM306" s="401"/>
      <c r="AN306" s="419"/>
      <c r="AO306" s="414" t="str">
        <f t="shared" ref="AO306:AO349" si="122">IF(U306="","",I306^(2/3)*Y306^3/U306)</f>
        <v/>
      </c>
      <c r="AP306" s="418" t="str">
        <f t="shared" ref="AP306:AP349" si="123">IF(U306="","",0.61*I306*Y306^3/(J306*U306))</f>
        <v/>
      </c>
      <c r="AQ306" s="401"/>
      <c r="AR306" s="420" t="s">
        <v>1081</v>
      </c>
      <c r="AV306" s="349"/>
      <c r="AW306" s="349"/>
      <c r="AX306" s="349"/>
    </row>
    <row r="307" spans="1:50" s="352" customFormat="1" ht="15.75">
      <c r="A307" s="400" t="s">
        <v>585</v>
      </c>
      <c r="B307" s="401" t="s">
        <v>1580</v>
      </c>
      <c r="C307" s="402"/>
      <c r="D307" s="403" t="s">
        <v>1516</v>
      </c>
      <c r="E307" s="404">
        <v>1992</v>
      </c>
      <c r="F307" s="402"/>
      <c r="G307" s="405"/>
      <c r="H307" s="406">
        <v>640</v>
      </c>
      <c r="I307" s="407">
        <f t="shared" si="110"/>
        <v>629.88571428571424</v>
      </c>
      <c r="J307" s="408">
        <f t="shared" si="111"/>
        <v>203.40960000000001</v>
      </c>
      <c r="K307" s="408">
        <v>62</v>
      </c>
      <c r="L307" s="408"/>
      <c r="M307" s="408"/>
      <c r="N307" s="408">
        <f t="shared" si="112"/>
        <v>26.902559999999998</v>
      </c>
      <c r="O307" s="408">
        <v>8.1999999999999993</v>
      </c>
      <c r="P307" s="408">
        <f t="shared" si="113"/>
        <v>8.202</v>
      </c>
      <c r="Q307" s="409">
        <v>2.5</v>
      </c>
      <c r="R307" s="410">
        <f t="shared" si="114"/>
        <v>7.5609756097560989</v>
      </c>
      <c r="S307" s="411">
        <f t="shared" si="115"/>
        <v>24.8</v>
      </c>
      <c r="T307" s="402"/>
      <c r="U307" s="412">
        <f>X307/0.7457</f>
        <v>9387.1530105940728</v>
      </c>
      <c r="V307" s="412"/>
      <c r="W307" s="412"/>
      <c r="X307" s="413">
        <v>7000</v>
      </c>
      <c r="Y307" s="414">
        <v>25</v>
      </c>
      <c r="Z307" s="415"/>
      <c r="AA307" s="416">
        <f t="shared" si="116"/>
        <v>1.4048183193763097</v>
      </c>
      <c r="AB307" s="417">
        <f t="shared" si="117"/>
        <v>1.9735145104552794</v>
      </c>
      <c r="AC307" s="417">
        <f t="shared" si="118"/>
        <v>0.5213349486467983</v>
      </c>
      <c r="AD307" s="417">
        <f t="shared" si="119"/>
        <v>0.27179012868055979</v>
      </c>
      <c r="AE307" s="417">
        <f t="shared" si="120"/>
        <v>74.842350998555276</v>
      </c>
      <c r="AF307" s="418">
        <f t="shared" si="121"/>
        <v>1.6775206326530612</v>
      </c>
      <c r="AG307" s="415">
        <v>2500</v>
      </c>
      <c r="AH307" s="415"/>
      <c r="AI307" s="415"/>
      <c r="AJ307" s="415"/>
      <c r="AK307" s="404">
        <v>2</v>
      </c>
      <c r="AL307" s="401" t="s">
        <v>1080</v>
      </c>
      <c r="AM307" s="401">
        <v>4</v>
      </c>
      <c r="AN307" s="419" t="s">
        <v>1329</v>
      </c>
      <c r="AO307" s="414">
        <f t="shared" si="122"/>
        <v>122.30962507860153</v>
      </c>
      <c r="AP307" s="418">
        <f t="shared" si="123"/>
        <v>3.1441718640564629</v>
      </c>
      <c r="AQ307" s="401"/>
      <c r="AR307" s="420" t="s">
        <v>1081</v>
      </c>
      <c r="AV307" s="349"/>
      <c r="AW307" s="349"/>
      <c r="AX307" s="349"/>
    </row>
    <row r="308" spans="1:50" s="352" customFormat="1" ht="15.75">
      <c r="A308" s="400" t="s">
        <v>585</v>
      </c>
      <c r="B308" s="401" t="s">
        <v>1581</v>
      </c>
      <c r="C308" s="402"/>
      <c r="D308" s="403" t="s">
        <v>1095</v>
      </c>
      <c r="E308" s="404">
        <v>1990</v>
      </c>
      <c r="F308" s="402"/>
      <c r="G308" s="405"/>
      <c r="H308" s="406">
        <v>640</v>
      </c>
      <c r="I308" s="407">
        <f t="shared" si="110"/>
        <v>629.88571428571424</v>
      </c>
      <c r="J308" s="408">
        <f t="shared" si="111"/>
        <v>206.69040000000001</v>
      </c>
      <c r="K308" s="408">
        <v>63</v>
      </c>
      <c r="L308" s="408"/>
      <c r="M308" s="408"/>
      <c r="N308" s="408">
        <f t="shared" si="112"/>
        <v>30.511440000000004</v>
      </c>
      <c r="O308" s="408">
        <v>9.3000000000000007</v>
      </c>
      <c r="P308" s="408">
        <f t="shared" si="113"/>
        <v>8.202</v>
      </c>
      <c r="Q308" s="409">
        <v>2.5</v>
      </c>
      <c r="R308" s="410">
        <f t="shared" si="114"/>
        <v>6.7741935483870961</v>
      </c>
      <c r="S308" s="411">
        <f t="shared" si="115"/>
        <v>25.200000000000003</v>
      </c>
      <c r="T308" s="402"/>
      <c r="U308" s="412">
        <f>X308/0.7457</f>
        <v>13410.21858656296</v>
      </c>
      <c r="V308" s="412"/>
      <c r="W308" s="412"/>
      <c r="X308" s="413">
        <v>10000</v>
      </c>
      <c r="Y308" s="414">
        <v>32</v>
      </c>
      <c r="Z308" s="415"/>
      <c r="AA308" s="416">
        <f t="shared" si="116"/>
        <v>1.7981674488016766</v>
      </c>
      <c r="AB308" s="417">
        <f t="shared" si="117"/>
        <v>3.23340617392993</v>
      </c>
      <c r="AC308" s="417">
        <f t="shared" si="118"/>
        <v>0.66199144845905966</v>
      </c>
      <c r="AD308" s="417">
        <f t="shared" si="119"/>
        <v>0.43823267783292386</v>
      </c>
      <c r="AE308" s="417">
        <f t="shared" si="120"/>
        <v>71.334700391461169</v>
      </c>
      <c r="AF308" s="418">
        <f t="shared" si="121"/>
        <v>1.5030584868571428</v>
      </c>
      <c r="AG308" s="415">
        <v>4000</v>
      </c>
      <c r="AH308" s="415"/>
      <c r="AI308" s="415"/>
      <c r="AJ308" s="415"/>
      <c r="AK308" s="404">
        <v>4</v>
      </c>
      <c r="AL308" s="401" t="s">
        <v>1080</v>
      </c>
      <c r="AM308" s="401">
        <v>4</v>
      </c>
      <c r="AN308" s="419"/>
      <c r="AO308" s="414">
        <f t="shared" si="122"/>
        <v>179.55131239698758</v>
      </c>
      <c r="AP308" s="418">
        <f t="shared" si="123"/>
        <v>4.5423999045453769</v>
      </c>
      <c r="AQ308" s="401"/>
      <c r="AR308" s="420" t="s">
        <v>1081</v>
      </c>
      <c r="AV308" s="349"/>
      <c r="AW308" s="349"/>
      <c r="AX308" s="349"/>
    </row>
    <row r="309" spans="1:50" s="352" customFormat="1" ht="15.75">
      <c r="A309" s="400" t="s">
        <v>585</v>
      </c>
      <c r="B309" s="401" t="s">
        <v>1582</v>
      </c>
      <c r="C309" s="402"/>
      <c r="D309" s="403" t="s">
        <v>1095</v>
      </c>
      <c r="E309" s="404">
        <v>1987</v>
      </c>
      <c r="F309" s="402"/>
      <c r="G309" s="405"/>
      <c r="H309" s="406">
        <v>642</v>
      </c>
      <c r="I309" s="407">
        <f t="shared" si="110"/>
        <v>631.85410714285717</v>
      </c>
      <c r="J309" s="408">
        <f t="shared" si="111"/>
        <v>206.69040000000001</v>
      </c>
      <c r="K309" s="408">
        <v>63</v>
      </c>
      <c r="L309" s="408"/>
      <c r="M309" s="408"/>
      <c r="N309" s="408">
        <f t="shared" si="112"/>
        <v>30.511440000000004</v>
      </c>
      <c r="O309" s="408">
        <v>9.3000000000000007</v>
      </c>
      <c r="P309" s="408">
        <f t="shared" si="113"/>
        <v>9.5143199999999997</v>
      </c>
      <c r="Q309" s="409">
        <v>2.9</v>
      </c>
      <c r="R309" s="410">
        <f t="shared" si="114"/>
        <v>6.7741935483870961</v>
      </c>
      <c r="S309" s="411">
        <f t="shared" si="115"/>
        <v>21.724137931034484</v>
      </c>
      <c r="T309" s="402"/>
      <c r="U309" s="412">
        <f>X309/0.7457</f>
        <v>12632.425908542309</v>
      </c>
      <c r="V309" s="412"/>
      <c r="W309" s="412"/>
      <c r="X309" s="413">
        <v>9420</v>
      </c>
      <c r="Y309" s="414">
        <v>32</v>
      </c>
      <c r="Z309" s="415"/>
      <c r="AA309" s="416">
        <f t="shared" si="116"/>
        <v>1.7972326066562629</v>
      </c>
      <c r="AB309" s="417">
        <f t="shared" si="117"/>
        <v>3.2300450424284657</v>
      </c>
      <c r="AC309" s="417">
        <f t="shared" si="118"/>
        <v>0.66199144845905966</v>
      </c>
      <c r="AD309" s="417">
        <f t="shared" si="119"/>
        <v>0.43823267783292386</v>
      </c>
      <c r="AE309" s="417">
        <f t="shared" si="120"/>
        <v>71.557621330184489</v>
      </c>
      <c r="AF309" s="418">
        <f t="shared" si="121"/>
        <v>1.6005897501364879</v>
      </c>
      <c r="AG309" s="415">
        <v>4000</v>
      </c>
      <c r="AH309" s="415"/>
      <c r="AI309" s="415"/>
      <c r="AJ309" s="415"/>
      <c r="AK309" s="404">
        <v>4</v>
      </c>
      <c r="AL309" s="401" t="s">
        <v>1080</v>
      </c>
      <c r="AM309" s="401">
        <v>4</v>
      </c>
      <c r="AN309" s="419"/>
      <c r="AO309" s="414">
        <f t="shared" si="122"/>
        <v>191.00337906115081</v>
      </c>
      <c r="AP309" s="418">
        <f t="shared" si="123"/>
        <v>4.8371495798801281</v>
      </c>
      <c r="AQ309" s="401"/>
      <c r="AR309" s="420" t="s">
        <v>1081</v>
      </c>
      <c r="AV309" s="349"/>
      <c r="AW309" s="349"/>
      <c r="AX309" s="349"/>
    </row>
    <row r="310" spans="1:50" s="352" customFormat="1" ht="15.75">
      <c r="A310" s="400" t="s">
        <v>585</v>
      </c>
      <c r="B310" s="401" t="s">
        <v>1583</v>
      </c>
      <c r="C310" s="402"/>
      <c r="D310" s="403" t="s">
        <v>1091</v>
      </c>
      <c r="E310" s="404"/>
      <c r="F310" s="402"/>
      <c r="G310" s="405"/>
      <c r="H310" s="406">
        <v>671</v>
      </c>
      <c r="I310" s="407">
        <f t="shared" si="110"/>
        <v>660.39580357142847</v>
      </c>
      <c r="J310" s="408">
        <f t="shared" si="111"/>
        <v>194.55144000000001</v>
      </c>
      <c r="K310" s="408">
        <v>59.3</v>
      </c>
      <c r="L310" s="408"/>
      <c r="M310" s="408"/>
      <c r="N310" s="408">
        <f t="shared" si="112"/>
        <v>38.713440000000006</v>
      </c>
      <c r="O310" s="408">
        <v>11.8</v>
      </c>
      <c r="P310" s="408">
        <f t="shared" si="113"/>
        <v>8.5300799999999999</v>
      </c>
      <c r="Q310" s="409">
        <v>2.6</v>
      </c>
      <c r="R310" s="410">
        <f t="shared" si="114"/>
        <v>5.0254237288135588</v>
      </c>
      <c r="S310" s="411">
        <f t="shared" si="115"/>
        <v>22.80769230769231</v>
      </c>
      <c r="T310" s="402"/>
      <c r="U310" s="412"/>
      <c r="V310" s="412"/>
      <c r="W310" s="412"/>
      <c r="X310" s="413"/>
      <c r="Y310" s="414">
        <v>33</v>
      </c>
      <c r="Z310" s="415"/>
      <c r="AA310" s="416">
        <f t="shared" si="116"/>
        <v>1.8397988178792555</v>
      </c>
      <c r="AB310" s="417">
        <f t="shared" si="117"/>
        <v>3.3848596902699057</v>
      </c>
      <c r="AC310" s="417">
        <f t="shared" si="118"/>
        <v>0.70365417514507578</v>
      </c>
      <c r="AD310" s="417">
        <f t="shared" si="119"/>
        <v>0.49512919819909695</v>
      </c>
      <c r="AE310" s="417">
        <f t="shared" si="120"/>
        <v>89.681106079944001</v>
      </c>
      <c r="AF310" s="418" t="str">
        <f t="shared" si="121"/>
        <v/>
      </c>
      <c r="AG310" s="415">
        <v>2500</v>
      </c>
      <c r="AH310" s="415"/>
      <c r="AI310" s="415"/>
      <c r="AJ310" s="415"/>
      <c r="AK310" s="404"/>
      <c r="AL310" s="401"/>
      <c r="AM310" s="401"/>
      <c r="AN310" s="419"/>
      <c r="AO310" s="414" t="str">
        <f t="shared" si="122"/>
        <v/>
      </c>
      <c r="AP310" s="418" t="str">
        <f t="shared" si="123"/>
        <v/>
      </c>
      <c r="AQ310" s="401"/>
      <c r="AR310" s="420" t="s">
        <v>1081</v>
      </c>
      <c r="AV310" s="349"/>
      <c r="AW310" s="349"/>
      <c r="AX310" s="349"/>
    </row>
    <row r="311" spans="1:50" s="352" customFormat="1" ht="15.75">
      <c r="A311" s="400" t="s">
        <v>585</v>
      </c>
      <c r="B311" s="401" t="s">
        <v>1584</v>
      </c>
      <c r="C311" s="402"/>
      <c r="D311" s="403" t="s">
        <v>791</v>
      </c>
      <c r="E311" s="404">
        <v>1997</v>
      </c>
      <c r="F311" s="402"/>
      <c r="G311" s="405"/>
      <c r="H311" s="406">
        <v>696</v>
      </c>
      <c r="I311" s="407">
        <f t="shared" si="110"/>
        <v>685.00071428571425</v>
      </c>
      <c r="J311" s="408">
        <f t="shared" si="111"/>
        <v>204.39384000000001</v>
      </c>
      <c r="K311" s="408">
        <v>62.3</v>
      </c>
      <c r="L311" s="408"/>
      <c r="M311" s="408"/>
      <c r="N311" s="408">
        <f t="shared" si="112"/>
        <v>30.511440000000004</v>
      </c>
      <c r="O311" s="408">
        <v>9.3000000000000007</v>
      </c>
      <c r="P311" s="408">
        <f t="shared" si="113"/>
        <v>8.202</v>
      </c>
      <c r="Q311" s="409">
        <v>2.5</v>
      </c>
      <c r="R311" s="410">
        <f t="shared" si="114"/>
        <v>6.6989247311827951</v>
      </c>
      <c r="S311" s="411">
        <f t="shared" si="115"/>
        <v>24.92</v>
      </c>
      <c r="T311" s="402"/>
      <c r="U311" s="412">
        <f>X311/0.7457</f>
        <v>19847.123508113182</v>
      </c>
      <c r="V311" s="412"/>
      <c r="W311" s="412"/>
      <c r="X311" s="413">
        <v>14800</v>
      </c>
      <c r="Y311" s="414">
        <v>36</v>
      </c>
      <c r="Z311" s="415"/>
      <c r="AA311" s="416">
        <f t="shared" si="116"/>
        <v>1.9948539719191536</v>
      </c>
      <c r="AB311" s="417">
        <f t="shared" si="117"/>
        <v>3.9794423692816232</v>
      </c>
      <c r="AC311" s="417">
        <f t="shared" si="118"/>
        <v>0.7489126271731561</v>
      </c>
      <c r="AD311" s="417">
        <f t="shared" si="119"/>
        <v>0.56087012313939866</v>
      </c>
      <c r="AE311" s="417">
        <f t="shared" si="120"/>
        <v>80.220915794305171</v>
      </c>
      <c r="AF311" s="418">
        <f t="shared" si="121"/>
        <v>1.2424987280501929</v>
      </c>
      <c r="AG311" s="415">
        <v>4000</v>
      </c>
      <c r="AH311" s="415"/>
      <c r="AI311" s="415"/>
      <c r="AJ311" s="415"/>
      <c r="AK311" s="404">
        <v>4</v>
      </c>
      <c r="AL311" s="401" t="s">
        <v>1080</v>
      </c>
      <c r="AM311" s="401">
        <v>4</v>
      </c>
      <c r="AN311" s="419"/>
      <c r="AO311" s="414">
        <f t="shared" si="122"/>
        <v>182.6714234136933</v>
      </c>
      <c r="AP311" s="418">
        <f t="shared" si="123"/>
        <v>4.805770048878971</v>
      </c>
      <c r="AQ311" s="401"/>
      <c r="AR311" s="420" t="s">
        <v>1081</v>
      </c>
      <c r="AV311" s="349"/>
      <c r="AW311" s="349"/>
      <c r="AX311" s="349"/>
    </row>
    <row r="312" spans="1:50" s="352" customFormat="1" ht="15.75">
      <c r="A312" s="400" t="s">
        <v>585</v>
      </c>
      <c r="B312" s="401" t="s">
        <v>1585</v>
      </c>
      <c r="C312" s="402"/>
      <c r="D312" s="403" t="s">
        <v>1516</v>
      </c>
      <c r="E312" s="404">
        <v>1980</v>
      </c>
      <c r="F312" s="402"/>
      <c r="G312" s="405"/>
      <c r="H312" s="406">
        <v>793</v>
      </c>
      <c r="I312" s="407">
        <f t="shared" si="110"/>
        <v>780.4677678571428</v>
      </c>
      <c r="J312" s="408">
        <f t="shared" si="111"/>
        <v>226.37520000000001</v>
      </c>
      <c r="K312" s="408">
        <v>69</v>
      </c>
      <c r="L312" s="408"/>
      <c r="M312" s="408"/>
      <c r="N312" s="408">
        <f t="shared" si="112"/>
        <v>32.151840000000007</v>
      </c>
      <c r="O312" s="408">
        <v>9.8000000000000007</v>
      </c>
      <c r="P312" s="408">
        <f t="shared" si="113"/>
        <v>9.8424000000000014</v>
      </c>
      <c r="Q312" s="409">
        <v>3</v>
      </c>
      <c r="R312" s="410">
        <f t="shared" si="114"/>
        <v>7.040816326530611</v>
      </c>
      <c r="S312" s="411">
        <f t="shared" si="115"/>
        <v>22.999999999999996</v>
      </c>
      <c r="T312" s="402"/>
      <c r="U312" s="412"/>
      <c r="V312" s="412"/>
      <c r="W312" s="412"/>
      <c r="X312" s="413">
        <v>16270</v>
      </c>
      <c r="Y312" s="414">
        <v>27</v>
      </c>
      <c r="Z312" s="415"/>
      <c r="AA312" s="416">
        <f t="shared" si="116"/>
        <v>1.4639572065714741</v>
      </c>
      <c r="AB312" s="417">
        <f t="shared" si="117"/>
        <v>2.1431707026725535</v>
      </c>
      <c r="AC312" s="417">
        <f t="shared" si="118"/>
        <v>0.53371805477856293</v>
      </c>
      <c r="AD312" s="417">
        <f t="shared" si="119"/>
        <v>0.28485496199661309</v>
      </c>
      <c r="AE312" s="417">
        <f t="shared" si="120"/>
        <v>67.27728096978251</v>
      </c>
      <c r="AF312" s="418" t="str">
        <f t="shared" si="121"/>
        <v/>
      </c>
      <c r="AG312" s="415">
        <v>2200</v>
      </c>
      <c r="AH312" s="415"/>
      <c r="AI312" s="415"/>
      <c r="AJ312" s="415"/>
      <c r="AK312" s="404">
        <v>2</v>
      </c>
      <c r="AL312" s="401" t="s">
        <v>1080</v>
      </c>
      <c r="AM312" s="401">
        <v>4</v>
      </c>
      <c r="AN312" s="419" t="s">
        <v>1329</v>
      </c>
      <c r="AO312" s="414" t="str">
        <f t="shared" si="122"/>
        <v/>
      </c>
      <c r="AP312" s="418" t="str">
        <f t="shared" si="123"/>
        <v/>
      </c>
      <c r="AQ312" s="401"/>
      <c r="AR312" s="420" t="s">
        <v>1081</v>
      </c>
      <c r="AV312" s="349"/>
      <c r="AW312" s="349"/>
      <c r="AX312" s="349"/>
    </row>
    <row r="313" spans="1:50" s="352" customFormat="1" ht="15.75">
      <c r="A313" s="400" t="s">
        <v>585</v>
      </c>
      <c r="B313" s="401" t="s">
        <v>1586</v>
      </c>
      <c r="C313" s="402"/>
      <c r="D313" s="403" t="s">
        <v>1377</v>
      </c>
      <c r="E313" s="404"/>
      <c r="F313" s="402"/>
      <c r="G313" s="405"/>
      <c r="H313" s="406">
        <v>975</v>
      </c>
      <c r="I313" s="407">
        <f t="shared" si="110"/>
        <v>959.59151785714289</v>
      </c>
      <c r="J313" s="408">
        <f t="shared" si="111"/>
        <v>251.96544</v>
      </c>
      <c r="K313" s="408">
        <v>76.8</v>
      </c>
      <c r="L313" s="408"/>
      <c r="M313" s="408"/>
      <c r="N313" s="408">
        <f t="shared" si="112"/>
        <v>31.49568</v>
      </c>
      <c r="O313" s="408">
        <v>9.6</v>
      </c>
      <c r="P313" s="408">
        <f t="shared" si="113"/>
        <v>7.87392</v>
      </c>
      <c r="Q313" s="409">
        <v>2.4</v>
      </c>
      <c r="R313" s="410">
        <f t="shared" si="114"/>
        <v>8</v>
      </c>
      <c r="S313" s="411">
        <f t="shared" si="115"/>
        <v>32</v>
      </c>
      <c r="T313" s="402"/>
      <c r="U313" s="412"/>
      <c r="V313" s="412"/>
      <c r="W313" s="412"/>
      <c r="X313" s="413"/>
      <c r="Y313" s="414">
        <v>26</v>
      </c>
      <c r="Z313" s="415"/>
      <c r="AA313" s="416">
        <f t="shared" si="116"/>
        <v>1.3620176253346399</v>
      </c>
      <c r="AB313" s="417">
        <f t="shared" si="117"/>
        <v>1.8550920117222114</v>
      </c>
      <c r="AC313" s="417">
        <f t="shared" si="118"/>
        <v>0.48715303621440031</v>
      </c>
      <c r="AD313" s="417">
        <f t="shared" si="119"/>
        <v>0.23731808069290883</v>
      </c>
      <c r="AE313" s="417">
        <f t="shared" si="120"/>
        <v>59.987874125799998</v>
      </c>
      <c r="AF313" s="418" t="str">
        <f t="shared" si="121"/>
        <v/>
      </c>
      <c r="AG313" s="415">
        <v>3000</v>
      </c>
      <c r="AH313" s="415"/>
      <c r="AI313" s="415"/>
      <c r="AJ313" s="415"/>
      <c r="AK313" s="404"/>
      <c r="AL313" s="401"/>
      <c r="AM313" s="401"/>
      <c r="AN313" s="419"/>
      <c r="AO313" s="414" t="str">
        <f t="shared" si="122"/>
        <v/>
      </c>
      <c r="AP313" s="418" t="str">
        <f t="shared" si="123"/>
        <v/>
      </c>
      <c r="AQ313" s="401"/>
      <c r="AR313" s="420" t="s">
        <v>1081</v>
      </c>
    </row>
    <row r="314" spans="1:50" s="352" customFormat="1" ht="15.75">
      <c r="A314" s="400" t="s">
        <v>585</v>
      </c>
      <c r="B314" s="401" t="s">
        <v>1587</v>
      </c>
      <c r="C314" s="402"/>
      <c r="D314" s="403" t="s">
        <v>1377</v>
      </c>
      <c r="E314" s="404">
        <v>1980</v>
      </c>
      <c r="F314" s="402"/>
      <c r="G314" s="405"/>
      <c r="H314" s="406">
        <v>1055</v>
      </c>
      <c r="I314" s="407">
        <f t="shared" si="110"/>
        <v>1038.3272321428572</v>
      </c>
      <c r="J314" s="408">
        <f t="shared" si="111"/>
        <v>245.07576000000003</v>
      </c>
      <c r="K314" s="408">
        <v>74.7</v>
      </c>
      <c r="L314" s="408"/>
      <c r="M314" s="408"/>
      <c r="N314" s="408">
        <f t="shared" si="112"/>
        <v>31.49568</v>
      </c>
      <c r="O314" s="408">
        <v>9.6</v>
      </c>
      <c r="P314" s="408">
        <f t="shared" si="113"/>
        <v>8.8581600000000016</v>
      </c>
      <c r="Q314" s="409">
        <v>2.7</v>
      </c>
      <c r="R314" s="410">
        <f t="shared" si="114"/>
        <v>7.7812500000000009</v>
      </c>
      <c r="S314" s="411">
        <f t="shared" si="115"/>
        <v>27.666666666666664</v>
      </c>
      <c r="T314" s="402"/>
      <c r="U314" s="412">
        <f>X314/0.7457</f>
        <v>23065.575968888294</v>
      </c>
      <c r="V314" s="412"/>
      <c r="W314" s="412"/>
      <c r="X314" s="413">
        <v>17200</v>
      </c>
      <c r="Y314" s="414">
        <v>30</v>
      </c>
      <c r="Z314" s="415"/>
      <c r="AA314" s="416">
        <f t="shared" si="116"/>
        <v>1.5510387941676878</v>
      </c>
      <c r="AB314" s="417">
        <f t="shared" si="117"/>
        <v>2.4057213410131548</v>
      </c>
      <c r="AC314" s="417">
        <f t="shared" si="118"/>
        <v>0.56994589433666698</v>
      </c>
      <c r="AD314" s="417">
        <f t="shared" si="119"/>
        <v>0.32483832247122318</v>
      </c>
      <c r="AE314" s="417">
        <f t="shared" si="120"/>
        <v>70.539628822544742</v>
      </c>
      <c r="AF314" s="418">
        <f t="shared" si="121"/>
        <v>1.3504894482713869</v>
      </c>
      <c r="AG314" s="415">
        <v>4000</v>
      </c>
      <c r="AH314" s="415"/>
      <c r="AI314" s="415"/>
      <c r="AJ314" s="415"/>
      <c r="AK314" s="404"/>
      <c r="AL314" s="401" t="s">
        <v>721</v>
      </c>
      <c r="AM314" s="401">
        <v>4</v>
      </c>
      <c r="AN314" s="419" t="s">
        <v>1329</v>
      </c>
      <c r="AO314" s="414">
        <f t="shared" si="122"/>
        <v>120.02976521460518</v>
      </c>
      <c r="AP314" s="418">
        <f t="shared" si="123"/>
        <v>3.0252633189875295</v>
      </c>
      <c r="AQ314" s="401"/>
      <c r="AR314" s="420" t="s">
        <v>1081</v>
      </c>
      <c r="AV314" s="349"/>
      <c r="AW314" s="349"/>
      <c r="AX314" s="349"/>
    </row>
    <row r="315" spans="1:50" s="352" customFormat="1" ht="15.75">
      <c r="A315" s="400" t="s">
        <v>585</v>
      </c>
      <c r="B315" s="401" t="s">
        <v>1588</v>
      </c>
      <c r="C315" s="402"/>
      <c r="D315" s="403" t="s">
        <v>1589</v>
      </c>
      <c r="E315" s="404">
        <v>1982</v>
      </c>
      <c r="F315" s="402"/>
      <c r="G315" s="405"/>
      <c r="H315" s="406">
        <v>1093</v>
      </c>
      <c r="I315" s="407">
        <f t="shared" si="110"/>
        <v>1075.7266964285714</v>
      </c>
      <c r="J315" s="408">
        <f t="shared" si="111"/>
        <v>256.23048</v>
      </c>
      <c r="K315" s="408">
        <v>78.099999999999994</v>
      </c>
      <c r="L315" s="408"/>
      <c r="M315" s="408"/>
      <c r="N315" s="408">
        <f t="shared" si="112"/>
        <v>31.49568</v>
      </c>
      <c r="O315" s="408">
        <v>9.6</v>
      </c>
      <c r="P315" s="408">
        <f t="shared" si="113"/>
        <v>8.5300799999999999</v>
      </c>
      <c r="Q315" s="409">
        <v>2.6</v>
      </c>
      <c r="R315" s="410">
        <f t="shared" si="114"/>
        <v>8.1354166666666661</v>
      </c>
      <c r="S315" s="411">
        <f t="shared" si="115"/>
        <v>30.03846153846154</v>
      </c>
      <c r="T315" s="402"/>
      <c r="U315" s="412">
        <f>X315/0.7457</f>
        <v>26820.43717312592</v>
      </c>
      <c r="V315" s="412"/>
      <c r="W315" s="412"/>
      <c r="X315" s="413">
        <v>20000</v>
      </c>
      <c r="Y315" s="414">
        <v>31</v>
      </c>
      <c r="Z315" s="415"/>
      <c r="AA315" s="416">
        <f t="shared" si="116"/>
        <v>1.593315627541412</v>
      </c>
      <c r="AB315" s="417">
        <f t="shared" si="117"/>
        <v>2.5386546889676835</v>
      </c>
      <c r="AC315" s="417">
        <f t="shared" si="118"/>
        <v>0.57598192187886421</v>
      </c>
      <c r="AD315" s="417">
        <f t="shared" si="119"/>
        <v>0.33175517433127005</v>
      </c>
      <c r="AE315" s="417">
        <f t="shared" si="120"/>
        <v>63.945439438686222</v>
      </c>
      <c r="AF315" s="418">
        <f t="shared" si="121"/>
        <v>1.2433625661665177</v>
      </c>
      <c r="AG315" s="415">
        <v>4000</v>
      </c>
      <c r="AH315" s="415"/>
      <c r="AI315" s="415"/>
      <c r="AJ315" s="415"/>
      <c r="AK315" s="404"/>
      <c r="AL315" s="401" t="s">
        <v>721</v>
      </c>
      <c r="AM315" s="401">
        <v>4</v>
      </c>
      <c r="AN315" s="419" t="s">
        <v>1329</v>
      </c>
      <c r="AO315" s="414">
        <f t="shared" si="122"/>
        <v>116.61485055514274</v>
      </c>
      <c r="AP315" s="418">
        <f t="shared" si="123"/>
        <v>2.8445935468429613</v>
      </c>
      <c r="AQ315" s="401"/>
      <c r="AR315" s="420" t="s">
        <v>1081</v>
      </c>
      <c r="AV315" s="349"/>
      <c r="AW315" s="349"/>
      <c r="AX315" s="349"/>
    </row>
    <row r="316" spans="1:50" s="352" customFormat="1" ht="15.75">
      <c r="A316" s="400" t="s">
        <v>585</v>
      </c>
      <c r="B316" s="401" t="s">
        <v>1590</v>
      </c>
      <c r="C316" s="402"/>
      <c r="D316" s="403" t="s">
        <v>1589</v>
      </c>
      <c r="E316" s="404">
        <v>1984</v>
      </c>
      <c r="F316" s="402"/>
      <c r="G316" s="405"/>
      <c r="H316" s="406">
        <v>1240</v>
      </c>
      <c r="I316" s="407">
        <f t="shared" si="110"/>
        <v>1220.4035714285715</v>
      </c>
      <c r="J316" s="408">
        <f t="shared" si="111"/>
        <v>289.69463999999999</v>
      </c>
      <c r="K316" s="408">
        <v>88.3</v>
      </c>
      <c r="L316" s="408"/>
      <c r="M316" s="408"/>
      <c r="N316" s="408">
        <f t="shared" si="112"/>
        <v>32.808</v>
      </c>
      <c r="O316" s="408">
        <v>10</v>
      </c>
      <c r="P316" s="408">
        <f t="shared" si="113"/>
        <v>9.5143199999999997</v>
      </c>
      <c r="Q316" s="409">
        <v>2.9</v>
      </c>
      <c r="R316" s="410">
        <f t="shared" si="114"/>
        <v>8.83</v>
      </c>
      <c r="S316" s="411">
        <f t="shared" si="115"/>
        <v>30.448275862068964</v>
      </c>
      <c r="T316" s="402"/>
      <c r="U316" s="412">
        <f>X316/0.7457</f>
        <v>26820.43717312592</v>
      </c>
      <c r="V316" s="412"/>
      <c r="W316" s="412"/>
      <c r="X316" s="413">
        <v>20000</v>
      </c>
      <c r="Y316" s="414">
        <v>32</v>
      </c>
      <c r="Z316" s="415"/>
      <c r="AA316" s="416">
        <f t="shared" si="116"/>
        <v>1.6104843655676435</v>
      </c>
      <c r="AB316" s="417">
        <f t="shared" si="117"/>
        <v>2.5936598917378153</v>
      </c>
      <c r="AC316" s="417">
        <f t="shared" si="118"/>
        <v>0.55916799040087151</v>
      </c>
      <c r="AD316" s="417">
        <f t="shared" si="119"/>
        <v>0.31266884148894913</v>
      </c>
      <c r="AE316" s="417">
        <f t="shared" si="120"/>
        <v>50.197500224173801</v>
      </c>
      <c r="AF316" s="418">
        <f t="shared" si="121"/>
        <v>1.4560879091428574</v>
      </c>
      <c r="AG316" s="415">
        <v>4000</v>
      </c>
      <c r="AH316" s="415"/>
      <c r="AI316" s="415"/>
      <c r="AJ316" s="415"/>
      <c r="AK316" s="404"/>
      <c r="AL316" s="401" t="s">
        <v>721</v>
      </c>
      <c r="AM316" s="401">
        <v>4</v>
      </c>
      <c r="AN316" s="419"/>
      <c r="AO316" s="414">
        <f t="shared" si="122"/>
        <v>139.52533127120208</v>
      </c>
      <c r="AP316" s="418">
        <f t="shared" si="123"/>
        <v>3.1396188468208956</v>
      </c>
      <c r="AQ316" s="401"/>
      <c r="AR316" s="420" t="s">
        <v>1081</v>
      </c>
    </row>
    <row r="317" spans="1:50" s="352" customFormat="1" ht="15.75">
      <c r="A317" s="400" t="s">
        <v>585</v>
      </c>
      <c r="B317" s="401" t="s">
        <v>1591</v>
      </c>
      <c r="C317" s="402"/>
      <c r="D317" s="403" t="s">
        <v>752</v>
      </c>
      <c r="E317" s="404"/>
      <c r="F317" s="402"/>
      <c r="G317" s="405"/>
      <c r="H317" s="406">
        <v>1247</v>
      </c>
      <c r="I317" s="407">
        <f t="shared" si="110"/>
        <v>1227.2929464285712</v>
      </c>
      <c r="J317" s="408">
        <f t="shared" si="111"/>
        <v>283.46112000000005</v>
      </c>
      <c r="K317" s="408">
        <v>86.4</v>
      </c>
      <c r="L317" s="408"/>
      <c r="M317" s="408"/>
      <c r="N317" s="408">
        <f t="shared" si="112"/>
        <v>39.041520000000006</v>
      </c>
      <c r="O317" s="408">
        <v>11.9</v>
      </c>
      <c r="P317" s="408">
        <f t="shared" si="113"/>
        <v>10.498560000000001</v>
      </c>
      <c r="Q317" s="409">
        <v>3.2</v>
      </c>
      <c r="R317" s="410">
        <f t="shared" si="114"/>
        <v>7.2605042016806722</v>
      </c>
      <c r="S317" s="411">
        <f t="shared" si="115"/>
        <v>27</v>
      </c>
      <c r="T317" s="402"/>
      <c r="U317" s="412"/>
      <c r="V317" s="412"/>
      <c r="W317" s="412"/>
      <c r="X317" s="413"/>
      <c r="Y317" s="414">
        <v>33</v>
      </c>
      <c r="Z317" s="415"/>
      <c r="AA317" s="416">
        <f t="shared" si="116"/>
        <v>1.6592545348005896</v>
      </c>
      <c r="AB317" s="417">
        <f t="shared" si="117"/>
        <v>2.7531256112563209</v>
      </c>
      <c r="AC317" s="417">
        <f t="shared" si="118"/>
        <v>0.58294790295553844</v>
      </c>
      <c r="AD317" s="417">
        <f t="shared" si="119"/>
        <v>0.33982825756025986</v>
      </c>
      <c r="AE317" s="417">
        <f t="shared" si="120"/>
        <v>53.884981978621539</v>
      </c>
      <c r="AF317" s="418" t="str">
        <f t="shared" si="121"/>
        <v/>
      </c>
      <c r="AG317" s="415">
        <v>3500</v>
      </c>
      <c r="AH317" s="415"/>
      <c r="AI317" s="415"/>
      <c r="AJ317" s="415"/>
      <c r="AK317" s="404"/>
      <c r="AL317" s="401"/>
      <c r="AM317" s="401"/>
      <c r="AN317" s="419"/>
      <c r="AO317" s="414" t="str">
        <f t="shared" si="122"/>
        <v/>
      </c>
      <c r="AP317" s="418" t="str">
        <f t="shared" si="123"/>
        <v/>
      </c>
      <c r="AQ317" s="401"/>
      <c r="AR317" s="420" t="s">
        <v>1081</v>
      </c>
      <c r="AV317" s="349"/>
      <c r="AW317" s="349"/>
      <c r="AX317" s="349"/>
    </row>
    <row r="318" spans="1:50" s="352" customFormat="1" ht="15.75">
      <c r="A318" s="400" t="s">
        <v>585</v>
      </c>
      <c r="B318" s="401" t="s">
        <v>1592</v>
      </c>
      <c r="C318" s="402"/>
      <c r="D318" s="403" t="s">
        <v>791</v>
      </c>
      <c r="E318" s="404"/>
      <c r="F318" s="402"/>
      <c r="G318" s="405"/>
      <c r="H318" s="406">
        <v>1306</v>
      </c>
      <c r="I318" s="407">
        <f t="shared" si="110"/>
        <v>1285.3605357142858</v>
      </c>
      <c r="J318" s="408">
        <f t="shared" si="111"/>
        <v>284.11727999999999</v>
      </c>
      <c r="K318" s="408">
        <v>86.6</v>
      </c>
      <c r="L318" s="408"/>
      <c r="M318" s="408"/>
      <c r="N318" s="408">
        <f t="shared" si="112"/>
        <v>34.448399999999999</v>
      </c>
      <c r="O318" s="408">
        <v>10.5</v>
      </c>
      <c r="P318" s="408">
        <f t="shared" si="113"/>
        <v>10.498560000000001</v>
      </c>
      <c r="Q318" s="409">
        <v>3.2</v>
      </c>
      <c r="R318" s="410">
        <f t="shared" si="114"/>
        <v>8.2476190476190467</v>
      </c>
      <c r="S318" s="411">
        <f t="shared" si="115"/>
        <v>27.062499999999996</v>
      </c>
      <c r="T318" s="402"/>
      <c r="U318" s="412"/>
      <c r="V318" s="412">
        <v>11000</v>
      </c>
      <c r="W318" s="412"/>
      <c r="X318" s="413"/>
      <c r="Y318" s="414">
        <v>24</v>
      </c>
      <c r="Z318" s="415"/>
      <c r="AA318" s="416">
        <f t="shared" si="116"/>
        <v>1.1974687663761128</v>
      </c>
      <c r="AB318" s="417">
        <f t="shared" si="117"/>
        <v>1.4339314464463293</v>
      </c>
      <c r="AC318" s="417">
        <f t="shared" si="118"/>
        <v>0.42347226461668902</v>
      </c>
      <c r="AD318" s="417">
        <f t="shared" si="119"/>
        <v>0.17932875889958708</v>
      </c>
      <c r="AE318" s="417">
        <f t="shared" si="120"/>
        <v>56.044373253133443</v>
      </c>
      <c r="AF318" s="418" t="str">
        <f t="shared" si="121"/>
        <v/>
      </c>
      <c r="AG318" s="415">
        <v>3500</v>
      </c>
      <c r="AH318" s="415"/>
      <c r="AI318" s="415"/>
      <c r="AJ318" s="415"/>
      <c r="AK318" s="404">
        <v>2</v>
      </c>
      <c r="AL318" s="401" t="s">
        <v>1080</v>
      </c>
      <c r="AM318" s="401">
        <v>2</v>
      </c>
      <c r="AN318" s="419" t="s">
        <v>1593</v>
      </c>
      <c r="AO318" s="414" t="str">
        <f t="shared" si="122"/>
        <v/>
      </c>
      <c r="AP318" s="418" t="str">
        <f t="shared" si="123"/>
        <v/>
      </c>
      <c r="AQ318" s="401"/>
      <c r="AR318" s="420" t="s">
        <v>1081</v>
      </c>
      <c r="AV318" s="349"/>
      <c r="AW318" s="349"/>
      <c r="AX318" s="349"/>
    </row>
    <row r="319" spans="1:50" s="352" customFormat="1" ht="15.75">
      <c r="A319" s="400" t="s">
        <v>585</v>
      </c>
      <c r="B319" s="401" t="s">
        <v>1594</v>
      </c>
      <c r="C319" s="402"/>
      <c r="D319" s="403" t="s">
        <v>1516</v>
      </c>
      <c r="E319" s="404"/>
      <c r="F319" s="402"/>
      <c r="G319" s="405"/>
      <c r="H319" s="406">
        <v>1473</v>
      </c>
      <c r="I319" s="407">
        <f t="shared" si="110"/>
        <v>1449.7213392857143</v>
      </c>
      <c r="J319" s="408">
        <f t="shared" si="111"/>
        <v>274.60296</v>
      </c>
      <c r="K319" s="408">
        <v>83.7</v>
      </c>
      <c r="L319" s="408"/>
      <c r="M319" s="408"/>
      <c r="N319" s="408">
        <f t="shared" si="112"/>
        <v>37.729199999999999</v>
      </c>
      <c r="O319" s="408">
        <v>11.5</v>
      </c>
      <c r="P319" s="408">
        <f t="shared" si="113"/>
        <v>11.810880000000001</v>
      </c>
      <c r="Q319" s="409">
        <v>3.6</v>
      </c>
      <c r="R319" s="410">
        <f t="shared" si="114"/>
        <v>7.2782608695652176</v>
      </c>
      <c r="S319" s="411">
        <f t="shared" si="115"/>
        <v>23.249999999999996</v>
      </c>
      <c r="T319" s="402"/>
      <c r="U319" s="412"/>
      <c r="V319" s="412"/>
      <c r="W319" s="412"/>
      <c r="X319" s="413"/>
      <c r="Y319" s="414">
        <v>28</v>
      </c>
      <c r="Z319" s="415"/>
      <c r="AA319" s="416">
        <f t="shared" si="116"/>
        <v>1.3693077173574704</v>
      </c>
      <c r="AB319" s="417">
        <f t="shared" si="117"/>
        <v>1.8750036248147259</v>
      </c>
      <c r="AC319" s="417">
        <f t="shared" si="118"/>
        <v>0.50253692506078718</v>
      </c>
      <c r="AD319" s="417">
        <f t="shared" si="119"/>
        <v>0.25254336104955122</v>
      </c>
      <c r="AE319" s="417">
        <f t="shared" si="120"/>
        <v>70.011420401407307</v>
      </c>
      <c r="AF319" s="418" t="str">
        <f t="shared" si="121"/>
        <v/>
      </c>
      <c r="AG319" s="415">
        <v>4000</v>
      </c>
      <c r="AH319" s="415"/>
      <c r="AI319" s="415"/>
      <c r="AJ319" s="415"/>
      <c r="AK319" s="404"/>
      <c r="AL319" s="401"/>
      <c r="AM319" s="401"/>
      <c r="AN319" s="419"/>
      <c r="AO319" s="414" t="str">
        <f t="shared" si="122"/>
        <v/>
      </c>
      <c r="AP319" s="418" t="str">
        <f t="shared" si="123"/>
        <v/>
      </c>
      <c r="AQ319" s="401"/>
      <c r="AR319" s="420" t="s">
        <v>1081</v>
      </c>
    </row>
    <row r="320" spans="1:50" s="352" customFormat="1" ht="15.75">
      <c r="A320" s="400" t="s">
        <v>585</v>
      </c>
      <c r="B320" s="401" t="s">
        <v>1595</v>
      </c>
      <c r="C320" s="402"/>
      <c r="D320" s="403" t="s">
        <v>1095</v>
      </c>
      <c r="E320" s="404">
        <v>2005</v>
      </c>
      <c r="F320" s="402"/>
      <c r="G320" s="405"/>
      <c r="H320" s="406">
        <v>1689</v>
      </c>
      <c r="I320" s="407">
        <f t="shared" si="110"/>
        <v>1662.3077678571428</v>
      </c>
      <c r="J320" s="408">
        <f t="shared" si="111"/>
        <v>289.69463999999999</v>
      </c>
      <c r="K320" s="408">
        <v>88.3</v>
      </c>
      <c r="L320" s="408"/>
      <c r="M320" s="408"/>
      <c r="N320" s="408">
        <f t="shared" si="112"/>
        <v>41.666159999999998</v>
      </c>
      <c r="O320" s="408">
        <v>12.7</v>
      </c>
      <c r="P320" s="408">
        <f t="shared" si="113"/>
        <v>15.74784</v>
      </c>
      <c r="Q320" s="409">
        <v>4.8</v>
      </c>
      <c r="R320" s="410">
        <f t="shared" si="114"/>
        <v>6.9527559055118111</v>
      </c>
      <c r="S320" s="411">
        <f t="shared" si="115"/>
        <v>18.395833333333332</v>
      </c>
      <c r="T320" s="402"/>
      <c r="U320" s="412">
        <f>X320/0.7457</f>
        <v>19847.123508113182</v>
      </c>
      <c r="V320" s="412"/>
      <c r="W320" s="412"/>
      <c r="X320" s="413">
        <v>14800</v>
      </c>
      <c r="Y320" s="414">
        <v>26</v>
      </c>
      <c r="Z320" s="415"/>
      <c r="AA320" s="416">
        <f t="shared" si="116"/>
        <v>1.2428304600501481</v>
      </c>
      <c r="AB320" s="417">
        <f t="shared" si="117"/>
        <v>1.5446275524284627</v>
      </c>
      <c r="AC320" s="417">
        <f t="shared" si="118"/>
        <v>0.45432399220070813</v>
      </c>
      <c r="AD320" s="417">
        <f t="shared" si="119"/>
        <v>0.20641028988918911</v>
      </c>
      <c r="AE320" s="417">
        <f t="shared" si="120"/>
        <v>68.373853127927049</v>
      </c>
      <c r="AF320" s="418">
        <f t="shared" si="121"/>
        <v>2.1776456395113417</v>
      </c>
      <c r="AG320" s="415">
        <v>2500</v>
      </c>
      <c r="AH320" s="415"/>
      <c r="AI320" s="415"/>
      <c r="AJ320" s="415"/>
      <c r="AK320" s="404">
        <v>2</v>
      </c>
      <c r="AL320" s="401" t="s">
        <v>1080</v>
      </c>
      <c r="AM320" s="401">
        <v>4</v>
      </c>
      <c r="AN320" s="419"/>
      <c r="AO320" s="414">
        <f t="shared" si="122"/>
        <v>124.26917862613612</v>
      </c>
      <c r="AP320" s="418">
        <f t="shared" si="123"/>
        <v>3.0997258213299936</v>
      </c>
      <c r="AQ320" s="401"/>
      <c r="AR320" s="420" t="s">
        <v>1081</v>
      </c>
      <c r="AV320" s="349"/>
      <c r="AW320" s="349"/>
      <c r="AX320" s="349"/>
    </row>
    <row r="321" spans="1:50" s="352" customFormat="1" ht="15.75">
      <c r="A321" s="400" t="s">
        <v>585</v>
      </c>
      <c r="B321" s="401" t="s">
        <v>1171</v>
      </c>
      <c r="C321" s="402"/>
      <c r="D321" s="403" t="s">
        <v>1516</v>
      </c>
      <c r="E321" s="404">
        <v>2004</v>
      </c>
      <c r="F321" s="402"/>
      <c r="G321" s="405"/>
      <c r="H321" s="406">
        <v>1971</v>
      </c>
      <c r="I321" s="407">
        <f t="shared" si="110"/>
        <v>1939.8511607142855</v>
      </c>
      <c r="J321" s="408">
        <f t="shared" si="111"/>
        <v>311.67599999999999</v>
      </c>
      <c r="K321" s="408">
        <v>95</v>
      </c>
      <c r="L321" s="408"/>
      <c r="M321" s="408"/>
      <c r="N321" s="408">
        <f t="shared" si="112"/>
        <v>41.994240000000005</v>
      </c>
      <c r="O321" s="408">
        <v>12.8</v>
      </c>
      <c r="P321" s="408">
        <f t="shared" si="113"/>
        <v>11.810880000000001</v>
      </c>
      <c r="Q321" s="409">
        <v>3.6</v>
      </c>
      <c r="R321" s="410">
        <f t="shared" si="114"/>
        <v>7.4218749999999991</v>
      </c>
      <c r="S321" s="411">
        <f t="shared" si="115"/>
        <v>26.388888888888886</v>
      </c>
      <c r="T321" s="402"/>
      <c r="U321" s="412">
        <f>X321/0.7457</f>
        <v>40498.860131420144</v>
      </c>
      <c r="V321" s="412"/>
      <c r="W321" s="412"/>
      <c r="X321" s="413">
        <v>30200</v>
      </c>
      <c r="Y321" s="414">
        <v>30</v>
      </c>
      <c r="Z321" s="415"/>
      <c r="AA321" s="416">
        <f t="shared" si="116"/>
        <v>1.3976023845802681</v>
      </c>
      <c r="AB321" s="417">
        <f t="shared" si="117"/>
        <v>1.9532924253844515</v>
      </c>
      <c r="AC321" s="417">
        <f t="shared" si="118"/>
        <v>0.50539638105675744</v>
      </c>
      <c r="AD321" s="417">
        <f t="shared" si="119"/>
        <v>0.25542550198526714</v>
      </c>
      <c r="AE321" s="417">
        <f t="shared" si="120"/>
        <v>64.070531146181409</v>
      </c>
      <c r="AF321" s="418">
        <f t="shared" si="121"/>
        <v>1.4369672290178568</v>
      </c>
      <c r="AG321" s="415">
        <v>5000</v>
      </c>
      <c r="AH321" s="415"/>
      <c r="AI321" s="415"/>
      <c r="AJ321" s="415"/>
      <c r="AK321" s="404">
        <v>4</v>
      </c>
      <c r="AL321" s="401" t="s">
        <v>1080</v>
      </c>
      <c r="AM321" s="401">
        <v>4</v>
      </c>
      <c r="AN321" s="419" t="s">
        <v>1329</v>
      </c>
      <c r="AO321" s="414">
        <f t="shared" si="122"/>
        <v>103.69709027179994</v>
      </c>
      <c r="AP321" s="418">
        <f t="shared" si="123"/>
        <v>2.5311381329675799</v>
      </c>
      <c r="AQ321" s="401"/>
      <c r="AR321" s="420" t="s">
        <v>1081</v>
      </c>
      <c r="AV321" s="349"/>
      <c r="AW321" s="349"/>
      <c r="AX321" s="349"/>
    </row>
    <row r="322" spans="1:50" s="352" customFormat="1" ht="15.75">
      <c r="A322" s="400" t="s">
        <v>585</v>
      </c>
      <c r="B322" s="401" t="s">
        <v>1596</v>
      </c>
      <c r="C322" s="402"/>
      <c r="D322" s="403" t="s">
        <v>1411</v>
      </c>
      <c r="E322" s="404">
        <v>1989</v>
      </c>
      <c r="F322" s="402"/>
      <c r="G322" s="405"/>
      <c r="H322" s="406">
        <v>2002</v>
      </c>
      <c r="I322" s="407">
        <f t="shared" si="110"/>
        <v>1970.3612500000002</v>
      </c>
      <c r="J322" s="408">
        <f t="shared" si="111"/>
        <v>314.30063999999999</v>
      </c>
      <c r="K322" s="408">
        <v>95.8</v>
      </c>
      <c r="L322" s="408"/>
      <c r="M322" s="408"/>
      <c r="N322" s="408">
        <f t="shared" si="112"/>
        <v>37.401120000000006</v>
      </c>
      <c r="O322" s="408">
        <v>11.4</v>
      </c>
      <c r="P322" s="408">
        <f t="shared" si="113"/>
        <v>17.38824</v>
      </c>
      <c r="Q322" s="409">
        <v>5.3</v>
      </c>
      <c r="R322" s="410">
        <f t="shared" si="114"/>
        <v>8.4035087719298236</v>
      </c>
      <c r="S322" s="411">
        <f t="shared" si="115"/>
        <v>18.075471698113208</v>
      </c>
      <c r="T322" s="402"/>
      <c r="U322" s="412">
        <f>27000+7800</f>
        <v>34800</v>
      </c>
      <c r="V322" s="412"/>
      <c r="W322" s="412"/>
      <c r="X322" s="413">
        <f>U322*0.7457</f>
        <v>25950.36</v>
      </c>
      <c r="Y322" s="414">
        <v>27</v>
      </c>
      <c r="Z322" s="415"/>
      <c r="AA322" s="416">
        <f t="shared" si="116"/>
        <v>1.2545748224054321</v>
      </c>
      <c r="AB322" s="417">
        <f t="shared" si="117"/>
        <v>1.5739579850136214</v>
      </c>
      <c r="AC322" s="417">
        <f t="shared" si="118"/>
        <v>0.4529535683155092</v>
      </c>
      <c r="AD322" s="417">
        <f t="shared" si="119"/>
        <v>0.20516693504975267</v>
      </c>
      <c r="AE322" s="417">
        <f t="shared" si="120"/>
        <v>63.461460367647724</v>
      </c>
      <c r="AF322" s="418">
        <f t="shared" si="121"/>
        <v>1.5287285560344828</v>
      </c>
      <c r="AG322" s="415">
        <v>4000</v>
      </c>
      <c r="AH322" s="415"/>
      <c r="AI322" s="415"/>
      <c r="AJ322" s="415"/>
      <c r="AK322" s="404"/>
      <c r="AL322" s="401" t="s">
        <v>721</v>
      </c>
      <c r="AM322" s="401">
        <v>4</v>
      </c>
      <c r="AN322" s="419" t="s">
        <v>1329</v>
      </c>
      <c r="AO322" s="414">
        <f t="shared" si="122"/>
        <v>88.894717431579338</v>
      </c>
      <c r="AP322" s="418">
        <f t="shared" si="123"/>
        <v>2.1629300582492426</v>
      </c>
      <c r="AQ322" s="401"/>
      <c r="AR322" s="420" t="s">
        <v>1081</v>
      </c>
      <c r="AV322" s="349"/>
      <c r="AW322" s="349"/>
      <c r="AX322" s="349"/>
    </row>
    <row r="323" spans="1:50" s="352" customFormat="1" ht="15.75">
      <c r="A323" s="442" t="s">
        <v>1326</v>
      </c>
      <c r="B323" s="443" t="s">
        <v>1597</v>
      </c>
      <c r="C323" s="444">
        <v>4</v>
      </c>
      <c r="D323" s="445" t="s">
        <v>1441</v>
      </c>
      <c r="E323" s="446">
        <v>2001</v>
      </c>
      <c r="F323" s="444" t="s">
        <v>567</v>
      </c>
      <c r="G323" s="447"/>
      <c r="H323" s="448">
        <f t="shared" ref="H323:H328" si="124">I323*2240/2204.6</f>
        <v>640.1161208382473</v>
      </c>
      <c r="I323" s="449">
        <v>630</v>
      </c>
      <c r="J323" s="450">
        <f t="shared" si="111"/>
        <v>208.33080000000001</v>
      </c>
      <c r="K323" s="450">
        <f t="shared" ref="K323:K328" si="125">IF(M323="",L323,M323)</f>
        <v>63.5</v>
      </c>
      <c r="L323" s="450"/>
      <c r="M323" s="450">
        <v>63.5</v>
      </c>
      <c r="N323" s="450">
        <f t="shared" si="112"/>
        <v>30.445823999999998</v>
      </c>
      <c r="O323" s="450">
        <v>9.2799999999999994</v>
      </c>
      <c r="P323" s="450">
        <f t="shared" si="113"/>
        <v>8.8581600000000016</v>
      </c>
      <c r="Q323" s="451">
        <v>2.7</v>
      </c>
      <c r="R323" s="452">
        <f t="shared" si="114"/>
        <v>6.8426724137931041</v>
      </c>
      <c r="S323" s="453">
        <f t="shared" si="115"/>
        <v>23.518518518518515</v>
      </c>
      <c r="T323" s="444">
        <v>46</v>
      </c>
      <c r="U323" s="454">
        <f t="shared" ref="U323:U328" si="126">IF(V323="",W323,V323)</f>
        <v>15608</v>
      </c>
      <c r="V323" s="454">
        <v>15608</v>
      </c>
      <c r="W323" s="454"/>
      <c r="X323" s="455"/>
      <c r="Y323" s="456">
        <v>30</v>
      </c>
      <c r="Z323" s="457"/>
      <c r="AA323" s="458">
        <f t="shared" si="116"/>
        <v>1.6857310109335513</v>
      </c>
      <c r="AB323" s="459">
        <f t="shared" si="117"/>
        <v>2.8416890412230527</v>
      </c>
      <c r="AC323" s="459">
        <f t="shared" si="118"/>
        <v>0.61816878016069388</v>
      </c>
      <c r="AD323" s="459">
        <f t="shared" si="119"/>
        <v>0.3821326407653603</v>
      </c>
      <c r="AE323" s="459">
        <f t="shared" si="120"/>
        <v>69.675501731395428</v>
      </c>
      <c r="AF323" s="460">
        <f t="shared" si="121"/>
        <v>1.2109174782162992</v>
      </c>
      <c r="AG323" s="446"/>
      <c r="AH323" s="446"/>
      <c r="AI323" s="446"/>
      <c r="AJ323" s="446"/>
      <c r="AK323" s="446"/>
      <c r="AL323" s="443"/>
      <c r="AM323" s="443"/>
      <c r="AN323" s="461"/>
      <c r="AO323" s="456">
        <f t="shared" si="122"/>
        <v>127.12868090323525</v>
      </c>
      <c r="AP323" s="460">
        <f t="shared" si="123"/>
        <v>3.1910485417458596</v>
      </c>
      <c r="AQ323" s="443"/>
      <c r="AR323" s="462" t="s">
        <v>1100</v>
      </c>
      <c r="AV323" s="349"/>
      <c r="AW323" s="349"/>
      <c r="AX323" s="349"/>
    </row>
    <row r="324" spans="1:50" s="352" customFormat="1" ht="15.75">
      <c r="A324" s="442" t="s">
        <v>1326</v>
      </c>
      <c r="B324" s="443" t="s">
        <v>1598</v>
      </c>
      <c r="C324" s="444">
        <v>1</v>
      </c>
      <c r="D324" s="445" t="s">
        <v>1346</v>
      </c>
      <c r="E324" s="446">
        <v>1992</v>
      </c>
      <c r="F324" s="444" t="s">
        <v>567</v>
      </c>
      <c r="G324" s="447"/>
      <c r="H324" s="448">
        <f t="shared" si="124"/>
        <v>640.1161208382473</v>
      </c>
      <c r="I324" s="449">
        <v>630</v>
      </c>
      <c r="J324" s="450">
        <f t="shared" si="111"/>
        <v>203.40960000000001</v>
      </c>
      <c r="K324" s="450">
        <f t="shared" si="125"/>
        <v>62</v>
      </c>
      <c r="L324" s="450"/>
      <c r="M324" s="450">
        <v>62</v>
      </c>
      <c r="N324" s="450">
        <f t="shared" si="112"/>
        <v>26.902559999999998</v>
      </c>
      <c r="O324" s="450">
        <v>8.1999999999999993</v>
      </c>
      <c r="P324" s="450">
        <f t="shared" si="113"/>
        <v>8.202</v>
      </c>
      <c r="Q324" s="451">
        <v>2.5</v>
      </c>
      <c r="R324" s="452">
        <f t="shared" si="114"/>
        <v>7.5609756097560989</v>
      </c>
      <c r="S324" s="453">
        <f t="shared" si="115"/>
        <v>24.8</v>
      </c>
      <c r="T324" s="444">
        <v>45</v>
      </c>
      <c r="U324" s="454">
        <f t="shared" si="126"/>
        <v>9524</v>
      </c>
      <c r="V324" s="454">
        <v>9524</v>
      </c>
      <c r="W324" s="454"/>
      <c r="X324" s="455"/>
      <c r="Y324" s="456">
        <v>25</v>
      </c>
      <c r="Z324" s="457"/>
      <c r="AA324" s="458">
        <f t="shared" si="116"/>
        <v>1.4047758424446262</v>
      </c>
      <c r="AB324" s="459">
        <f t="shared" si="117"/>
        <v>1.9733951675160091</v>
      </c>
      <c r="AC324" s="459">
        <f t="shared" si="118"/>
        <v>0.5213349486467983</v>
      </c>
      <c r="AD324" s="459">
        <f t="shared" si="119"/>
        <v>0.27179012868055979</v>
      </c>
      <c r="AE324" s="459">
        <f t="shared" si="120"/>
        <v>74.8559303056402</v>
      </c>
      <c r="AF324" s="460">
        <f t="shared" si="121"/>
        <v>1.6537169256614868</v>
      </c>
      <c r="AG324" s="446"/>
      <c r="AH324" s="446"/>
      <c r="AI324" s="446"/>
      <c r="AJ324" s="446"/>
      <c r="AK324" s="446"/>
      <c r="AL324" s="443"/>
      <c r="AM324" s="443"/>
      <c r="AN324" s="461"/>
      <c r="AO324" s="456">
        <f t="shared" si="122"/>
        <v>120.56678276819767</v>
      </c>
      <c r="AP324" s="460">
        <f t="shared" si="123"/>
        <v>3.0995566478103385</v>
      </c>
      <c r="AQ324" s="443"/>
      <c r="AR324" s="462" t="s">
        <v>1100</v>
      </c>
      <c r="AV324" s="349"/>
      <c r="AW324" s="349"/>
      <c r="AX324" s="349"/>
    </row>
    <row r="325" spans="1:50" s="352" customFormat="1" ht="15.75">
      <c r="A325" s="421" t="s">
        <v>1447</v>
      </c>
      <c r="B325" s="422" t="s">
        <v>1599</v>
      </c>
      <c r="C325" s="423">
        <v>1</v>
      </c>
      <c r="D325" s="424" t="s">
        <v>1600</v>
      </c>
      <c r="E325" s="425">
        <v>1998</v>
      </c>
      <c r="F325" s="423"/>
      <c r="G325" s="426"/>
      <c r="H325" s="427">
        <f t="shared" si="124"/>
        <v>645.1964075115668</v>
      </c>
      <c r="I325" s="428">
        <v>635</v>
      </c>
      <c r="J325" s="429">
        <f t="shared" si="111"/>
        <v>199.47264000000001</v>
      </c>
      <c r="K325" s="429">
        <f t="shared" si="125"/>
        <v>60.8</v>
      </c>
      <c r="L325" s="429"/>
      <c r="M325" s="429">
        <v>60.8</v>
      </c>
      <c r="N325" s="429">
        <f t="shared" si="112"/>
        <v>26.246400000000001</v>
      </c>
      <c r="O325" s="429">
        <v>8</v>
      </c>
      <c r="P325" s="429">
        <f t="shared" si="113"/>
        <v>8.8581600000000016</v>
      </c>
      <c r="Q325" s="430">
        <v>2.7</v>
      </c>
      <c r="R325" s="431">
        <f t="shared" si="114"/>
        <v>7.6000000000000005</v>
      </c>
      <c r="S325" s="432">
        <f t="shared" si="115"/>
        <v>22.518518518518515</v>
      </c>
      <c r="T325" s="423">
        <v>43</v>
      </c>
      <c r="U325" s="433">
        <f t="shared" si="126"/>
        <v>9600</v>
      </c>
      <c r="V325" s="433">
        <v>9600</v>
      </c>
      <c r="W325" s="433">
        <f>X325/0.7457</f>
        <v>9494.4347592865761</v>
      </c>
      <c r="X325" s="434">
        <v>7080</v>
      </c>
      <c r="Y325" s="435">
        <v>24</v>
      </c>
      <c r="Z325" s="436"/>
      <c r="AA325" s="437">
        <f t="shared" si="116"/>
        <v>1.3468091778947986</v>
      </c>
      <c r="AB325" s="438">
        <f t="shared" si="117"/>
        <v>1.8138949616616633</v>
      </c>
      <c r="AC325" s="438">
        <f t="shared" si="118"/>
        <v>0.50539638105675744</v>
      </c>
      <c r="AD325" s="438">
        <f t="shared" si="119"/>
        <v>0.25542550198526714</v>
      </c>
      <c r="AE325" s="438">
        <f t="shared" si="120"/>
        <v>80.006213839677883</v>
      </c>
      <c r="AF325" s="439">
        <f t="shared" si="121"/>
        <v>1.5874999999999999</v>
      </c>
      <c r="AG325" s="436">
        <v>6000</v>
      </c>
      <c r="AH325" s="425"/>
      <c r="AI325" s="425"/>
      <c r="AJ325" s="425"/>
      <c r="AK325" s="425">
        <v>2</v>
      </c>
      <c r="AL325" s="422" t="s">
        <v>1080</v>
      </c>
      <c r="AM325" s="422">
        <v>4</v>
      </c>
      <c r="AN325" s="440"/>
      <c r="AO325" s="435">
        <f t="shared" si="122"/>
        <v>106.3844882883901</v>
      </c>
      <c r="AP325" s="439">
        <f t="shared" si="123"/>
        <v>2.7962932660840099</v>
      </c>
      <c r="AQ325" s="422"/>
      <c r="AR325" s="441" t="s">
        <v>1090</v>
      </c>
      <c r="AV325" s="349"/>
      <c r="AW325" s="349"/>
      <c r="AX325" s="349"/>
    </row>
    <row r="326" spans="1:50" s="352" customFormat="1" ht="15.75">
      <c r="A326" s="421" t="s">
        <v>1326</v>
      </c>
      <c r="B326" s="422" t="s">
        <v>1601</v>
      </c>
      <c r="C326" s="423">
        <v>3</v>
      </c>
      <c r="D326" s="424" t="s">
        <v>1346</v>
      </c>
      <c r="E326" s="425">
        <v>2000</v>
      </c>
      <c r="F326" s="423">
        <v>2001</v>
      </c>
      <c r="G326" s="426"/>
      <c r="H326" s="427">
        <f t="shared" si="124"/>
        <v>655.35698085820559</v>
      </c>
      <c r="I326" s="428">
        <v>645</v>
      </c>
      <c r="J326" s="429">
        <f t="shared" si="111"/>
        <v>203.40960000000001</v>
      </c>
      <c r="K326" s="429">
        <f t="shared" si="125"/>
        <v>62</v>
      </c>
      <c r="L326" s="429"/>
      <c r="M326" s="429">
        <v>62</v>
      </c>
      <c r="N326" s="429">
        <f t="shared" si="112"/>
        <v>29.199120000000004</v>
      </c>
      <c r="O326" s="429">
        <v>8.9</v>
      </c>
      <c r="P326" s="429">
        <f t="shared" si="113"/>
        <v>8.8581600000000016</v>
      </c>
      <c r="Q326" s="430">
        <v>2.7</v>
      </c>
      <c r="R326" s="431">
        <f t="shared" si="114"/>
        <v>6.9662921348314599</v>
      </c>
      <c r="S326" s="432">
        <f t="shared" si="115"/>
        <v>22.962962962962962</v>
      </c>
      <c r="T326" s="423">
        <v>45</v>
      </c>
      <c r="U326" s="433">
        <f t="shared" si="126"/>
        <v>10372</v>
      </c>
      <c r="V326" s="433">
        <v>10372</v>
      </c>
      <c r="W326" s="433">
        <f>X326/0.7457</f>
        <v>10231.996781547539</v>
      </c>
      <c r="X326" s="434">
        <v>7630</v>
      </c>
      <c r="Y326" s="435">
        <v>25</v>
      </c>
      <c r="Z326" s="436"/>
      <c r="AA326" s="437">
        <f t="shared" si="116"/>
        <v>1.3992774520930193</v>
      </c>
      <c r="AB326" s="438">
        <f t="shared" si="117"/>
        <v>1.9579773879359321</v>
      </c>
      <c r="AC326" s="438">
        <f t="shared" si="118"/>
        <v>0.5213349486467983</v>
      </c>
      <c r="AD326" s="438">
        <f t="shared" si="119"/>
        <v>0.27179012868055979</v>
      </c>
      <c r="AE326" s="438">
        <f t="shared" si="120"/>
        <v>76.638214360536395</v>
      </c>
      <c r="AF326" s="439">
        <f t="shared" si="121"/>
        <v>1.5546664095642113</v>
      </c>
      <c r="AG326" s="436">
        <v>2500</v>
      </c>
      <c r="AH326" s="425"/>
      <c r="AI326" s="425"/>
      <c r="AJ326" s="425"/>
      <c r="AK326" s="425">
        <v>3</v>
      </c>
      <c r="AL326" s="422" t="s">
        <v>1080</v>
      </c>
      <c r="AM326" s="422">
        <v>4</v>
      </c>
      <c r="AN326" s="440" t="s">
        <v>1602</v>
      </c>
      <c r="AO326" s="435">
        <f t="shared" si="122"/>
        <v>112.45980540079077</v>
      </c>
      <c r="AP326" s="439">
        <f t="shared" si="123"/>
        <v>2.9139065641265485</v>
      </c>
      <c r="AQ326" s="422"/>
      <c r="AR326" s="441" t="s">
        <v>1090</v>
      </c>
      <c r="AV326" s="349"/>
      <c r="AW326" s="349"/>
      <c r="AX326" s="349"/>
    </row>
    <row r="327" spans="1:50" s="352" customFormat="1" ht="15.75">
      <c r="A327" s="421" t="s">
        <v>1326</v>
      </c>
      <c r="B327" s="422" t="s">
        <v>1603</v>
      </c>
      <c r="C327" s="423">
        <v>12</v>
      </c>
      <c r="D327" s="424" t="s">
        <v>1441</v>
      </c>
      <c r="E327" s="425">
        <v>1994</v>
      </c>
      <c r="F327" s="423">
        <v>2000</v>
      </c>
      <c r="G327" s="426"/>
      <c r="H327" s="427">
        <f t="shared" si="124"/>
        <v>690.91898757144156</v>
      </c>
      <c r="I327" s="428">
        <v>680</v>
      </c>
      <c r="J327" s="429">
        <f t="shared" si="111"/>
        <v>201.44112000000001</v>
      </c>
      <c r="K327" s="429">
        <f t="shared" si="125"/>
        <v>61.4</v>
      </c>
      <c r="L327" s="429"/>
      <c r="M327" s="429">
        <v>61.4</v>
      </c>
      <c r="N327" s="429">
        <f t="shared" si="112"/>
        <v>31.1676</v>
      </c>
      <c r="O327" s="429">
        <v>9.5</v>
      </c>
      <c r="P327" s="429">
        <f t="shared" si="113"/>
        <v>9.5143199999999997</v>
      </c>
      <c r="Q327" s="430">
        <v>2.9</v>
      </c>
      <c r="R327" s="431">
        <f t="shared" si="114"/>
        <v>6.4631578947368427</v>
      </c>
      <c r="S327" s="432">
        <f t="shared" si="115"/>
        <v>21.172413793103452</v>
      </c>
      <c r="T327" s="423">
        <v>50</v>
      </c>
      <c r="U327" s="433">
        <f t="shared" si="126"/>
        <v>20128</v>
      </c>
      <c r="V327" s="433">
        <v>20128</v>
      </c>
      <c r="W327" s="433">
        <f>X327/0.7457</f>
        <v>19833.713289526619</v>
      </c>
      <c r="X327" s="434">
        <v>14790</v>
      </c>
      <c r="Y327" s="435">
        <v>25</v>
      </c>
      <c r="Z327" s="436"/>
      <c r="AA327" s="437">
        <f t="shared" si="116"/>
        <v>1.3870080115893055</v>
      </c>
      <c r="AB327" s="438">
        <f t="shared" si="117"/>
        <v>1.9237912242129191</v>
      </c>
      <c r="AC327" s="438">
        <f t="shared" si="118"/>
        <v>0.52387599513318683</v>
      </c>
      <c r="AD327" s="438">
        <f t="shared" si="119"/>
        <v>0.27444605827678681</v>
      </c>
      <c r="AE327" s="438">
        <f t="shared" si="120"/>
        <v>83.188736943488763</v>
      </c>
      <c r="AF327" s="439">
        <f t="shared" si="121"/>
        <v>0.84459459459459463</v>
      </c>
      <c r="AG327" s="436">
        <v>4150</v>
      </c>
      <c r="AH327" s="425"/>
      <c r="AI327" s="425"/>
      <c r="AJ327" s="425"/>
      <c r="AK327" s="425">
        <v>2</v>
      </c>
      <c r="AL327" s="422" t="s">
        <v>1080</v>
      </c>
      <c r="AM327" s="422">
        <v>4</v>
      </c>
      <c r="AN327" s="440"/>
      <c r="AO327" s="435">
        <f t="shared" si="122"/>
        <v>60.028663944413871</v>
      </c>
      <c r="AP327" s="439">
        <f t="shared" si="123"/>
        <v>1.5984903637806878</v>
      </c>
      <c r="AQ327" s="422"/>
      <c r="AR327" s="441" t="s">
        <v>1090</v>
      </c>
      <c r="AV327" s="349"/>
      <c r="AW327" s="349"/>
      <c r="AX327" s="349"/>
    </row>
    <row r="328" spans="1:50" s="352" customFormat="1" ht="15.75">
      <c r="A328" s="442" t="s">
        <v>1326</v>
      </c>
      <c r="B328" s="443" t="s">
        <v>1597</v>
      </c>
      <c r="C328" s="444">
        <v>1</v>
      </c>
      <c r="D328" s="445" t="s">
        <v>1441</v>
      </c>
      <c r="E328" s="446">
        <v>1999</v>
      </c>
      <c r="F328" s="444" t="s">
        <v>567</v>
      </c>
      <c r="G328" s="447"/>
      <c r="H328" s="448">
        <f t="shared" si="124"/>
        <v>690.91898757144156</v>
      </c>
      <c r="I328" s="449">
        <v>680</v>
      </c>
      <c r="J328" s="450">
        <f t="shared" si="111"/>
        <v>201.44112000000001</v>
      </c>
      <c r="K328" s="450">
        <f t="shared" si="125"/>
        <v>61.4</v>
      </c>
      <c r="L328" s="450"/>
      <c r="M328" s="450">
        <v>61.4</v>
      </c>
      <c r="N328" s="450">
        <f t="shared" si="112"/>
        <v>31.1676</v>
      </c>
      <c r="O328" s="450">
        <v>9.5</v>
      </c>
      <c r="P328" s="450">
        <f t="shared" si="113"/>
        <v>9.1862399999999997</v>
      </c>
      <c r="Q328" s="451">
        <v>2.8</v>
      </c>
      <c r="R328" s="452">
        <f t="shared" si="114"/>
        <v>6.4631578947368427</v>
      </c>
      <c r="S328" s="453">
        <f t="shared" si="115"/>
        <v>21.928571428571431</v>
      </c>
      <c r="T328" s="444">
        <v>40</v>
      </c>
      <c r="U328" s="454">
        <f t="shared" si="126"/>
        <v>20128</v>
      </c>
      <c r="V328" s="454">
        <v>20128</v>
      </c>
      <c r="W328" s="454"/>
      <c r="X328" s="455"/>
      <c r="Y328" s="456">
        <v>25</v>
      </c>
      <c r="Z328" s="457"/>
      <c r="AA328" s="458">
        <f t="shared" si="116"/>
        <v>1.3870080115893055</v>
      </c>
      <c r="AB328" s="459">
        <f t="shared" si="117"/>
        <v>1.9237912242129191</v>
      </c>
      <c r="AC328" s="459">
        <f t="shared" si="118"/>
        <v>0.52387599513318683</v>
      </c>
      <c r="AD328" s="459">
        <f t="shared" si="119"/>
        <v>0.27444605827678681</v>
      </c>
      <c r="AE328" s="459">
        <f t="shared" si="120"/>
        <v>83.188736943488763</v>
      </c>
      <c r="AF328" s="460">
        <f t="shared" si="121"/>
        <v>0.84459459459459463</v>
      </c>
      <c r="AG328" s="446"/>
      <c r="AH328" s="446"/>
      <c r="AI328" s="446"/>
      <c r="AJ328" s="446"/>
      <c r="AK328" s="446"/>
      <c r="AL328" s="443"/>
      <c r="AM328" s="443"/>
      <c r="AN328" s="461"/>
      <c r="AO328" s="456">
        <f t="shared" si="122"/>
        <v>60.028663944413871</v>
      </c>
      <c r="AP328" s="460">
        <f t="shared" si="123"/>
        <v>1.5984903637806878</v>
      </c>
      <c r="AQ328" s="443"/>
      <c r="AR328" s="462" t="s">
        <v>1100</v>
      </c>
      <c r="AV328" s="349"/>
      <c r="AW328" s="349"/>
      <c r="AX328" s="349"/>
    </row>
    <row r="329" spans="1:50" s="352" customFormat="1" ht="15.75">
      <c r="A329" s="400" t="s">
        <v>1447</v>
      </c>
      <c r="B329" s="401" t="s">
        <v>1604</v>
      </c>
      <c r="C329" s="402"/>
      <c r="D329" s="403" t="s">
        <v>1516</v>
      </c>
      <c r="E329" s="404"/>
      <c r="F329" s="402"/>
      <c r="G329" s="405"/>
      <c r="H329" s="406">
        <v>723</v>
      </c>
      <c r="I329" s="407">
        <f>H329*2204.6/2240</f>
        <v>711.57401785714285</v>
      </c>
      <c r="J329" s="408">
        <f t="shared" si="111"/>
        <v>205.37808000000001</v>
      </c>
      <c r="K329" s="408">
        <v>62.6</v>
      </c>
      <c r="L329" s="408"/>
      <c r="M329" s="408"/>
      <c r="N329" s="408">
        <f t="shared" si="112"/>
        <v>32.808</v>
      </c>
      <c r="O329" s="408">
        <v>10</v>
      </c>
      <c r="P329" s="408">
        <f t="shared" si="113"/>
        <v>8.8581600000000016</v>
      </c>
      <c r="Q329" s="409">
        <v>2.7</v>
      </c>
      <c r="R329" s="410">
        <f t="shared" si="114"/>
        <v>6.2600000000000007</v>
      </c>
      <c r="S329" s="411">
        <f t="shared" si="115"/>
        <v>23.185185185185183</v>
      </c>
      <c r="T329" s="402"/>
      <c r="U329" s="412"/>
      <c r="V329" s="412"/>
      <c r="W329" s="412"/>
      <c r="X329" s="413"/>
      <c r="Y329" s="414">
        <v>25</v>
      </c>
      <c r="Z329" s="415"/>
      <c r="AA329" s="416">
        <f t="shared" si="116"/>
        <v>1.3765556545855688</v>
      </c>
      <c r="AB329" s="417">
        <f t="shared" si="117"/>
        <v>1.8949054701715038</v>
      </c>
      <c r="AC329" s="417">
        <f t="shared" si="118"/>
        <v>0.51883052288079479</v>
      </c>
      <c r="AD329" s="417">
        <f t="shared" si="119"/>
        <v>0.26918511147275892</v>
      </c>
      <c r="AE329" s="417">
        <f t="shared" si="120"/>
        <v>82.140589165182362</v>
      </c>
      <c r="AF329" s="418" t="str">
        <f t="shared" si="121"/>
        <v/>
      </c>
      <c r="AG329" s="415">
        <v>2500</v>
      </c>
      <c r="AH329" s="415"/>
      <c r="AI329" s="415"/>
      <c r="AJ329" s="415"/>
      <c r="AK329" s="404"/>
      <c r="AL329" s="401"/>
      <c r="AM329" s="401"/>
      <c r="AN329" s="419"/>
      <c r="AO329" s="414" t="str">
        <f t="shared" si="122"/>
        <v/>
      </c>
      <c r="AP329" s="418" t="str">
        <f t="shared" si="123"/>
        <v/>
      </c>
      <c r="AQ329" s="401"/>
      <c r="AR329" s="420" t="s">
        <v>1081</v>
      </c>
    </row>
    <row r="330" spans="1:50" s="352" customFormat="1" ht="15.75">
      <c r="A330" s="442" t="s">
        <v>1326</v>
      </c>
      <c r="B330" s="443" t="s">
        <v>1605</v>
      </c>
      <c r="C330" s="444">
        <v>2</v>
      </c>
      <c r="D330" s="445" t="s">
        <v>1306</v>
      </c>
      <c r="E330" s="446">
        <v>1986</v>
      </c>
      <c r="F330" s="444">
        <v>1987</v>
      </c>
      <c r="G330" s="447"/>
      <c r="H330" s="448">
        <f t="shared" ref="H330:H339" si="127">I330*2240/2204.6</f>
        <v>741.72185430463583</v>
      </c>
      <c r="I330" s="449">
        <v>730</v>
      </c>
      <c r="J330" s="450">
        <f t="shared" si="111"/>
        <v>160.75920000000002</v>
      </c>
      <c r="K330" s="450">
        <f t="shared" ref="K330:K346" si="128">IF(M330="",L330,M330)</f>
        <v>49</v>
      </c>
      <c r="L330" s="450"/>
      <c r="M330" s="450">
        <v>49</v>
      </c>
      <c r="N330" s="450">
        <f t="shared" si="112"/>
        <v>34.12032</v>
      </c>
      <c r="O330" s="450">
        <v>10.4</v>
      </c>
      <c r="P330" s="450">
        <f t="shared" si="113"/>
        <v>13.123200000000001</v>
      </c>
      <c r="Q330" s="451">
        <v>4</v>
      </c>
      <c r="R330" s="452">
        <f t="shared" si="114"/>
        <v>4.7115384615384626</v>
      </c>
      <c r="S330" s="453">
        <f t="shared" si="115"/>
        <v>12.250000000000002</v>
      </c>
      <c r="T330" s="444">
        <v>32</v>
      </c>
      <c r="U330" s="454">
        <f t="shared" ref="U330:U349" si="129">IF(V330="",W330,V330)</f>
        <v>3152</v>
      </c>
      <c r="V330" s="454">
        <v>3152</v>
      </c>
      <c r="W330" s="454"/>
      <c r="X330" s="455"/>
      <c r="Y330" s="456">
        <v>16</v>
      </c>
      <c r="Z330" s="457"/>
      <c r="AA330" s="458">
        <f t="shared" si="116"/>
        <v>0.87724981584561412</v>
      </c>
      <c r="AB330" s="459">
        <f t="shared" si="117"/>
        <v>0.76956723940116389</v>
      </c>
      <c r="AC330" s="459">
        <f t="shared" si="118"/>
        <v>0.37531387343016531</v>
      </c>
      <c r="AD330" s="459">
        <f t="shared" si="119"/>
        <v>0.14086050358915414</v>
      </c>
      <c r="AE330" s="459">
        <f t="shared" si="120"/>
        <v>175.70954380786307</v>
      </c>
      <c r="AF330" s="460">
        <f t="shared" si="121"/>
        <v>3.7055837563451774</v>
      </c>
      <c r="AG330" s="446"/>
      <c r="AH330" s="446"/>
      <c r="AI330" s="446"/>
      <c r="AJ330" s="446"/>
      <c r="AK330" s="446"/>
      <c r="AL330" s="443"/>
      <c r="AM330" s="443"/>
      <c r="AN330" s="461"/>
      <c r="AO330" s="456">
        <f t="shared" si="122"/>
        <v>105.35511995036289</v>
      </c>
      <c r="AP330" s="460">
        <f t="shared" si="123"/>
        <v>3.5995697875509638</v>
      </c>
      <c r="AQ330" s="443"/>
      <c r="AR330" s="462" t="s">
        <v>1100</v>
      </c>
      <c r="AV330" s="349"/>
      <c r="AW330" s="349"/>
      <c r="AX330" s="349"/>
    </row>
    <row r="331" spans="1:50" s="352" customFormat="1" ht="15.75">
      <c r="A331" s="485" t="s">
        <v>1326</v>
      </c>
      <c r="B331" s="505"/>
      <c r="C331" s="487"/>
      <c r="D331" s="488" t="s">
        <v>1441</v>
      </c>
      <c r="E331" s="489">
        <v>1988</v>
      </c>
      <c r="F331" s="487"/>
      <c r="G331" s="490" t="s">
        <v>1606</v>
      </c>
      <c r="H331" s="491">
        <f t="shared" si="127"/>
        <v>931.72457588678219</v>
      </c>
      <c r="I331" s="492">
        <v>917</v>
      </c>
      <c r="J331" s="493">
        <f t="shared" si="111"/>
        <v>214.60000000000002</v>
      </c>
      <c r="K331" s="493">
        <f t="shared" si="128"/>
        <v>65.410875396244819</v>
      </c>
      <c r="L331" s="493">
        <v>65.410875396244819</v>
      </c>
      <c r="M331" s="493"/>
      <c r="N331" s="493">
        <f t="shared" si="112"/>
        <v>31.499999999999996</v>
      </c>
      <c r="O331" s="493">
        <v>9.6013167520117033</v>
      </c>
      <c r="P331" s="493">
        <f t="shared" si="113"/>
        <v>10.5</v>
      </c>
      <c r="Q331" s="494">
        <v>3.2004389173372347</v>
      </c>
      <c r="R331" s="495">
        <f t="shared" si="114"/>
        <v>6.8126984126984143</v>
      </c>
      <c r="S331" s="496">
        <f t="shared" si="115"/>
        <v>20.43809523809524</v>
      </c>
      <c r="T331" s="487"/>
      <c r="U331" s="497">
        <f t="shared" si="129"/>
        <v>13310</v>
      </c>
      <c r="V331" s="497"/>
      <c r="W331" s="497">
        <v>13310</v>
      </c>
      <c r="X331" s="498"/>
      <c r="Y331" s="499">
        <v>28</v>
      </c>
      <c r="Z331" s="500" t="s">
        <v>1546</v>
      </c>
      <c r="AA331" s="501">
        <f t="shared" si="116"/>
        <v>1.4779290595981498</v>
      </c>
      <c r="AB331" s="502">
        <f t="shared" si="117"/>
        <v>2.1842743052046716</v>
      </c>
      <c r="AC331" s="502">
        <f t="shared" si="118"/>
        <v>0.56846761231117082</v>
      </c>
      <c r="AD331" s="502">
        <f t="shared" si="119"/>
        <v>0.32315542624676363</v>
      </c>
      <c r="AE331" s="502">
        <f t="shared" si="120"/>
        <v>92.7855150356217</v>
      </c>
      <c r="AF331" s="503">
        <f t="shared" si="121"/>
        <v>1.9290758827948911</v>
      </c>
      <c r="AG331" s="504">
        <v>4500</v>
      </c>
      <c r="AH331" s="504">
        <v>12</v>
      </c>
      <c r="AI331" s="504"/>
      <c r="AJ331" s="504"/>
      <c r="AK331" s="489">
        <v>2</v>
      </c>
      <c r="AL331" s="505"/>
      <c r="AM331" s="505"/>
      <c r="AN331" s="506"/>
      <c r="AO331" s="499">
        <f t="shared" si="122"/>
        <v>155.67143506498783</v>
      </c>
      <c r="AP331" s="503">
        <f t="shared" si="123"/>
        <v>4.2989806625714282</v>
      </c>
      <c r="AQ331" s="505"/>
      <c r="AR331" s="507" t="s">
        <v>1149</v>
      </c>
      <c r="AV331" s="349"/>
      <c r="AW331" s="349"/>
      <c r="AX331" s="349"/>
    </row>
    <row r="332" spans="1:50" s="352" customFormat="1" ht="15.75">
      <c r="A332" s="442" t="s">
        <v>1326</v>
      </c>
      <c r="B332" s="443" t="s">
        <v>754</v>
      </c>
      <c r="C332" s="444">
        <v>1</v>
      </c>
      <c r="D332" s="445" t="s">
        <v>1359</v>
      </c>
      <c r="E332" s="446">
        <v>1977</v>
      </c>
      <c r="F332" s="444" t="s">
        <v>567</v>
      </c>
      <c r="G332" s="447"/>
      <c r="H332" s="448">
        <f t="shared" si="127"/>
        <v>939.85303456409326</v>
      </c>
      <c r="I332" s="449">
        <v>925</v>
      </c>
      <c r="J332" s="450">
        <f t="shared" si="111"/>
        <v>176.17896000000002</v>
      </c>
      <c r="K332" s="450">
        <f t="shared" si="128"/>
        <v>53.7</v>
      </c>
      <c r="L332" s="450"/>
      <c r="M332" s="450">
        <v>53.7</v>
      </c>
      <c r="N332" s="450">
        <f t="shared" si="112"/>
        <v>36.088799999999999</v>
      </c>
      <c r="O332" s="450">
        <v>11</v>
      </c>
      <c r="P332" s="450">
        <f t="shared" si="113"/>
        <v>14.7636</v>
      </c>
      <c r="Q332" s="451">
        <v>4.5</v>
      </c>
      <c r="R332" s="452">
        <f t="shared" si="114"/>
        <v>4.8818181818181827</v>
      </c>
      <c r="S332" s="453">
        <f t="shared" si="115"/>
        <v>11.933333333333334</v>
      </c>
      <c r="T332" s="444">
        <v>35</v>
      </c>
      <c r="U332" s="454">
        <f t="shared" si="129"/>
        <v>5640</v>
      </c>
      <c r="V332" s="454">
        <v>5640</v>
      </c>
      <c r="W332" s="454"/>
      <c r="X332" s="455"/>
      <c r="Y332" s="456">
        <v>16.5</v>
      </c>
      <c r="Z332" s="457"/>
      <c r="AA332" s="458">
        <f t="shared" si="116"/>
        <v>0.86966254982870506</v>
      </c>
      <c r="AB332" s="459">
        <f t="shared" si="117"/>
        <v>0.75631295057456494</v>
      </c>
      <c r="AC332" s="459">
        <f t="shared" si="118"/>
        <v>0.36971704826587121</v>
      </c>
      <c r="AD332" s="459">
        <f t="shared" si="119"/>
        <v>0.13669069577842854</v>
      </c>
      <c r="AE332" s="459">
        <f t="shared" si="120"/>
        <v>169.15296191320229</v>
      </c>
      <c r="AF332" s="460">
        <f t="shared" si="121"/>
        <v>2.7061170212765959</v>
      </c>
      <c r="AG332" s="446"/>
      <c r="AH332" s="446"/>
      <c r="AI332" s="446"/>
      <c r="AJ332" s="446"/>
      <c r="AK332" s="446"/>
      <c r="AL332" s="443"/>
      <c r="AM332" s="443"/>
      <c r="AN332" s="461"/>
      <c r="AO332" s="456">
        <f t="shared" si="122"/>
        <v>75.613710550900763</v>
      </c>
      <c r="AP332" s="460">
        <f t="shared" si="123"/>
        <v>2.5508813255337492</v>
      </c>
      <c r="AQ332" s="443"/>
      <c r="AR332" s="462" t="s">
        <v>1100</v>
      </c>
      <c r="AV332" s="349"/>
      <c r="AW332" s="349"/>
      <c r="AX332" s="349"/>
    </row>
    <row r="333" spans="1:50" s="352" customFormat="1" ht="15.75">
      <c r="A333" s="442" t="s">
        <v>1326</v>
      </c>
      <c r="B333" s="443" t="s">
        <v>1607</v>
      </c>
      <c r="C333" s="444">
        <v>3</v>
      </c>
      <c r="D333" s="445" t="s">
        <v>1516</v>
      </c>
      <c r="E333" s="446">
        <v>1977</v>
      </c>
      <c r="F333" s="444">
        <v>1979</v>
      </c>
      <c r="G333" s="447"/>
      <c r="H333" s="448">
        <f t="shared" si="127"/>
        <v>939.85303456409326</v>
      </c>
      <c r="I333" s="449">
        <v>925</v>
      </c>
      <c r="J333" s="450">
        <f t="shared" si="111"/>
        <v>176.17896000000002</v>
      </c>
      <c r="K333" s="450">
        <f t="shared" si="128"/>
        <v>53.7</v>
      </c>
      <c r="L333" s="450"/>
      <c r="M333" s="450">
        <v>53.7</v>
      </c>
      <c r="N333" s="450">
        <f t="shared" si="112"/>
        <v>36.088799999999999</v>
      </c>
      <c r="O333" s="450">
        <v>11</v>
      </c>
      <c r="P333" s="450">
        <f t="shared" si="113"/>
        <v>14.7636</v>
      </c>
      <c r="Q333" s="451">
        <v>4.5</v>
      </c>
      <c r="R333" s="452">
        <f t="shared" si="114"/>
        <v>4.8818181818181827</v>
      </c>
      <c r="S333" s="453">
        <f t="shared" si="115"/>
        <v>11.933333333333334</v>
      </c>
      <c r="T333" s="444">
        <v>35</v>
      </c>
      <c r="U333" s="454">
        <f t="shared" si="129"/>
        <v>5640</v>
      </c>
      <c r="V333" s="454">
        <v>5640</v>
      </c>
      <c r="W333" s="454"/>
      <c r="X333" s="455"/>
      <c r="Y333" s="456">
        <v>16.5</v>
      </c>
      <c r="Z333" s="457"/>
      <c r="AA333" s="458">
        <f t="shared" si="116"/>
        <v>0.86966254982870506</v>
      </c>
      <c r="AB333" s="459">
        <f t="shared" si="117"/>
        <v>0.75631295057456494</v>
      </c>
      <c r="AC333" s="459">
        <f t="shared" si="118"/>
        <v>0.36971704826587121</v>
      </c>
      <c r="AD333" s="459">
        <f t="shared" si="119"/>
        <v>0.13669069577842854</v>
      </c>
      <c r="AE333" s="459">
        <f t="shared" si="120"/>
        <v>169.15296191320229</v>
      </c>
      <c r="AF333" s="460">
        <f t="shared" si="121"/>
        <v>2.7061170212765959</v>
      </c>
      <c r="AG333" s="446"/>
      <c r="AH333" s="446"/>
      <c r="AI333" s="446"/>
      <c r="AJ333" s="446"/>
      <c r="AK333" s="446"/>
      <c r="AL333" s="443"/>
      <c r="AM333" s="443"/>
      <c r="AN333" s="461"/>
      <c r="AO333" s="456">
        <f t="shared" si="122"/>
        <v>75.613710550900763</v>
      </c>
      <c r="AP333" s="460">
        <f t="shared" si="123"/>
        <v>2.5508813255337492</v>
      </c>
      <c r="AQ333" s="443"/>
      <c r="AR333" s="462" t="s">
        <v>1100</v>
      </c>
      <c r="AV333" s="349"/>
      <c r="AW333" s="349"/>
      <c r="AX333" s="349"/>
    </row>
    <row r="334" spans="1:50" s="352" customFormat="1" ht="15.75">
      <c r="A334" s="442" t="s">
        <v>1326</v>
      </c>
      <c r="B334" s="443" t="s">
        <v>1608</v>
      </c>
      <c r="C334" s="444">
        <v>3</v>
      </c>
      <c r="D334" s="445" t="s">
        <v>1609</v>
      </c>
      <c r="E334" s="446">
        <v>1978</v>
      </c>
      <c r="F334" s="444">
        <v>1980</v>
      </c>
      <c r="G334" s="447"/>
      <c r="H334" s="448">
        <f t="shared" si="127"/>
        <v>1035.8704526898305</v>
      </c>
      <c r="I334" s="449">
        <v>1019.5</v>
      </c>
      <c r="J334" s="450">
        <f t="shared" si="111"/>
        <v>213.90816000000001</v>
      </c>
      <c r="K334" s="450">
        <f t="shared" si="128"/>
        <v>65.2</v>
      </c>
      <c r="L334" s="450"/>
      <c r="M334" s="450">
        <v>65.2</v>
      </c>
      <c r="N334" s="450">
        <f t="shared" si="112"/>
        <v>34.448399999999999</v>
      </c>
      <c r="O334" s="450">
        <v>10.5</v>
      </c>
      <c r="P334" s="450">
        <f t="shared" si="113"/>
        <v>14.435520000000002</v>
      </c>
      <c r="Q334" s="451">
        <v>4.4000000000000004</v>
      </c>
      <c r="R334" s="452">
        <f t="shared" si="114"/>
        <v>6.2095238095238097</v>
      </c>
      <c r="S334" s="453">
        <f t="shared" si="115"/>
        <v>14.818181818181817</v>
      </c>
      <c r="T334" s="444">
        <v>47</v>
      </c>
      <c r="U334" s="454">
        <f t="shared" si="129"/>
        <v>4200</v>
      </c>
      <c r="V334" s="454">
        <v>4200</v>
      </c>
      <c r="W334" s="454"/>
      <c r="X334" s="455"/>
      <c r="Y334" s="456">
        <v>17</v>
      </c>
      <c r="Z334" s="457"/>
      <c r="AA334" s="458">
        <f t="shared" si="116"/>
        <v>0.88160659319960244</v>
      </c>
      <c r="AB334" s="459">
        <f t="shared" si="117"/>
        <v>0.77723018517300935</v>
      </c>
      <c r="AC334" s="459">
        <f t="shared" si="118"/>
        <v>0.34569874206096596</v>
      </c>
      <c r="AD334" s="459">
        <f t="shared" si="119"/>
        <v>0.11950762026253427</v>
      </c>
      <c r="AE334" s="459">
        <f t="shared" si="120"/>
        <v>104.1610080063576</v>
      </c>
      <c r="AF334" s="460">
        <f t="shared" si="121"/>
        <v>4.1265476190476189</v>
      </c>
      <c r="AG334" s="446"/>
      <c r="AH334" s="446"/>
      <c r="AI334" s="446"/>
      <c r="AJ334" s="446"/>
      <c r="AK334" s="446"/>
      <c r="AL334" s="443"/>
      <c r="AM334" s="443"/>
      <c r="AN334" s="461"/>
      <c r="AO334" s="456">
        <f t="shared" si="122"/>
        <v>118.49198106013819</v>
      </c>
      <c r="AP334" s="460">
        <f t="shared" si="123"/>
        <v>3.4008477271830335</v>
      </c>
      <c r="AQ334" s="443"/>
      <c r="AR334" s="462" t="s">
        <v>1100</v>
      </c>
      <c r="AV334" s="349"/>
      <c r="AW334" s="349"/>
      <c r="AX334" s="349"/>
    </row>
    <row r="335" spans="1:50" s="352" customFormat="1" ht="15.75">
      <c r="A335" s="442" t="s">
        <v>1326</v>
      </c>
      <c r="B335" s="443" t="s">
        <v>1610</v>
      </c>
      <c r="C335" s="444">
        <v>1</v>
      </c>
      <c r="D335" s="445" t="s">
        <v>1306</v>
      </c>
      <c r="E335" s="446">
        <v>1994</v>
      </c>
      <c r="F335" s="444" t="s">
        <v>567</v>
      </c>
      <c r="G335" s="447"/>
      <c r="H335" s="448">
        <f t="shared" si="127"/>
        <v>1117.6630681302731</v>
      </c>
      <c r="I335" s="449">
        <v>1100</v>
      </c>
      <c r="J335" s="450">
        <f t="shared" si="111"/>
        <v>189.63023999999999</v>
      </c>
      <c r="K335" s="450">
        <f t="shared" si="128"/>
        <v>57.8</v>
      </c>
      <c r="L335" s="450"/>
      <c r="M335" s="450">
        <v>57.8</v>
      </c>
      <c r="N335" s="450">
        <f t="shared" si="112"/>
        <v>36.088799999999999</v>
      </c>
      <c r="O335" s="450">
        <v>11</v>
      </c>
      <c r="P335" s="450">
        <f t="shared" si="113"/>
        <v>15.09168</v>
      </c>
      <c r="Q335" s="451">
        <v>4.5999999999999996</v>
      </c>
      <c r="R335" s="452">
        <f t="shared" si="114"/>
        <v>5.254545454545454</v>
      </c>
      <c r="S335" s="453">
        <f t="shared" si="115"/>
        <v>12.565217391304346</v>
      </c>
      <c r="T335" s="444">
        <v>30</v>
      </c>
      <c r="U335" s="454">
        <f t="shared" si="129"/>
        <v>3808</v>
      </c>
      <c r="V335" s="454">
        <v>3808</v>
      </c>
      <c r="W335" s="454"/>
      <c r="X335" s="455"/>
      <c r="Y335" s="456">
        <v>15</v>
      </c>
      <c r="Z335" s="457"/>
      <c r="AA335" s="458">
        <f t="shared" si="116"/>
        <v>0.76809733440938499</v>
      </c>
      <c r="AB335" s="459">
        <f t="shared" si="117"/>
        <v>0.58997351512680263</v>
      </c>
      <c r="AC335" s="459">
        <f t="shared" si="118"/>
        <v>0.32396643403787939</v>
      </c>
      <c r="AD335" s="459">
        <f t="shared" si="119"/>
        <v>0.10495425038321966</v>
      </c>
      <c r="AE335" s="459">
        <f t="shared" si="120"/>
        <v>161.31319799259498</v>
      </c>
      <c r="AF335" s="460">
        <f t="shared" si="121"/>
        <v>4.3329831932773111</v>
      </c>
      <c r="AG335" s="446"/>
      <c r="AH335" s="446"/>
      <c r="AI335" s="446"/>
      <c r="AJ335" s="446"/>
      <c r="AK335" s="446"/>
      <c r="AL335" s="443"/>
      <c r="AM335" s="443"/>
      <c r="AN335" s="461"/>
      <c r="AO335" s="456">
        <f t="shared" si="122"/>
        <v>94.443475553763335</v>
      </c>
      <c r="AP335" s="460">
        <f t="shared" si="123"/>
        <v>3.1361134346363264</v>
      </c>
      <c r="AQ335" s="443"/>
      <c r="AR335" s="462" t="s">
        <v>1100</v>
      </c>
      <c r="AV335" s="349"/>
      <c r="AW335" s="349"/>
      <c r="AX335" s="349"/>
    </row>
    <row r="336" spans="1:50" s="352" customFormat="1" ht="15.75">
      <c r="A336" s="442" t="s">
        <v>1326</v>
      </c>
      <c r="B336" s="443" t="s">
        <v>1611</v>
      </c>
      <c r="C336" s="444">
        <v>4</v>
      </c>
      <c r="D336" s="445" t="s">
        <v>1443</v>
      </c>
      <c r="E336" s="446">
        <v>1991</v>
      </c>
      <c r="F336" s="444">
        <v>1992</v>
      </c>
      <c r="G336" s="447"/>
      <c r="H336" s="448">
        <f t="shared" si="127"/>
        <v>1165.4177628594757</v>
      </c>
      <c r="I336" s="449">
        <v>1147</v>
      </c>
      <c r="J336" s="450">
        <f t="shared" si="111"/>
        <v>225.39096000000001</v>
      </c>
      <c r="K336" s="450">
        <f t="shared" si="128"/>
        <v>68.7</v>
      </c>
      <c r="L336" s="450"/>
      <c r="M336" s="450">
        <v>68.7</v>
      </c>
      <c r="N336" s="450">
        <f t="shared" si="112"/>
        <v>34.12032</v>
      </c>
      <c r="O336" s="450">
        <v>10.4</v>
      </c>
      <c r="P336" s="450">
        <f t="shared" si="113"/>
        <v>11.154720000000001</v>
      </c>
      <c r="Q336" s="451">
        <v>3.4</v>
      </c>
      <c r="R336" s="452">
        <f t="shared" si="114"/>
        <v>6.6057692307692308</v>
      </c>
      <c r="S336" s="453">
        <f t="shared" si="115"/>
        <v>20.205882352941174</v>
      </c>
      <c r="T336" s="444">
        <v>42</v>
      </c>
      <c r="U336" s="454">
        <f t="shared" si="129"/>
        <v>7500</v>
      </c>
      <c r="V336" s="454">
        <v>7500</v>
      </c>
      <c r="W336" s="454"/>
      <c r="X336" s="455"/>
      <c r="Y336" s="456">
        <v>19</v>
      </c>
      <c r="Z336" s="457"/>
      <c r="AA336" s="458">
        <f t="shared" si="116"/>
        <v>0.96616242732159696</v>
      </c>
      <c r="AB336" s="459">
        <f t="shared" si="117"/>
        <v>0.93346983596796018</v>
      </c>
      <c r="AC336" s="459">
        <f t="shared" si="118"/>
        <v>0.37639852088457271</v>
      </c>
      <c r="AD336" s="459">
        <f t="shared" si="119"/>
        <v>0.14167584652409412</v>
      </c>
      <c r="AE336" s="459">
        <f t="shared" si="120"/>
        <v>100.17375138645033</v>
      </c>
      <c r="AF336" s="460">
        <f t="shared" si="121"/>
        <v>2.9057333333333335</v>
      </c>
      <c r="AG336" s="446"/>
      <c r="AH336" s="446"/>
      <c r="AI336" s="446"/>
      <c r="AJ336" s="446"/>
      <c r="AK336" s="446"/>
      <c r="AL336" s="443"/>
      <c r="AM336" s="443"/>
      <c r="AN336" s="461"/>
      <c r="AO336" s="456">
        <f t="shared" si="122"/>
        <v>100.20940528790909</v>
      </c>
      <c r="AP336" s="460">
        <f t="shared" si="123"/>
        <v>2.8389405561488945</v>
      </c>
      <c r="AQ336" s="443"/>
      <c r="AR336" s="462" t="s">
        <v>1100</v>
      </c>
      <c r="AV336" s="349"/>
      <c r="AW336" s="349"/>
      <c r="AX336" s="349"/>
    </row>
    <row r="337" spans="1:50" s="352" customFormat="1" ht="15.75">
      <c r="A337" s="442" t="s">
        <v>1326</v>
      </c>
      <c r="B337" s="443" t="s">
        <v>1612</v>
      </c>
      <c r="C337" s="444">
        <v>9</v>
      </c>
      <c r="D337" s="445" t="s">
        <v>1357</v>
      </c>
      <c r="E337" s="446">
        <v>1983</v>
      </c>
      <c r="F337" s="444">
        <v>1992</v>
      </c>
      <c r="G337" s="447"/>
      <c r="H337" s="448">
        <f t="shared" si="127"/>
        <v>1243.6541776285949</v>
      </c>
      <c r="I337" s="449">
        <v>1224</v>
      </c>
      <c r="J337" s="450">
        <f t="shared" si="111"/>
        <v>243.10728</v>
      </c>
      <c r="K337" s="450">
        <f t="shared" si="128"/>
        <v>74.099999999999994</v>
      </c>
      <c r="L337" s="450"/>
      <c r="M337" s="450">
        <v>74.099999999999994</v>
      </c>
      <c r="N337" s="450">
        <f t="shared" si="112"/>
        <v>37.401120000000006</v>
      </c>
      <c r="O337" s="450">
        <v>11.4</v>
      </c>
      <c r="P337" s="450">
        <f t="shared" si="113"/>
        <v>10.498560000000001</v>
      </c>
      <c r="Q337" s="451">
        <v>3.2</v>
      </c>
      <c r="R337" s="452">
        <f t="shared" si="114"/>
        <v>6.4999999999999991</v>
      </c>
      <c r="S337" s="453">
        <f t="shared" si="115"/>
        <v>23.156249999999996</v>
      </c>
      <c r="T337" s="444">
        <v>96</v>
      </c>
      <c r="U337" s="454">
        <f t="shared" si="129"/>
        <v>12800</v>
      </c>
      <c r="V337" s="454">
        <v>12800</v>
      </c>
      <c r="W337" s="454"/>
      <c r="X337" s="455"/>
      <c r="Y337" s="456">
        <v>22</v>
      </c>
      <c r="Z337" s="457"/>
      <c r="AA337" s="458">
        <f t="shared" si="116"/>
        <v>1.1066651257400029</v>
      </c>
      <c r="AB337" s="459">
        <f t="shared" si="117"/>
        <v>1.2247077005291362</v>
      </c>
      <c r="AC337" s="459">
        <f t="shared" si="118"/>
        <v>0.41964905796759538</v>
      </c>
      <c r="AD337" s="459">
        <f t="shared" si="119"/>
        <v>0.17610533185309024</v>
      </c>
      <c r="AE337" s="459">
        <f t="shared" si="120"/>
        <v>85.189785559025239</v>
      </c>
      <c r="AF337" s="460">
        <f t="shared" si="121"/>
        <v>2.1037499999999998</v>
      </c>
      <c r="AG337" s="446"/>
      <c r="AH337" s="446"/>
      <c r="AI337" s="446"/>
      <c r="AJ337" s="446"/>
      <c r="AK337" s="446"/>
      <c r="AL337" s="443"/>
      <c r="AM337" s="443"/>
      <c r="AN337" s="461"/>
      <c r="AO337" s="456">
        <f t="shared" si="122"/>
        <v>95.187302158701812</v>
      </c>
      <c r="AP337" s="460">
        <f t="shared" si="123"/>
        <v>2.5548850285355504</v>
      </c>
      <c r="AQ337" s="443"/>
      <c r="AR337" s="462" t="s">
        <v>1100</v>
      </c>
      <c r="AV337" s="349"/>
      <c r="AW337" s="349"/>
      <c r="AX337" s="349"/>
    </row>
    <row r="338" spans="1:50" s="352" customFormat="1" ht="15.75">
      <c r="A338" s="421" t="s">
        <v>1447</v>
      </c>
      <c r="B338" s="422" t="s">
        <v>1613</v>
      </c>
      <c r="C338" s="423">
        <v>2</v>
      </c>
      <c r="D338" s="424" t="s">
        <v>1614</v>
      </c>
      <c r="E338" s="425">
        <v>1985</v>
      </c>
      <c r="F338" s="423">
        <v>1987</v>
      </c>
      <c r="G338" s="426"/>
      <c r="H338" s="427">
        <f t="shared" si="127"/>
        <v>1320.87453506305</v>
      </c>
      <c r="I338" s="428">
        <v>1300</v>
      </c>
      <c r="J338" s="429">
        <f t="shared" si="111"/>
        <v>246.06</v>
      </c>
      <c r="K338" s="429">
        <f t="shared" si="128"/>
        <v>75</v>
      </c>
      <c r="L338" s="429"/>
      <c r="M338" s="429">
        <v>75</v>
      </c>
      <c r="N338" s="429">
        <f t="shared" si="112"/>
        <v>35.432640000000006</v>
      </c>
      <c r="O338" s="429">
        <v>10.8</v>
      </c>
      <c r="P338" s="429">
        <f t="shared" si="113"/>
        <v>12.138960000000001</v>
      </c>
      <c r="Q338" s="430">
        <v>3.7</v>
      </c>
      <c r="R338" s="431">
        <f t="shared" si="114"/>
        <v>6.9444444444444429</v>
      </c>
      <c r="S338" s="432">
        <f t="shared" si="115"/>
        <v>20.27027027027027</v>
      </c>
      <c r="T338" s="423">
        <v>76</v>
      </c>
      <c r="U338" s="433">
        <f t="shared" si="129"/>
        <v>12720</v>
      </c>
      <c r="V338" s="433">
        <v>12720</v>
      </c>
      <c r="W338" s="433">
        <f>X338/0.7457</f>
        <v>12538.554378436367</v>
      </c>
      <c r="X338" s="434">
        <v>9350</v>
      </c>
      <c r="Y338" s="435">
        <v>22</v>
      </c>
      <c r="Z338" s="436"/>
      <c r="AA338" s="437">
        <f t="shared" si="116"/>
        <v>1.0956097838094165</v>
      </c>
      <c r="AB338" s="438">
        <f t="shared" si="117"/>
        <v>1.2003607983789164</v>
      </c>
      <c r="AC338" s="438">
        <f t="shared" si="118"/>
        <v>0.4171235642718511</v>
      </c>
      <c r="AD338" s="438">
        <f t="shared" si="119"/>
        <v>0.17399206787085308</v>
      </c>
      <c r="AE338" s="438">
        <f t="shared" si="120"/>
        <v>87.261021630560535</v>
      </c>
      <c r="AF338" s="439">
        <f t="shared" si="121"/>
        <v>2.2484276729559749</v>
      </c>
      <c r="AG338" s="436">
        <v>5000</v>
      </c>
      <c r="AH338" s="425"/>
      <c r="AI338" s="425"/>
      <c r="AJ338" s="425"/>
      <c r="AK338" s="425">
        <v>2</v>
      </c>
      <c r="AL338" s="422" t="s">
        <v>1080</v>
      </c>
      <c r="AM338" s="422">
        <v>4</v>
      </c>
      <c r="AN338" s="440"/>
      <c r="AO338" s="435">
        <f t="shared" si="122"/>
        <v>99.71102163122336</v>
      </c>
      <c r="AP338" s="439">
        <f t="shared" si="123"/>
        <v>2.6978208004694868</v>
      </c>
      <c r="AQ338" s="422"/>
      <c r="AR338" s="441" t="s">
        <v>1090</v>
      </c>
      <c r="AV338" s="349"/>
      <c r="AW338" s="349"/>
      <c r="AX338" s="349"/>
    </row>
    <row r="339" spans="1:50" s="352" customFormat="1" ht="15.75">
      <c r="A339" s="442" t="s">
        <v>1326</v>
      </c>
      <c r="B339" s="443" t="s">
        <v>1615</v>
      </c>
      <c r="C339" s="444">
        <v>2</v>
      </c>
      <c r="D339" s="445" t="s">
        <v>1516</v>
      </c>
      <c r="E339" s="446">
        <v>1981</v>
      </c>
      <c r="F339" s="444">
        <v>1982</v>
      </c>
      <c r="G339" s="447"/>
      <c r="H339" s="448">
        <f t="shared" si="127"/>
        <v>1449.9138165653635</v>
      </c>
      <c r="I339" s="449">
        <v>1427</v>
      </c>
      <c r="J339" s="450">
        <f t="shared" si="111"/>
        <v>265.7448</v>
      </c>
      <c r="K339" s="450">
        <f t="shared" si="128"/>
        <v>81</v>
      </c>
      <c r="L339" s="450"/>
      <c r="M339" s="450">
        <v>81</v>
      </c>
      <c r="N339" s="450">
        <f t="shared" si="112"/>
        <v>37.729199999999999</v>
      </c>
      <c r="O339" s="450">
        <v>11.5</v>
      </c>
      <c r="P339" s="450">
        <f t="shared" si="113"/>
        <v>11.810880000000001</v>
      </c>
      <c r="Q339" s="451">
        <v>3.6</v>
      </c>
      <c r="R339" s="452">
        <f t="shared" si="114"/>
        <v>7.0434782608695654</v>
      </c>
      <c r="S339" s="453">
        <f t="shared" si="115"/>
        <v>22.499999999999996</v>
      </c>
      <c r="T339" s="444">
        <v>45</v>
      </c>
      <c r="U339" s="454">
        <f t="shared" si="129"/>
        <v>5640</v>
      </c>
      <c r="V339" s="454">
        <v>5640</v>
      </c>
      <c r="W339" s="454"/>
      <c r="X339" s="455"/>
      <c r="Y339" s="456">
        <v>19.5</v>
      </c>
      <c r="Z339" s="457"/>
      <c r="AA339" s="458">
        <f t="shared" si="116"/>
        <v>0.95613906438963792</v>
      </c>
      <c r="AB339" s="459">
        <f t="shared" si="117"/>
        <v>0.91420191045189214</v>
      </c>
      <c r="AC339" s="459">
        <f t="shared" si="118"/>
        <v>0.35576627585567749</v>
      </c>
      <c r="AD339" s="459">
        <f t="shared" si="119"/>
        <v>0.12656964303621801</v>
      </c>
      <c r="AE339" s="459">
        <f t="shared" si="120"/>
        <v>76.037818330887021</v>
      </c>
      <c r="AF339" s="460">
        <f t="shared" si="121"/>
        <v>4.9337765957446811</v>
      </c>
      <c r="AG339" s="446"/>
      <c r="AH339" s="446"/>
      <c r="AI339" s="446"/>
      <c r="AJ339" s="446"/>
      <c r="AK339" s="446"/>
      <c r="AL339" s="443"/>
      <c r="AM339" s="443"/>
      <c r="AN339" s="461"/>
      <c r="AO339" s="456">
        <f t="shared" si="122"/>
        <v>166.63800037346419</v>
      </c>
      <c r="AP339" s="460">
        <f t="shared" si="123"/>
        <v>4.3063940134462388</v>
      </c>
      <c r="AQ339" s="443"/>
      <c r="AR339" s="462" t="s">
        <v>1100</v>
      </c>
      <c r="AV339" s="349"/>
      <c r="AW339" s="349"/>
      <c r="AX339" s="349"/>
    </row>
    <row r="340" spans="1:50" s="352" customFormat="1" ht="15.75">
      <c r="A340" s="421" t="s">
        <v>1447</v>
      </c>
      <c r="B340" s="422" t="s">
        <v>1616</v>
      </c>
      <c r="C340" s="423">
        <v>4</v>
      </c>
      <c r="D340" s="424" t="s">
        <v>791</v>
      </c>
      <c r="E340" s="425">
        <v>1989</v>
      </c>
      <c r="F340" s="423">
        <v>1990</v>
      </c>
      <c r="G340" s="426"/>
      <c r="H340" s="427">
        <v>1499</v>
      </c>
      <c r="I340" s="428">
        <v>1002</v>
      </c>
      <c r="J340" s="429">
        <f t="shared" si="111"/>
        <v>261.80784</v>
      </c>
      <c r="K340" s="429">
        <f t="shared" si="128"/>
        <v>79.8</v>
      </c>
      <c r="L340" s="429"/>
      <c r="M340" s="429">
        <v>79.8</v>
      </c>
      <c r="N340" s="429">
        <f t="shared" si="112"/>
        <v>38.713440000000006</v>
      </c>
      <c r="O340" s="429">
        <v>11.8</v>
      </c>
      <c r="P340" s="429">
        <f t="shared" si="113"/>
        <v>11.482800000000001</v>
      </c>
      <c r="Q340" s="430">
        <v>3.5</v>
      </c>
      <c r="R340" s="431">
        <f t="shared" si="114"/>
        <v>6.7627118644067785</v>
      </c>
      <c r="S340" s="432">
        <f t="shared" si="115"/>
        <v>22.799999999999997</v>
      </c>
      <c r="T340" s="423">
        <v>78</v>
      </c>
      <c r="U340" s="433">
        <f t="shared" si="129"/>
        <v>7940</v>
      </c>
      <c r="V340" s="433">
        <v>7940</v>
      </c>
      <c r="W340" s="433">
        <f>X340/0.7457</f>
        <v>7831.5676545527685</v>
      </c>
      <c r="X340" s="434">
        <v>5840</v>
      </c>
      <c r="Y340" s="435">
        <v>20</v>
      </c>
      <c r="Z340" s="436"/>
      <c r="AA340" s="437">
        <f t="shared" si="116"/>
        <v>0.97522884708454549</v>
      </c>
      <c r="AB340" s="438">
        <f t="shared" si="117"/>
        <v>0.95107130418585184</v>
      </c>
      <c r="AC340" s="438">
        <f t="shared" si="118"/>
        <v>0.36762177335703755</v>
      </c>
      <c r="AD340" s="438">
        <f t="shared" si="119"/>
        <v>0.13514576824617308</v>
      </c>
      <c r="AE340" s="438">
        <f t="shared" si="120"/>
        <v>55.836704560075468</v>
      </c>
      <c r="AF340" s="439">
        <f t="shared" si="121"/>
        <v>2.5239294710327456</v>
      </c>
      <c r="AG340" s="436">
        <v>3300</v>
      </c>
      <c r="AH340" s="425"/>
      <c r="AI340" s="425"/>
      <c r="AJ340" s="425"/>
      <c r="AK340" s="425">
        <v>2</v>
      </c>
      <c r="AL340" s="422" t="s">
        <v>1080</v>
      </c>
      <c r="AM340" s="422">
        <v>4</v>
      </c>
      <c r="AN340" s="440" t="s">
        <v>1329</v>
      </c>
      <c r="AO340" s="435">
        <f t="shared" si="122"/>
        <v>100.88996365576727</v>
      </c>
      <c r="AP340" s="439">
        <f t="shared" si="123"/>
        <v>2.3522549627696021</v>
      </c>
      <c r="AQ340" s="422"/>
      <c r="AR340" s="441" t="s">
        <v>1090</v>
      </c>
      <c r="AV340" s="349"/>
      <c r="AW340" s="349"/>
      <c r="AX340" s="349"/>
    </row>
    <row r="341" spans="1:50" s="352" customFormat="1" ht="15.75">
      <c r="A341" s="421" t="s">
        <v>1326</v>
      </c>
      <c r="B341" s="422" t="s">
        <v>1617</v>
      </c>
      <c r="C341" s="423">
        <v>1</v>
      </c>
      <c r="D341" s="424" t="s">
        <v>791</v>
      </c>
      <c r="E341" s="425">
        <v>2001</v>
      </c>
      <c r="F341" s="423">
        <v>2002</v>
      </c>
      <c r="G341" s="426"/>
      <c r="H341" s="427">
        <f t="shared" ref="H341:H349" si="130">I341*2240/2204.6</f>
        <v>1544.4071486891046</v>
      </c>
      <c r="I341" s="428">
        <v>1520</v>
      </c>
      <c r="J341" s="429">
        <f t="shared" si="111"/>
        <v>291.00696000000005</v>
      </c>
      <c r="K341" s="429">
        <f t="shared" si="128"/>
        <v>88.7</v>
      </c>
      <c r="L341" s="429"/>
      <c r="M341" s="429">
        <v>88.7</v>
      </c>
      <c r="N341" s="429">
        <f t="shared" si="112"/>
        <v>40.025759999999998</v>
      </c>
      <c r="O341" s="429">
        <v>12.2</v>
      </c>
      <c r="P341" s="429">
        <f t="shared" si="113"/>
        <v>15.09168</v>
      </c>
      <c r="Q341" s="430">
        <v>4.5999999999999996</v>
      </c>
      <c r="R341" s="431">
        <f t="shared" si="114"/>
        <v>7.2704918032786905</v>
      </c>
      <c r="S341" s="432">
        <f t="shared" si="115"/>
        <v>19.282608695652176</v>
      </c>
      <c r="T341" s="423">
        <v>70</v>
      </c>
      <c r="U341" s="433">
        <f t="shared" si="129"/>
        <v>17600</v>
      </c>
      <c r="V341" s="433">
        <v>17600</v>
      </c>
      <c r="W341" s="433"/>
      <c r="X341" s="434">
        <v>13200</v>
      </c>
      <c r="Y341" s="435">
        <v>26</v>
      </c>
      <c r="Z341" s="436"/>
      <c r="AA341" s="437">
        <f t="shared" si="116"/>
        <v>1.2615075761189669</v>
      </c>
      <c r="AB341" s="438">
        <f t="shared" si="117"/>
        <v>1.5914013646055511</v>
      </c>
      <c r="AC341" s="438">
        <f t="shared" si="118"/>
        <v>0.45329842883362953</v>
      </c>
      <c r="AD341" s="438">
        <f t="shared" si="119"/>
        <v>0.20547946558303709</v>
      </c>
      <c r="AE341" s="438">
        <f t="shared" si="120"/>
        <v>61.67845119244339</v>
      </c>
      <c r="AF341" s="439">
        <f t="shared" si="121"/>
        <v>2.2454545454545456</v>
      </c>
      <c r="AG341" s="436">
        <v>3500</v>
      </c>
      <c r="AH341" s="425"/>
      <c r="AI341" s="425"/>
      <c r="AJ341" s="425"/>
      <c r="AK341" s="425">
        <v>2</v>
      </c>
      <c r="AL341" s="422" t="s">
        <v>1080</v>
      </c>
      <c r="AM341" s="422">
        <v>4</v>
      </c>
      <c r="AN341" s="440" t="s">
        <v>1329</v>
      </c>
      <c r="AO341" s="435">
        <f t="shared" si="122"/>
        <v>132.0189987647054</v>
      </c>
      <c r="AP341" s="439">
        <f t="shared" si="123"/>
        <v>3.1818333017314639</v>
      </c>
      <c r="AQ341" s="422"/>
      <c r="AR341" s="441" t="s">
        <v>1090</v>
      </c>
      <c r="AV341" s="349"/>
      <c r="AW341" s="349"/>
      <c r="AX341" s="349"/>
    </row>
    <row r="342" spans="1:50" s="352" customFormat="1" ht="15.75">
      <c r="A342" s="442" t="s">
        <v>1326</v>
      </c>
      <c r="B342" s="443" t="s">
        <v>1618</v>
      </c>
      <c r="C342" s="444">
        <v>1</v>
      </c>
      <c r="D342" s="445" t="s">
        <v>1229</v>
      </c>
      <c r="E342" s="446">
        <v>1981</v>
      </c>
      <c r="F342" s="444"/>
      <c r="G342" s="447"/>
      <c r="H342" s="448">
        <f t="shared" si="130"/>
        <v>1666.3340288487709</v>
      </c>
      <c r="I342" s="449">
        <v>1640</v>
      </c>
      <c r="J342" s="450">
        <f t="shared" si="111"/>
        <v>184.70903999999999</v>
      </c>
      <c r="K342" s="450">
        <f t="shared" si="128"/>
        <v>56.3</v>
      </c>
      <c r="L342" s="450"/>
      <c r="M342" s="450">
        <v>56.3</v>
      </c>
      <c r="N342" s="450">
        <f t="shared" si="112"/>
        <v>40.025759999999998</v>
      </c>
      <c r="O342" s="450">
        <v>12.2</v>
      </c>
      <c r="P342" s="450">
        <f t="shared" si="113"/>
        <v>15.09168</v>
      </c>
      <c r="Q342" s="451">
        <v>4.5999999999999996</v>
      </c>
      <c r="R342" s="452">
        <f t="shared" si="114"/>
        <v>4.6147540983606552</v>
      </c>
      <c r="S342" s="453">
        <f t="shared" si="115"/>
        <v>12.239130434782608</v>
      </c>
      <c r="T342" s="444">
        <v>15</v>
      </c>
      <c r="U342" s="454">
        <f t="shared" si="129"/>
        <v>3230</v>
      </c>
      <c r="V342" s="454">
        <v>3230</v>
      </c>
      <c r="W342" s="454"/>
      <c r="X342" s="455"/>
      <c r="Y342" s="456">
        <v>14</v>
      </c>
      <c r="Z342" s="457"/>
      <c r="AA342" s="458">
        <f t="shared" si="116"/>
        <v>0.67072502050413241</v>
      </c>
      <c r="AB342" s="459">
        <f t="shared" si="117"/>
        <v>0.44987205313026885</v>
      </c>
      <c r="AC342" s="459">
        <f t="shared" si="118"/>
        <v>0.30637019568189805</v>
      </c>
      <c r="AD342" s="459">
        <f t="shared" si="119"/>
        <v>9.3862696802164497E-2</v>
      </c>
      <c r="AE342" s="459">
        <f t="shared" si="120"/>
        <v>260.24320250539046</v>
      </c>
      <c r="AF342" s="460">
        <f t="shared" si="121"/>
        <v>7.1083591331269353</v>
      </c>
      <c r="AG342" s="457"/>
      <c r="AH342" s="457"/>
      <c r="AI342" s="457"/>
      <c r="AJ342" s="457"/>
      <c r="AK342" s="446"/>
      <c r="AL342" s="443"/>
      <c r="AM342" s="443"/>
      <c r="AN342" s="461"/>
      <c r="AO342" s="456">
        <f t="shared" si="122"/>
        <v>118.14376769772609</v>
      </c>
      <c r="AP342" s="460">
        <f t="shared" si="123"/>
        <v>4.6011576799741718</v>
      </c>
      <c r="AQ342" s="443"/>
      <c r="AR342" s="462" t="s">
        <v>1100</v>
      </c>
      <c r="AV342" s="349"/>
      <c r="AW342" s="349"/>
      <c r="AX342" s="349"/>
    </row>
    <row r="343" spans="1:50" s="352" customFormat="1" ht="15.75">
      <c r="A343" s="442" t="s">
        <v>1326</v>
      </c>
      <c r="B343" s="443" t="s">
        <v>1619</v>
      </c>
      <c r="C343" s="444">
        <v>1</v>
      </c>
      <c r="D343" s="445" t="s">
        <v>1620</v>
      </c>
      <c r="E343" s="446">
        <v>1996</v>
      </c>
      <c r="F343" s="444" t="s">
        <v>567</v>
      </c>
      <c r="G343" s="447"/>
      <c r="H343" s="448">
        <f t="shared" si="130"/>
        <v>1676.4946021954097</v>
      </c>
      <c r="I343" s="449">
        <v>1650</v>
      </c>
      <c r="J343" s="450">
        <f t="shared" si="111"/>
        <v>246.06</v>
      </c>
      <c r="K343" s="450">
        <f t="shared" si="128"/>
        <v>75</v>
      </c>
      <c r="L343" s="450"/>
      <c r="M343" s="450">
        <v>75</v>
      </c>
      <c r="N343" s="450">
        <f t="shared" si="112"/>
        <v>45.931200000000004</v>
      </c>
      <c r="O343" s="450">
        <v>14</v>
      </c>
      <c r="P343" s="450">
        <f t="shared" si="113"/>
        <v>12.795120000000001</v>
      </c>
      <c r="Q343" s="451">
        <v>3.9</v>
      </c>
      <c r="R343" s="452">
        <f t="shared" si="114"/>
        <v>5.3571428571428568</v>
      </c>
      <c r="S343" s="453">
        <f t="shared" si="115"/>
        <v>19.23076923076923</v>
      </c>
      <c r="T343" s="444">
        <v>57</v>
      </c>
      <c r="U343" s="454">
        <f t="shared" si="129"/>
        <v>11530</v>
      </c>
      <c r="V343" s="454">
        <v>11530</v>
      </c>
      <c r="W343" s="454"/>
      <c r="X343" s="455"/>
      <c r="Y343" s="456">
        <v>22</v>
      </c>
      <c r="Z343" s="457"/>
      <c r="AA343" s="458">
        <f t="shared" si="116"/>
        <v>1.0529291194100492</v>
      </c>
      <c r="AB343" s="459">
        <f t="shared" si="117"/>
        <v>1.1086597305016217</v>
      </c>
      <c r="AC343" s="459">
        <f t="shared" si="118"/>
        <v>0.4171235642718511</v>
      </c>
      <c r="AD343" s="459">
        <f t="shared" si="119"/>
        <v>0.17399206787085308</v>
      </c>
      <c r="AE343" s="459">
        <f t="shared" si="120"/>
        <v>110.75437360801915</v>
      </c>
      <c r="AF343" s="460">
        <f t="shared" si="121"/>
        <v>3.1483087597571551</v>
      </c>
      <c r="AG343" s="446"/>
      <c r="AH343" s="446"/>
      <c r="AI343" s="446"/>
      <c r="AJ343" s="446"/>
      <c r="AK343" s="446"/>
      <c r="AL343" s="443"/>
      <c r="AM343" s="443"/>
      <c r="AN343" s="461"/>
      <c r="AO343" s="456">
        <f t="shared" si="122"/>
        <v>128.95198486709216</v>
      </c>
      <c r="AP343" s="460">
        <f t="shared" si="123"/>
        <v>3.7775610754722528</v>
      </c>
      <c r="AQ343" s="443"/>
      <c r="AR343" s="462" t="s">
        <v>1100</v>
      </c>
      <c r="AV343" s="349"/>
      <c r="AW343" s="349"/>
      <c r="AX343" s="349"/>
    </row>
    <row r="344" spans="1:50" s="352" customFormat="1" ht="15.75">
      <c r="A344" s="442" t="s">
        <v>1326</v>
      </c>
      <c r="B344" s="443" t="s">
        <v>1621</v>
      </c>
      <c r="C344" s="444">
        <v>2</v>
      </c>
      <c r="D344" s="445" t="s">
        <v>1609</v>
      </c>
      <c r="E344" s="446">
        <v>1999</v>
      </c>
      <c r="F344" s="444">
        <v>2001</v>
      </c>
      <c r="G344" s="447"/>
      <c r="H344" s="448">
        <f t="shared" si="130"/>
        <v>1727.2974689286038</v>
      </c>
      <c r="I344" s="449">
        <v>1700</v>
      </c>
      <c r="J344" s="450">
        <f t="shared" si="111"/>
        <v>258.85512000000006</v>
      </c>
      <c r="K344" s="450">
        <f t="shared" si="128"/>
        <v>78.900000000000006</v>
      </c>
      <c r="L344" s="450"/>
      <c r="M344" s="450">
        <v>78.900000000000006</v>
      </c>
      <c r="N344" s="450">
        <f t="shared" si="112"/>
        <v>45.931200000000004</v>
      </c>
      <c r="O344" s="450">
        <v>14</v>
      </c>
      <c r="P344" s="450">
        <f t="shared" si="113"/>
        <v>12.795120000000001</v>
      </c>
      <c r="Q344" s="451">
        <v>3.9</v>
      </c>
      <c r="R344" s="452">
        <f t="shared" si="114"/>
        <v>5.6357142857142861</v>
      </c>
      <c r="S344" s="453">
        <f t="shared" si="115"/>
        <v>20.230769230769234</v>
      </c>
      <c r="T344" s="444">
        <v>44</v>
      </c>
      <c r="U344" s="454">
        <f t="shared" si="129"/>
        <v>6800</v>
      </c>
      <c r="V344" s="454">
        <v>6800</v>
      </c>
      <c r="W344" s="454"/>
      <c r="X344" s="455"/>
      <c r="Y344" s="456">
        <v>23</v>
      </c>
      <c r="Z344" s="457"/>
      <c r="AA344" s="458">
        <f t="shared" si="116"/>
        <v>1.0953261651130755</v>
      </c>
      <c r="AB344" s="459">
        <f t="shared" si="117"/>
        <v>1.1997394079813162</v>
      </c>
      <c r="AC344" s="459">
        <f t="shared" si="118"/>
        <v>0.42516940968228384</v>
      </c>
      <c r="AD344" s="459">
        <f t="shared" si="119"/>
        <v>0.18076902692958172</v>
      </c>
      <c r="AE344" s="459">
        <f t="shared" si="120"/>
        <v>98.011862686466017</v>
      </c>
      <c r="AF344" s="460">
        <f t="shared" si="121"/>
        <v>5.75</v>
      </c>
      <c r="AG344" s="446"/>
      <c r="AH344" s="446"/>
      <c r="AI344" s="446"/>
      <c r="AJ344" s="446"/>
      <c r="AK344" s="446"/>
      <c r="AL344" s="443"/>
      <c r="AM344" s="443"/>
      <c r="AN344" s="461"/>
      <c r="AO344" s="456">
        <f t="shared" si="122"/>
        <v>254.8632457142462</v>
      </c>
      <c r="AP344" s="460">
        <f t="shared" si="123"/>
        <v>7.1679768203928118</v>
      </c>
      <c r="AQ344" s="443"/>
      <c r="AR344" s="462" t="s">
        <v>1100</v>
      </c>
      <c r="AV344" s="349"/>
      <c r="AW344" s="349"/>
      <c r="AX344" s="349"/>
    </row>
    <row r="345" spans="1:50" s="352" customFormat="1" ht="15.75">
      <c r="A345" s="442" t="s">
        <v>1326</v>
      </c>
      <c r="B345" s="443" t="s">
        <v>1622</v>
      </c>
      <c r="C345" s="444">
        <v>3</v>
      </c>
      <c r="D345" s="445" t="s">
        <v>1516</v>
      </c>
      <c r="E345" s="446">
        <v>2002</v>
      </c>
      <c r="F345" s="444">
        <v>2003</v>
      </c>
      <c r="G345" s="447"/>
      <c r="H345" s="448">
        <f t="shared" si="130"/>
        <v>1727.2974689286038</v>
      </c>
      <c r="I345" s="449">
        <v>1700</v>
      </c>
      <c r="J345" s="450">
        <f t="shared" si="111"/>
        <v>261.6438</v>
      </c>
      <c r="K345" s="450">
        <f t="shared" si="128"/>
        <v>79.75</v>
      </c>
      <c r="L345" s="450"/>
      <c r="M345" s="450">
        <v>79.75</v>
      </c>
      <c r="N345" s="450">
        <f t="shared" si="112"/>
        <v>44.618880000000004</v>
      </c>
      <c r="O345" s="450">
        <v>13.6</v>
      </c>
      <c r="P345" s="450">
        <f t="shared" si="113"/>
        <v>22.965600000000002</v>
      </c>
      <c r="Q345" s="451">
        <v>7</v>
      </c>
      <c r="R345" s="452">
        <f t="shared" si="114"/>
        <v>5.8639705882352935</v>
      </c>
      <c r="S345" s="453">
        <f t="shared" si="115"/>
        <v>11.392857142857142</v>
      </c>
      <c r="T345" s="444">
        <v>30</v>
      </c>
      <c r="U345" s="454">
        <f t="shared" si="129"/>
        <v>11063</v>
      </c>
      <c r="V345" s="454">
        <v>11063</v>
      </c>
      <c r="W345" s="454"/>
      <c r="X345" s="455"/>
      <c r="Y345" s="456">
        <v>20</v>
      </c>
      <c r="Z345" s="457"/>
      <c r="AA345" s="458">
        <f t="shared" si="116"/>
        <v>0.9524575348809351</v>
      </c>
      <c r="AB345" s="459">
        <f t="shared" si="117"/>
        <v>0.90717535575146768</v>
      </c>
      <c r="AC345" s="459">
        <f t="shared" si="118"/>
        <v>0.36773699723492015</v>
      </c>
      <c r="AD345" s="459">
        <f t="shared" si="119"/>
        <v>0.13523049913535568</v>
      </c>
      <c r="AE345" s="459">
        <f t="shared" si="120"/>
        <v>94.911224687076086</v>
      </c>
      <c r="AF345" s="460">
        <f t="shared" si="121"/>
        <v>3.0733074211335083</v>
      </c>
      <c r="AG345" s="446"/>
      <c r="AH345" s="446"/>
      <c r="AI345" s="446"/>
      <c r="AJ345" s="446"/>
      <c r="AK345" s="446"/>
      <c r="AL345" s="443"/>
      <c r="AM345" s="443"/>
      <c r="AN345" s="461"/>
      <c r="AO345" s="456">
        <f t="shared" si="122"/>
        <v>103.00295611773032</v>
      </c>
      <c r="AP345" s="460">
        <f t="shared" si="123"/>
        <v>2.8660606930360131</v>
      </c>
      <c r="AQ345" s="443"/>
      <c r="AR345" s="462" t="s">
        <v>1100</v>
      </c>
      <c r="AV345" s="349"/>
      <c r="AW345" s="349"/>
      <c r="AX345" s="349"/>
    </row>
    <row r="346" spans="1:50" s="352" customFormat="1" ht="15.75">
      <c r="A346" s="442" t="s">
        <v>1326</v>
      </c>
      <c r="B346" s="443" t="s">
        <v>1623</v>
      </c>
      <c r="C346" s="444">
        <v>1</v>
      </c>
      <c r="D346" s="445" t="s">
        <v>1609</v>
      </c>
      <c r="E346" s="446">
        <v>1984</v>
      </c>
      <c r="F346" s="444" t="s">
        <v>567</v>
      </c>
      <c r="G346" s="447"/>
      <c r="H346" s="448">
        <f t="shared" si="130"/>
        <v>1788.260909008437</v>
      </c>
      <c r="I346" s="449">
        <v>1760</v>
      </c>
      <c r="J346" s="450">
        <f t="shared" si="111"/>
        <v>265.08864</v>
      </c>
      <c r="K346" s="450">
        <f t="shared" si="128"/>
        <v>80.8</v>
      </c>
      <c r="L346" s="450"/>
      <c r="M346" s="450">
        <v>80.8</v>
      </c>
      <c r="N346" s="450">
        <f t="shared" si="112"/>
        <v>39.369600000000005</v>
      </c>
      <c r="O346" s="450">
        <v>12</v>
      </c>
      <c r="P346" s="450">
        <f t="shared" si="113"/>
        <v>14.10744</v>
      </c>
      <c r="Q346" s="451">
        <v>4.3</v>
      </c>
      <c r="R346" s="452">
        <f t="shared" si="114"/>
        <v>6.7333333333333325</v>
      </c>
      <c r="S346" s="453">
        <f t="shared" si="115"/>
        <v>18.790697674418603</v>
      </c>
      <c r="T346" s="444">
        <v>73</v>
      </c>
      <c r="U346" s="454">
        <f t="shared" si="129"/>
        <v>6800</v>
      </c>
      <c r="V346" s="454">
        <v>6800</v>
      </c>
      <c r="W346" s="454"/>
      <c r="X346" s="455"/>
      <c r="Y346" s="456">
        <v>20</v>
      </c>
      <c r="Z346" s="457"/>
      <c r="AA346" s="458">
        <f>Y346*1.6878/SQRT(32.174*(H346*2204.6/2240*35)^(1/3))</f>
        <v>0.94696733255547394</v>
      </c>
      <c r="AB346" s="459">
        <f t="shared" si="117"/>
        <v>0.89674712892722952</v>
      </c>
      <c r="AC346" s="459">
        <f t="shared" si="118"/>
        <v>0.36533980361372143</v>
      </c>
      <c r="AD346" s="459">
        <f t="shared" si="119"/>
        <v>0.13347317210451254</v>
      </c>
      <c r="AE346" s="459">
        <f t="shared" si="120"/>
        <v>94.479876442828896</v>
      </c>
      <c r="AF346" s="460">
        <f t="shared" si="121"/>
        <v>5.1764705882352944</v>
      </c>
      <c r="AG346" s="446"/>
      <c r="AH346" s="446"/>
      <c r="AI346" s="446"/>
      <c r="AJ346" s="446"/>
      <c r="AK346" s="446"/>
      <c r="AL346" s="443"/>
      <c r="AM346" s="443"/>
      <c r="AN346" s="461"/>
      <c r="AO346" s="456">
        <f t="shared" si="122"/>
        <v>171.49686527960378</v>
      </c>
      <c r="AP346" s="460">
        <f t="shared" si="123"/>
        <v>4.7646659756125791</v>
      </c>
      <c r="AQ346" s="443"/>
      <c r="AR346" s="462" t="s">
        <v>1100</v>
      </c>
      <c r="AV346" s="349"/>
      <c r="AW346" s="349"/>
      <c r="AX346" s="349"/>
    </row>
    <row r="347" spans="1:50" s="352" customFormat="1" ht="15.75">
      <c r="A347" s="421" t="s">
        <v>1326</v>
      </c>
      <c r="B347" s="422" t="s">
        <v>1624</v>
      </c>
      <c r="C347" s="423">
        <v>6</v>
      </c>
      <c r="D347" s="424" t="s">
        <v>1625</v>
      </c>
      <c r="E347" s="425">
        <v>1989</v>
      </c>
      <c r="F347" s="423">
        <v>1991</v>
      </c>
      <c r="G347" s="426"/>
      <c r="H347" s="427">
        <f t="shared" si="130"/>
        <v>1920.3483625147419</v>
      </c>
      <c r="I347" s="428">
        <v>1890</v>
      </c>
      <c r="J347" s="429">
        <f t="shared" si="111"/>
        <v>314.95680000000004</v>
      </c>
      <c r="K347" s="429">
        <f>IF(M347="",#REF!,M347)</f>
        <v>96</v>
      </c>
      <c r="L347" s="429">
        <v>101.1</v>
      </c>
      <c r="M347" s="429">
        <v>96</v>
      </c>
      <c r="N347" s="429">
        <f t="shared" si="112"/>
        <v>37.729199999999999</v>
      </c>
      <c r="O347" s="429">
        <v>11.5</v>
      </c>
      <c r="P347" s="429">
        <f t="shared" si="113"/>
        <v>14.435520000000002</v>
      </c>
      <c r="Q347" s="430">
        <v>4.4000000000000004</v>
      </c>
      <c r="R347" s="431">
        <f t="shared" si="114"/>
        <v>8.3478260869565233</v>
      </c>
      <c r="S347" s="432">
        <f t="shared" si="115"/>
        <v>21.818181818181817</v>
      </c>
      <c r="T347" s="423">
        <v>140</v>
      </c>
      <c r="U347" s="433">
        <f t="shared" si="129"/>
        <v>12800</v>
      </c>
      <c r="V347" s="433">
        <v>12800</v>
      </c>
      <c r="W347" s="433">
        <f>X347/0.7457</f>
        <v>12619.015689955746</v>
      </c>
      <c r="X347" s="434">
        <v>9410</v>
      </c>
      <c r="Y347" s="435">
        <v>21</v>
      </c>
      <c r="Z347" s="436"/>
      <c r="AA347" s="437">
        <f>Y347*1.6878/SQRT(32.174*(H347*2204.6/2240*35)^(1/3))</f>
        <v>0.98257589839972037</v>
      </c>
      <c r="AB347" s="438">
        <f t="shared" si="117"/>
        <v>0.96545539611601761</v>
      </c>
      <c r="AC347" s="438">
        <f t="shared" si="118"/>
        <v>0.35193005219749435</v>
      </c>
      <c r="AD347" s="438">
        <f t="shared" si="119"/>
        <v>0.1238547616397311</v>
      </c>
      <c r="AE347" s="438">
        <f t="shared" si="120"/>
        <v>60.493517245424471</v>
      </c>
      <c r="AF347" s="439">
        <f t="shared" si="121"/>
        <v>3.1007812499999998</v>
      </c>
      <c r="AG347" s="436">
        <v>5800</v>
      </c>
      <c r="AH347" s="425"/>
      <c r="AI347" s="425"/>
      <c r="AJ347" s="425"/>
      <c r="AK347" s="425">
        <v>2</v>
      </c>
      <c r="AL347" s="422" t="s">
        <v>1080</v>
      </c>
      <c r="AM347" s="422">
        <v>4</v>
      </c>
      <c r="AN347" s="440"/>
      <c r="AO347" s="435">
        <f t="shared" si="122"/>
        <v>110.60016732429892</v>
      </c>
      <c r="AP347" s="439">
        <f t="shared" si="123"/>
        <v>2.6484304008121109</v>
      </c>
      <c r="AQ347" s="422"/>
      <c r="AR347" s="441" t="s">
        <v>1090</v>
      </c>
      <c r="AV347" s="349"/>
      <c r="AW347" s="349"/>
      <c r="AX347" s="349"/>
    </row>
    <row r="348" spans="1:50" s="352" customFormat="1" ht="15.75">
      <c r="A348" s="442" t="s">
        <v>1326</v>
      </c>
      <c r="B348" s="443" t="s">
        <v>1626</v>
      </c>
      <c r="C348" s="444">
        <v>2</v>
      </c>
      <c r="D348" s="445" t="s">
        <v>1443</v>
      </c>
      <c r="E348" s="446">
        <v>1997</v>
      </c>
      <c r="F348" s="444">
        <v>2000</v>
      </c>
      <c r="G348" s="447"/>
      <c r="H348" s="448">
        <f t="shared" si="130"/>
        <v>1994.5205479452056</v>
      </c>
      <c r="I348" s="449">
        <v>1963</v>
      </c>
      <c r="J348" s="450">
        <f t="shared" si="111"/>
        <v>218.17320000000001</v>
      </c>
      <c r="K348" s="450">
        <f>IF(M348="",L348,M348)</f>
        <v>66.5</v>
      </c>
      <c r="L348" s="450"/>
      <c r="M348" s="450">
        <v>66.5</v>
      </c>
      <c r="N348" s="450">
        <f t="shared" si="112"/>
        <v>36.088799999999999</v>
      </c>
      <c r="O348" s="450">
        <v>11</v>
      </c>
      <c r="P348" s="450">
        <f t="shared" si="113"/>
        <v>14.435520000000002</v>
      </c>
      <c r="Q348" s="451">
        <v>4.4000000000000004</v>
      </c>
      <c r="R348" s="452">
        <f t="shared" si="114"/>
        <v>6.0454545454545459</v>
      </c>
      <c r="S348" s="453">
        <f t="shared" si="115"/>
        <v>15.113636363636362</v>
      </c>
      <c r="T348" s="444">
        <v>37</v>
      </c>
      <c r="U348" s="454">
        <f t="shared" si="129"/>
        <v>5650</v>
      </c>
      <c r="V348" s="454">
        <v>5650</v>
      </c>
      <c r="W348" s="454"/>
      <c r="X348" s="455"/>
      <c r="Y348" s="456">
        <v>13</v>
      </c>
      <c r="Z348" s="457"/>
      <c r="AA348" s="458">
        <f>Y348*1.6878/SQRT(32.174*(H348*2204.6/2240*35)^(1/3))</f>
        <v>0.60443148966246074</v>
      </c>
      <c r="AB348" s="459">
        <f t="shared" si="117"/>
        <v>0.36533742569558136</v>
      </c>
      <c r="AC348" s="459">
        <f t="shared" si="118"/>
        <v>0.26176115926701149</v>
      </c>
      <c r="AD348" s="459">
        <f t="shared" si="119"/>
        <v>6.851890450080976E-2</v>
      </c>
      <c r="AE348" s="459">
        <f t="shared" si="120"/>
        <v>189.02362816054665</v>
      </c>
      <c r="AF348" s="460">
        <f t="shared" si="121"/>
        <v>4.5166371681415933</v>
      </c>
      <c r="AG348" s="446"/>
      <c r="AH348" s="446"/>
      <c r="AI348" s="446"/>
      <c r="AJ348" s="446"/>
      <c r="AK348" s="446"/>
      <c r="AL348" s="443"/>
      <c r="AM348" s="443"/>
      <c r="AN348" s="461"/>
      <c r="AO348" s="456">
        <f t="shared" si="122"/>
        <v>60.962365276616154</v>
      </c>
      <c r="AP348" s="460">
        <f t="shared" si="123"/>
        <v>2.1341765425988011</v>
      </c>
      <c r="AQ348" s="443"/>
      <c r="AR348" s="462" t="s">
        <v>1100</v>
      </c>
      <c r="AV348" s="349"/>
      <c r="AW348" s="349"/>
      <c r="AX348" s="349"/>
    </row>
    <row r="349" spans="1:50" s="352" customFormat="1" ht="15.75">
      <c r="A349" s="442" t="s">
        <v>1326</v>
      </c>
      <c r="B349" s="443" t="s">
        <v>1627</v>
      </c>
      <c r="C349" s="444">
        <v>3</v>
      </c>
      <c r="D349" s="445" t="s">
        <v>1357</v>
      </c>
      <c r="E349" s="446">
        <v>1992</v>
      </c>
      <c r="F349" s="444">
        <v>2003</v>
      </c>
      <c r="G349" s="447"/>
      <c r="H349" s="448">
        <f t="shared" si="130"/>
        <v>2037.1949560010887</v>
      </c>
      <c r="I349" s="449">
        <v>2005</v>
      </c>
      <c r="J349" s="450">
        <f t="shared" si="111"/>
        <v>314.95680000000004</v>
      </c>
      <c r="K349" s="450">
        <f>IF(M349="",L349,M349)</f>
        <v>96</v>
      </c>
      <c r="L349" s="450"/>
      <c r="M349" s="450">
        <v>96</v>
      </c>
      <c r="N349" s="450">
        <f t="shared" si="112"/>
        <v>37.729199999999999</v>
      </c>
      <c r="O349" s="450">
        <v>11.5</v>
      </c>
      <c r="P349" s="450">
        <f t="shared" si="113"/>
        <v>11.482800000000001</v>
      </c>
      <c r="Q349" s="451">
        <v>3.5</v>
      </c>
      <c r="R349" s="452">
        <f t="shared" si="114"/>
        <v>8.3478260869565233</v>
      </c>
      <c r="S349" s="453">
        <f t="shared" si="115"/>
        <v>27.428571428571431</v>
      </c>
      <c r="T349" s="444">
        <v>124</v>
      </c>
      <c r="U349" s="454">
        <f t="shared" si="129"/>
        <v>12800</v>
      </c>
      <c r="V349" s="454">
        <v>12800</v>
      </c>
      <c r="W349" s="454"/>
      <c r="X349" s="455"/>
      <c r="Y349" s="456">
        <v>22</v>
      </c>
      <c r="Z349" s="457"/>
      <c r="AA349" s="458">
        <f>Y349*1.6878/SQRT(32.174*(H349*2204.6/2240*35)^(1/3))</f>
        <v>1.0192813183239984</v>
      </c>
      <c r="AB349" s="459">
        <f t="shared" si="117"/>
        <v>1.0389344058843082</v>
      </c>
      <c r="AC349" s="459">
        <f t="shared" si="118"/>
        <v>0.36868862611166076</v>
      </c>
      <c r="AD349" s="459">
        <f t="shared" si="119"/>
        <v>0.13593130302410397</v>
      </c>
      <c r="AE349" s="459">
        <f t="shared" si="120"/>
        <v>64.174339723320671</v>
      </c>
      <c r="AF349" s="460">
        <f t="shared" si="121"/>
        <v>3.4460937500000002</v>
      </c>
      <c r="AG349" s="446"/>
      <c r="AH349" s="446"/>
      <c r="AI349" s="446"/>
      <c r="AJ349" s="446"/>
      <c r="AK349" s="446"/>
      <c r="AL349" s="443"/>
      <c r="AM349" s="443"/>
      <c r="AN349" s="461"/>
      <c r="AO349" s="456">
        <f t="shared" si="122"/>
        <v>132.27191995130678</v>
      </c>
      <c r="AP349" s="460">
        <f t="shared" si="123"/>
        <v>3.2303627632424505</v>
      </c>
      <c r="AQ349" s="443"/>
      <c r="AR349" s="462" t="s">
        <v>1100</v>
      </c>
      <c r="AV349" s="349"/>
      <c r="AW349" s="349"/>
      <c r="AX349" s="349"/>
    </row>
    <row r="350" spans="1:50" ht="3" customHeight="1" thickBot="1">
      <c r="A350" s="617"/>
      <c r="B350" s="618"/>
      <c r="C350" s="619"/>
      <c r="D350" s="619"/>
      <c r="E350" s="619"/>
      <c r="F350" s="619"/>
      <c r="G350" s="619"/>
      <c r="H350" s="620"/>
      <c r="I350" s="620"/>
      <c r="J350" s="620"/>
      <c r="K350" s="620"/>
      <c r="L350" s="620"/>
      <c r="M350" s="620"/>
      <c r="N350" s="620"/>
      <c r="O350" s="620"/>
      <c r="P350" s="620"/>
      <c r="Q350" s="620"/>
      <c r="R350" s="621"/>
      <c r="S350" s="621"/>
      <c r="T350" s="619"/>
      <c r="U350" s="622"/>
      <c r="V350" s="622"/>
      <c r="W350" s="622"/>
      <c r="X350" s="622"/>
      <c r="Y350" s="620"/>
      <c r="Z350" s="622"/>
      <c r="AA350" s="622"/>
      <c r="AB350" s="622"/>
      <c r="AC350" s="622"/>
      <c r="AD350" s="622"/>
      <c r="AE350" s="622"/>
      <c r="AF350" s="623"/>
      <c r="AG350" s="622"/>
      <c r="AH350" s="622"/>
      <c r="AI350" s="622"/>
      <c r="AJ350" s="622"/>
      <c r="AK350" s="622"/>
      <c r="AL350" s="618"/>
      <c r="AM350" s="618"/>
      <c r="AN350" s="618"/>
      <c r="AO350" s="624"/>
      <c r="AP350" s="625"/>
      <c r="AQ350" s="622"/>
      <c r="AR350" s="626"/>
    </row>
    <row r="351" spans="1:50">
      <c r="AL351" s="345"/>
      <c r="AM351" s="345"/>
      <c r="AN351" s="345"/>
    </row>
    <row r="352" spans="1:50">
      <c r="AL352" s="345"/>
      <c r="AM352" s="345"/>
      <c r="AN352" s="345"/>
    </row>
    <row r="358" spans="38:40">
      <c r="AL358" s="345"/>
      <c r="AM358" s="345"/>
      <c r="AN358" s="345"/>
    </row>
    <row r="359" spans="38:40">
      <c r="AL359" s="345"/>
      <c r="AM359" s="345"/>
      <c r="AN359" s="345"/>
    </row>
    <row r="360" spans="38:40">
      <c r="AL360" s="345"/>
      <c r="AM360" s="345"/>
      <c r="AN360" s="345"/>
    </row>
    <row r="361" spans="38:40">
      <c r="AL361" s="345"/>
      <c r="AM361" s="345"/>
      <c r="AN361" s="345"/>
    </row>
    <row r="362" spans="38:40">
      <c r="AL362" s="345"/>
      <c r="AM362" s="345"/>
      <c r="AN362" s="345"/>
    </row>
    <row r="363" spans="38:40">
      <c r="AL363" s="345"/>
      <c r="AM363" s="345"/>
      <c r="AN363" s="345"/>
    </row>
    <row r="364" spans="38:40">
      <c r="AL364" s="345"/>
      <c r="AM364" s="345"/>
      <c r="AN364" s="345"/>
    </row>
    <row r="365" spans="38:40">
      <c r="AL365" s="345"/>
      <c r="AM365" s="345"/>
      <c r="AN365" s="345"/>
    </row>
    <row r="366" spans="38:40">
      <c r="AL366" s="345"/>
      <c r="AM366" s="345"/>
      <c r="AN366" s="345"/>
    </row>
    <row r="367" spans="38:40">
      <c r="AL367" s="345"/>
      <c r="AM367" s="345"/>
      <c r="AN367" s="345"/>
    </row>
    <row r="368" spans="38:40">
      <c r="AL368" s="345"/>
      <c r="AM368" s="345"/>
      <c r="AN368" s="345"/>
    </row>
    <row r="369" spans="38:40">
      <c r="AL369" s="345"/>
      <c r="AM369" s="345"/>
      <c r="AN369" s="345"/>
    </row>
    <row r="370" spans="38:40">
      <c r="AL370" s="345"/>
      <c r="AM370" s="345"/>
      <c r="AN370" s="345"/>
    </row>
    <row r="371" spans="38:40">
      <c r="AL371" s="345"/>
      <c r="AM371" s="345"/>
      <c r="AN371" s="345"/>
    </row>
    <row r="372" spans="38:40">
      <c r="AL372" s="345"/>
      <c r="AM372" s="345"/>
      <c r="AN372" s="345"/>
    </row>
    <row r="373" spans="38:40">
      <c r="AL373" s="345"/>
      <c r="AM373" s="345"/>
      <c r="AN373" s="345"/>
    </row>
    <row r="374" spans="38:40">
      <c r="AL374" s="345"/>
      <c r="AM374" s="345"/>
      <c r="AN374" s="345"/>
    </row>
    <row r="375" spans="38:40">
      <c r="AL375" s="345"/>
      <c r="AM375" s="345"/>
      <c r="AN375" s="345"/>
    </row>
    <row r="376" spans="38:40">
      <c r="AL376" s="345"/>
      <c r="AM376" s="345"/>
      <c r="AN376" s="345"/>
    </row>
    <row r="377" spans="38:40">
      <c r="AL377" s="345"/>
      <c r="AM377" s="345"/>
      <c r="AN377" s="345"/>
    </row>
    <row r="378" spans="38:40">
      <c r="AL378" s="345"/>
      <c r="AM378" s="345"/>
      <c r="AN378" s="345"/>
    </row>
    <row r="379" spans="38:40">
      <c r="AL379" s="345"/>
      <c r="AM379" s="345"/>
      <c r="AN379" s="345"/>
    </row>
    <row r="380" spans="38:40">
      <c r="AL380" s="345"/>
      <c r="AM380" s="345"/>
      <c r="AN380" s="345"/>
    </row>
    <row r="381" spans="38:40">
      <c r="AL381" s="345"/>
      <c r="AM381" s="345"/>
      <c r="AN381" s="345"/>
    </row>
    <row r="382" spans="38:40">
      <c r="AL382" s="345"/>
      <c r="AM382" s="345"/>
      <c r="AN382" s="345"/>
    </row>
    <row r="383" spans="38:40">
      <c r="AL383" s="345"/>
      <c r="AM383" s="345"/>
      <c r="AN383" s="345"/>
    </row>
    <row r="384" spans="38:40">
      <c r="AL384" s="345"/>
      <c r="AM384" s="345"/>
      <c r="AN384" s="345"/>
    </row>
    <row r="385" spans="38:40">
      <c r="AL385" s="345"/>
      <c r="AM385" s="345"/>
      <c r="AN385" s="345"/>
    </row>
    <row r="386" spans="38:40">
      <c r="AL386" s="345"/>
      <c r="AM386" s="345"/>
      <c r="AN386" s="345"/>
    </row>
    <row r="387" spans="38:40">
      <c r="AL387" s="345"/>
      <c r="AM387" s="345"/>
      <c r="AN387" s="345"/>
    </row>
    <row r="388" spans="38:40">
      <c r="AL388" s="345"/>
      <c r="AM388" s="345"/>
      <c r="AN388" s="345"/>
    </row>
    <row r="389" spans="38:40">
      <c r="AL389" s="345"/>
      <c r="AM389" s="345"/>
      <c r="AN389" s="345"/>
    </row>
    <row r="390" spans="38:40">
      <c r="AL390" s="345"/>
      <c r="AM390" s="345"/>
      <c r="AN390" s="345"/>
    </row>
    <row r="391" spans="38:40">
      <c r="AL391" s="345"/>
      <c r="AM391" s="345"/>
      <c r="AN391" s="345"/>
    </row>
    <row r="392" spans="38:40">
      <c r="AL392" s="345"/>
      <c r="AM392" s="345"/>
      <c r="AN392" s="345"/>
    </row>
    <row r="393" spans="38:40">
      <c r="AL393" s="345"/>
      <c r="AM393" s="345"/>
      <c r="AN393" s="345"/>
    </row>
    <row r="394" spans="38:40">
      <c r="AL394" s="345"/>
      <c r="AM394" s="345"/>
      <c r="AN394" s="345"/>
    </row>
    <row r="395" spans="38:40">
      <c r="AL395" s="345"/>
      <c r="AM395" s="345"/>
      <c r="AN395" s="345"/>
    </row>
    <row r="396" spans="38:40">
      <c r="AL396" s="345"/>
      <c r="AM396" s="345"/>
      <c r="AN396" s="345"/>
    </row>
    <row r="397" spans="38:40">
      <c r="AL397" s="345"/>
      <c r="AM397" s="345"/>
      <c r="AN397" s="345"/>
    </row>
    <row r="398" spans="38:40">
      <c r="AL398" s="345"/>
      <c r="AM398" s="345"/>
      <c r="AN398" s="345"/>
    </row>
    <row r="399" spans="38:40">
      <c r="AL399" s="345"/>
      <c r="AM399" s="345"/>
      <c r="AN399" s="345"/>
    </row>
    <row r="400" spans="38:40">
      <c r="AL400" s="345"/>
      <c r="AM400" s="345"/>
      <c r="AN400" s="345"/>
    </row>
    <row r="401" spans="38:40">
      <c r="AL401" s="345"/>
      <c r="AM401" s="345"/>
      <c r="AN401" s="345"/>
    </row>
    <row r="402" spans="38:40">
      <c r="AL402" s="345"/>
      <c r="AM402" s="345"/>
      <c r="AN402" s="345"/>
    </row>
    <row r="403" spans="38:40">
      <c r="AL403" s="345"/>
      <c r="AM403" s="345"/>
      <c r="AN403" s="345"/>
    </row>
    <row r="404" spans="38:40">
      <c r="AL404" s="345"/>
      <c r="AM404" s="345"/>
      <c r="AN404" s="345"/>
    </row>
    <row r="405" spans="38:40">
      <c r="AL405" s="345"/>
      <c r="AM405" s="345"/>
      <c r="AN405" s="345"/>
    </row>
    <row r="406" spans="38:40">
      <c r="AL406" s="345"/>
      <c r="AM406" s="345"/>
      <c r="AN406" s="345"/>
    </row>
    <row r="407" spans="38:40">
      <c r="AL407" s="345"/>
      <c r="AM407" s="345"/>
      <c r="AN407" s="345"/>
    </row>
    <row r="408" spans="38:40">
      <c r="AL408" s="345"/>
      <c r="AM408" s="345"/>
      <c r="AN408" s="345"/>
    </row>
    <row r="409" spans="38:40">
      <c r="AL409" s="345"/>
      <c r="AM409" s="345"/>
      <c r="AN409" s="345"/>
    </row>
    <row r="410" spans="38:40">
      <c r="AL410" s="345"/>
      <c r="AM410" s="345"/>
      <c r="AN410" s="345"/>
    </row>
    <row r="411" spans="38:40">
      <c r="AL411" s="345"/>
      <c r="AM411" s="345"/>
      <c r="AN411" s="345"/>
    </row>
    <row r="412" spans="38:40">
      <c r="AL412" s="345"/>
      <c r="AM412" s="345"/>
      <c r="AN412" s="345"/>
    </row>
    <row r="413" spans="38:40">
      <c r="AL413" s="345"/>
      <c r="AM413" s="345"/>
      <c r="AN413" s="345"/>
    </row>
    <row r="414" spans="38:40">
      <c r="AL414" s="345"/>
      <c r="AM414" s="345"/>
      <c r="AN414" s="345"/>
    </row>
    <row r="415" spans="38:40">
      <c r="AL415" s="345"/>
      <c r="AM415" s="345"/>
      <c r="AN415" s="345"/>
    </row>
    <row r="416" spans="38:40">
      <c r="AL416" s="345"/>
      <c r="AM416" s="345"/>
      <c r="AN416" s="345"/>
    </row>
    <row r="417" spans="38:40">
      <c r="AL417" s="345"/>
      <c r="AM417" s="345"/>
      <c r="AN417" s="345"/>
    </row>
    <row r="418" spans="38:40">
      <c r="AL418" s="345"/>
      <c r="AM418" s="345"/>
      <c r="AN418" s="345"/>
    </row>
    <row r="419" spans="38:40">
      <c r="AL419" s="345"/>
      <c r="AM419" s="345"/>
      <c r="AN419" s="345"/>
    </row>
    <row r="420" spans="38:40">
      <c r="AL420" s="345"/>
      <c r="AM420" s="345"/>
      <c r="AN420" s="345"/>
    </row>
    <row r="421" spans="38:40">
      <c r="AL421" s="345"/>
      <c r="AM421" s="345"/>
      <c r="AN421" s="345"/>
    </row>
    <row r="422" spans="38:40">
      <c r="AL422" s="345"/>
      <c r="AM422" s="345"/>
      <c r="AN422" s="345"/>
    </row>
    <row r="423" spans="38:40">
      <c r="AL423" s="345"/>
      <c r="AM423" s="345"/>
      <c r="AN423" s="345"/>
    </row>
    <row r="424" spans="38:40">
      <c r="AL424" s="345"/>
      <c r="AM424" s="345"/>
      <c r="AN424" s="345"/>
    </row>
    <row r="425" spans="38:40">
      <c r="AL425" s="345"/>
      <c r="AM425" s="345"/>
      <c r="AN425" s="345"/>
    </row>
    <row r="426" spans="38:40">
      <c r="AL426" s="345"/>
      <c r="AM426" s="345"/>
      <c r="AN426" s="345"/>
    </row>
    <row r="427" spans="38:40">
      <c r="AL427" s="345"/>
      <c r="AM427" s="345"/>
      <c r="AN427" s="345"/>
    </row>
    <row r="428" spans="38:40">
      <c r="AL428" s="345"/>
      <c r="AM428" s="345"/>
      <c r="AN428" s="345"/>
    </row>
    <row r="429" spans="38:40">
      <c r="AL429" s="345"/>
      <c r="AM429" s="345"/>
      <c r="AN429" s="345"/>
    </row>
    <row r="430" spans="38:40">
      <c r="AL430" s="345"/>
      <c r="AM430" s="345"/>
      <c r="AN430" s="345"/>
    </row>
    <row r="431" spans="38:40">
      <c r="AL431" s="345"/>
      <c r="AM431" s="345"/>
      <c r="AN431" s="345"/>
    </row>
    <row r="432" spans="38:40">
      <c r="AL432" s="345"/>
      <c r="AM432" s="345"/>
      <c r="AN432" s="345"/>
    </row>
    <row r="433" spans="38:40">
      <c r="AL433" s="345"/>
      <c r="AM433" s="345"/>
      <c r="AN433" s="345"/>
    </row>
    <row r="434" spans="38:40">
      <c r="AL434" s="345"/>
      <c r="AM434" s="345"/>
      <c r="AN434" s="345"/>
    </row>
    <row r="435" spans="38:40">
      <c r="AL435" s="345"/>
      <c r="AM435" s="345"/>
      <c r="AN435" s="345"/>
    </row>
    <row r="436" spans="38:40">
      <c r="AL436" s="345"/>
      <c r="AM436" s="345"/>
      <c r="AN436" s="345"/>
    </row>
    <row r="437" spans="38:40">
      <c r="AL437" s="345"/>
      <c r="AM437" s="345"/>
      <c r="AN437" s="345"/>
    </row>
    <row r="438" spans="38:40">
      <c r="AL438" s="345"/>
      <c r="AM438" s="345"/>
      <c r="AN438" s="345"/>
    </row>
    <row r="439" spans="38:40">
      <c r="AL439" s="345"/>
      <c r="AM439" s="345"/>
      <c r="AN439" s="345"/>
    </row>
    <row r="440" spans="38:40">
      <c r="AL440" s="345"/>
      <c r="AM440" s="345"/>
      <c r="AN440" s="345"/>
    </row>
    <row r="441" spans="38:40">
      <c r="AL441" s="345"/>
      <c r="AM441" s="345"/>
      <c r="AN441" s="345"/>
    </row>
    <row r="442" spans="38:40">
      <c r="AL442" s="345"/>
      <c r="AM442" s="345"/>
      <c r="AN442" s="345"/>
    </row>
    <row r="443" spans="38:40">
      <c r="AL443" s="345"/>
      <c r="AM443" s="345"/>
      <c r="AN443" s="345"/>
    </row>
    <row r="444" spans="38:40">
      <c r="AL444" s="345"/>
      <c r="AM444" s="345"/>
      <c r="AN444" s="345"/>
    </row>
    <row r="445" spans="38:40">
      <c r="AL445" s="345"/>
      <c r="AM445" s="345"/>
      <c r="AN445" s="345"/>
    </row>
    <row r="446" spans="38:40">
      <c r="AL446" s="345"/>
      <c r="AM446" s="345"/>
      <c r="AN446" s="345"/>
    </row>
    <row r="447" spans="38:40">
      <c r="AL447" s="345"/>
      <c r="AM447" s="345"/>
      <c r="AN447" s="345"/>
    </row>
    <row r="448" spans="38:40">
      <c r="AL448" s="345"/>
      <c r="AM448" s="345"/>
      <c r="AN448" s="345"/>
    </row>
    <row r="449" spans="38:40">
      <c r="AL449" s="345"/>
      <c r="AM449" s="345"/>
      <c r="AN449" s="345"/>
    </row>
    <row r="450" spans="38:40">
      <c r="AL450" s="345"/>
      <c r="AM450" s="345"/>
      <c r="AN450" s="345"/>
    </row>
    <row r="451" spans="38:40">
      <c r="AL451" s="345"/>
      <c r="AM451" s="345"/>
      <c r="AN451" s="345"/>
    </row>
    <row r="452" spans="38:40">
      <c r="AL452" s="345"/>
      <c r="AM452" s="345"/>
      <c r="AN452" s="345"/>
    </row>
    <row r="453" spans="38:40">
      <c r="AL453" s="345"/>
      <c r="AM453" s="345"/>
      <c r="AN453" s="345"/>
    </row>
    <row r="454" spans="38:40">
      <c r="AL454" s="345"/>
      <c r="AM454" s="345"/>
      <c r="AN454" s="345"/>
    </row>
    <row r="455" spans="38:40">
      <c r="AL455" s="345"/>
      <c r="AM455" s="345"/>
      <c r="AN455" s="345"/>
    </row>
    <row r="456" spans="38:40">
      <c r="AL456" s="345"/>
      <c r="AM456" s="345"/>
      <c r="AN456" s="345"/>
    </row>
    <row r="457" spans="38:40">
      <c r="AL457" s="345"/>
      <c r="AM457" s="345"/>
      <c r="AN457" s="345"/>
    </row>
    <row r="458" spans="38:40">
      <c r="AL458" s="345"/>
      <c r="AM458" s="345"/>
      <c r="AN458" s="345"/>
    </row>
    <row r="459" spans="38:40">
      <c r="AL459" s="345"/>
      <c r="AM459" s="345"/>
      <c r="AN459" s="345"/>
    </row>
    <row r="460" spans="38:40">
      <c r="AL460" s="345"/>
      <c r="AM460" s="345"/>
      <c r="AN460" s="345"/>
    </row>
    <row r="461" spans="38:40">
      <c r="AL461" s="345"/>
      <c r="AM461" s="345"/>
      <c r="AN461" s="345"/>
    </row>
    <row r="462" spans="38:40">
      <c r="AL462" s="345"/>
      <c r="AM462" s="345"/>
      <c r="AN462" s="345"/>
    </row>
    <row r="463" spans="38:40">
      <c r="AL463" s="345"/>
      <c r="AM463" s="345"/>
      <c r="AN463" s="345"/>
    </row>
    <row r="464" spans="38:40">
      <c r="AL464" s="345"/>
      <c r="AM464" s="345"/>
      <c r="AN464" s="345"/>
    </row>
    <row r="465" spans="38:40">
      <c r="AL465" s="345"/>
      <c r="AM465" s="345"/>
      <c r="AN465" s="345"/>
    </row>
    <row r="466" spans="38:40">
      <c r="AL466" s="345"/>
      <c r="AM466" s="345"/>
      <c r="AN466" s="345"/>
    </row>
    <row r="467" spans="38:40">
      <c r="AL467" s="345"/>
      <c r="AM467" s="345"/>
      <c r="AN467" s="345"/>
    </row>
    <row r="468" spans="38:40">
      <c r="AL468" s="345"/>
      <c r="AM468" s="345"/>
      <c r="AN468" s="345"/>
    </row>
    <row r="469" spans="38:40">
      <c r="AL469" s="345"/>
      <c r="AM469" s="345"/>
      <c r="AN469" s="345"/>
    </row>
    <row r="470" spans="38:40">
      <c r="AL470" s="345"/>
      <c r="AM470" s="345"/>
      <c r="AN470" s="345"/>
    </row>
    <row r="471" spans="38:40">
      <c r="AL471" s="345"/>
      <c r="AM471" s="345"/>
      <c r="AN471" s="345"/>
    </row>
    <row r="472" spans="38:40">
      <c r="AL472" s="345"/>
      <c r="AM472" s="345"/>
      <c r="AN472" s="345"/>
    </row>
    <row r="473" spans="38:40">
      <c r="AL473" s="345"/>
      <c r="AM473" s="345"/>
      <c r="AN473" s="345"/>
    </row>
    <row r="474" spans="38:40">
      <c r="AL474" s="345"/>
      <c r="AM474" s="345"/>
      <c r="AN474" s="345"/>
    </row>
    <row r="475" spans="38:40">
      <c r="AL475" s="345"/>
      <c r="AM475" s="345"/>
      <c r="AN475" s="345"/>
    </row>
    <row r="476" spans="38:40">
      <c r="AL476" s="345"/>
      <c r="AM476" s="345"/>
      <c r="AN476" s="345"/>
    </row>
    <row r="477" spans="38:40">
      <c r="AL477" s="345"/>
      <c r="AM477" s="345"/>
      <c r="AN477" s="345"/>
    </row>
    <row r="478" spans="38:40">
      <c r="AL478" s="345"/>
      <c r="AM478" s="345"/>
      <c r="AN478" s="345"/>
    </row>
    <row r="479" spans="38:40">
      <c r="AL479" s="345"/>
      <c r="AM479" s="345"/>
      <c r="AN479" s="345"/>
    </row>
    <row r="480" spans="38:40">
      <c r="AL480" s="345"/>
      <c r="AM480" s="345"/>
      <c r="AN480" s="345"/>
    </row>
    <row r="481" spans="38:40">
      <c r="AL481" s="345"/>
      <c r="AM481" s="345"/>
      <c r="AN481" s="345"/>
    </row>
    <row r="482" spans="38:40">
      <c r="AL482" s="345"/>
      <c r="AM482" s="345"/>
      <c r="AN482" s="345"/>
    </row>
    <row r="483" spans="38:40">
      <c r="AL483" s="345"/>
      <c r="AM483" s="345"/>
      <c r="AN483" s="345"/>
    </row>
    <row r="484" spans="38:40">
      <c r="AL484" s="345"/>
      <c r="AM484" s="345"/>
      <c r="AN484" s="345"/>
    </row>
    <row r="485" spans="38:40">
      <c r="AL485" s="345"/>
      <c r="AM485" s="345"/>
      <c r="AN485" s="345"/>
    </row>
    <row r="486" spans="38:40">
      <c r="AL486" s="345"/>
      <c r="AM486" s="345"/>
      <c r="AN486" s="345"/>
    </row>
    <row r="487" spans="38:40">
      <c r="AL487" s="345"/>
      <c r="AM487" s="345"/>
      <c r="AN487" s="345"/>
    </row>
    <row r="488" spans="38:40">
      <c r="AL488" s="345"/>
      <c r="AM488" s="345"/>
      <c r="AN488" s="345"/>
    </row>
    <row r="489" spans="38:40">
      <c r="AL489" s="345"/>
      <c r="AM489" s="345"/>
      <c r="AN489" s="345"/>
    </row>
    <row r="490" spans="38:40">
      <c r="AL490" s="345"/>
      <c r="AM490" s="345"/>
      <c r="AN490" s="345"/>
    </row>
    <row r="491" spans="38:40">
      <c r="AL491" s="345"/>
      <c r="AM491" s="345"/>
      <c r="AN491" s="345"/>
    </row>
    <row r="492" spans="38:40">
      <c r="AL492" s="345"/>
      <c r="AM492" s="345"/>
      <c r="AN492" s="345"/>
    </row>
    <row r="493" spans="38:40">
      <c r="AL493" s="345"/>
      <c r="AM493" s="345"/>
      <c r="AN493" s="345"/>
    </row>
    <row r="494" spans="38:40">
      <c r="AL494" s="345"/>
      <c r="AM494" s="345"/>
      <c r="AN494" s="345"/>
    </row>
    <row r="495" spans="38:40">
      <c r="AL495" s="345"/>
      <c r="AM495" s="345"/>
      <c r="AN495" s="345"/>
    </row>
    <row r="496" spans="38:40">
      <c r="AL496" s="345"/>
      <c r="AM496" s="345"/>
      <c r="AN496" s="345"/>
    </row>
    <row r="497" spans="38:40">
      <c r="AL497" s="345"/>
      <c r="AM497" s="345"/>
      <c r="AN497" s="345"/>
    </row>
    <row r="498" spans="38:40">
      <c r="AL498" s="345"/>
      <c r="AM498" s="345"/>
      <c r="AN498" s="345"/>
    </row>
    <row r="499" spans="38:40">
      <c r="AL499" s="345"/>
      <c r="AM499" s="345"/>
      <c r="AN499" s="345"/>
    </row>
    <row r="500" spans="38:40">
      <c r="AL500" s="345"/>
      <c r="AM500" s="345"/>
      <c r="AN500" s="345"/>
    </row>
    <row r="501" spans="38:40">
      <c r="AL501" s="345"/>
      <c r="AM501" s="345"/>
      <c r="AN501" s="345"/>
    </row>
    <row r="502" spans="38:40">
      <c r="AL502" s="345"/>
      <c r="AM502" s="345"/>
      <c r="AN502" s="345"/>
    </row>
    <row r="503" spans="38:40">
      <c r="AL503" s="345"/>
      <c r="AM503" s="345"/>
      <c r="AN503" s="345"/>
    </row>
    <row r="504" spans="38:40">
      <c r="AL504" s="345"/>
      <c r="AM504" s="345"/>
      <c r="AN504" s="345"/>
    </row>
    <row r="505" spans="38:40">
      <c r="AL505" s="345"/>
      <c r="AM505" s="345"/>
      <c r="AN505" s="345"/>
    </row>
    <row r="506" spans="38:40">
      <c r="AL506" s="345"/>
      <c r="AM506" s="345"/>
      <c r="AN506" s="345"/>
    </row>
    <row r="507" spans="38:40">
      <c r="AL507" s="345"/>
      <c r="AM507" s="345"/>
      <c r="AN507" s="345"/>
    </row>
    <row r="508" spans="38:40">
      <c r="AL508" s="345"/>
      <c r="AM508" s="345"/>
      <c r="AN508" s="345"/>
    </row>
    <row r="509" spans="38:40">
      <c r="AL509" s="345"/>
      <c r="AM509" s="345"/>
      <c r="AN509" s="345"/>
    </row>
    <row r="510" spans="38:40">
      <c r="AL510" s="345"/>
      <c r="AM510" s="345"/>
      <c r="AN510" s="345"/>
    </row>
    <row r="511" spans="38:40">
      <c r="AL511" s="345"/>
      <c r="AM511" s="345"/>
      <c r="AN511" s="345"/>
    </row>
    <row r="512" spans="38:40">
      <c r="AL512" s="345"/>
      <c r="AM512" s="345"/>
      <c r="AN512" s="345"/>
    </row>
    <row r="513" spans="38:40">
      <c r="AL513" s="345"/>
      <c r="AM513" s="345"/>
      <c r="AN513" s="345"/>
    </row>
    <row r="514" spans="38:40">
      <c r="AL514" s="345"/>
      <c r="AM514" s="345"/>
      <c r="AN514" s="345"/>
    </row>
    <row r="515" spans="38:40">
      <c r="AL515" s="345"/>
      <c r="AM515" s="345"/>
      <c r="AN515" s="345"/>
    </row>
    <row r="516" spans="38:40">
      <c r="AL516" s="345"/>
      <c r="AM516" s="345"/>
      <c r="AN516" s="345"/>
    </row>
    <row r="517" spans="38:40">
      <c r="AL517" s="345"/>
      <c r="AM517" s="345"/>
      <c r="AN517" s="345"/>
    </row>
    <row r="518" spans="38:40">
      <c r="AL518" s="345"/>
      <c r="AM518" s="345"/>
      <c r="AN518" s="345"/>
    </row>
    <row r="519" spans="38:40">
      <c r="AL519" s="345"/>
      <c r="AM519" s="345"/>
      <c r="AN519" s="345"/>
    </row>
    <row r="520" spans="38:40">
      <c r="AL520" s="345"/>
      <c r="AM520" s="345"/>
      <c r="AN520" s="345"/>
    </row>
    <row r="521" spans="38:40">
      <c r="AL521" s="345"/>
      <c r="AM521" s="345"/>
      <c r="AN521" s="345"/>
    </row>
    <row r="522" spans="38:40">
      <c r="AL522" s="345"/>
      <c r="AM522" s="345"/>
      <c r="AN522" s="345"/>
    </row>
    <row r="523" spans="38:40">
      <c r="AL523" s="345"/>
      <c r="AM523" s="345"/>
      <c r="AN523" s="345"/>
    </row>
    <row r="524" spans="38:40">
      <c r="AL524" s="345"/>
      <c r="AM524" s="345"/>
      <c r="AN524" s="345"/>
    </row>
    <row r="525" spans="38:40">
      <c r="AL525" s="345"/>
      <c r="AM525" s="345"/>
      <c r="AN525" s="345"/>
    </row>
    <row r="526" spans="38:40">
      <c r="AL526" s="345"/>
      <c r="AM526" s="345"/>
      <c r="AN526" s="345"/>
    </row>
    <row r="527" spans="38:40">
      <c r="AL527" s="345"/>
      <c r="AM527" s="345"/>
      <c r="AN527" s="345"/>
    </row>
    <row r="528" spans="38:40">
      <c r="AL528" s="345"/>
      <c r="AM528" s="345"/>
      <c r="AN528" s="345"/>
    </row>
    <row r="529" spans="38:40">
      <c r="AL529" s="345"/>
      <c r="AM529" s="345"/>
      <c r="AN529" s="345"/>
    </row>
    <row r="530" spans="38:40">
      <c r="AL530" s="345"/>
      <c r="AM530" s="345"/>
      <c r="AN530" s="345"/>
    </row>
    <row r="531" spans="38:40">
      <c r="AL531" s="345"/>
      <c r="AM531" s="345"/>
      <c r="AN531" s="345"/>
    </row>
    <row r="532" spans="38:40">
      <c r="AL532" s="345"/>
      <c r="AM532" s="345"/>
      <c r="AN532" s="345"/>
    </row>
    <row r="533" spans="38:40">
      <c r="AL533" s="345"/>
      <c r="AM533" s="345"/>
      <c r="AN533" s="345"/>
    </row>
    <row r="534" spans="38:40">
      <c r="AL534" s="345"/>
      <c r="AM534" s="345"/>
      <c r="AN534" s="345"/>
    </row>
    <row r="535" spans="38:40">
      <c r="AL535" s="345"/>
      <c r="AM535" s="345"/>
      <c r="AN535" s="345"/>
    </row>
    <row r="536" spans="38:40">
      <c r="AL536" s="345"/>
      <c r="AM536" s="345"/>
      <c r="AN536" s="345"/>
    </row>
    <row r="537" spans="38:40">
      <c r="AL537" s="345"/>
      <c r="AM537" s="345"/>
      <c r="AN537" s="345"/>
    </row>
    <row r="538" spans="38:40">
      <c r="AL538" s="345"/>
      <c r="AM538" s="345"/>
      <c r="AN538" s="345"/>
    </row>
    <row r="539" spans="38:40">
      <c r="AL539" s="345"/>
      <c r="AM539" s="345"/>
      <c r="AN539" s="345"/>
    </row>
    <row r="540" spans="38:40">
      <c r="AL540" s="345"/>
      <c r="AM540" s="345"/>
      <c r="AN540" s="345"/>
    </row>
    <row r="541" spans="38:40">
      <c r="AL541" s="345"/>
      <c r="AM541" s="345"/>
      <c r="AN541" s="345"/>
    </row>
    <row r="542" spans="38:40">
      <c r="AL542" s="345"/>
      <c r="AM542" s="345"/>
      <c r="AN542" s="345"/>
    </row>
    <row r="543" spans="38:40">
      <c r="AL543" s="345"/>
      <c r="AM543" s="345"/>
      <c r="AN543" s="345"/>
    </row>
    <row r="544" spans="38:40">
      <c r="AL544" s="345"/>
      <c r="AM544" s="345"/>
      <c r="AN544" s="345"/>
    </row>
    <row r="545" spans="38:40">
      <c r="AL545" s="345"/>
      <c r="AM545" s="345"/>
      <c r="AN545" s="345"/>
    </row>
    <row r="546" spans="38:40">
      <c r="AL546" s="345"/>
      <c r="AM546" s="345"/>
      <c r="AN546" s="345"/>
    </row>
    <row r="547" spans="38:40">
      <c r="AL547" s="345"/>
      <c r="AM547" s="345"/>
      <c r="AN547" s="345"/>
    </row>
    <row r="548" spans="38:40">
      <c r="AL548" s="345"/>
      <c r="AM548" s="345"/>
      <c r="AN548" s="345"/>
    </row>
    <row r="549" spans="38:40">
      <c r="AL549" s="345"/>
      <c r="AM549" s="345"/>
      <c r="AN549" s="345"/>
    </row>
    <row r="550" spans="38:40">
      <c r="AL550" s="345"/>
      <c r="AM550" s="345"/>
      <c r="AN550" s="345"/>
    </row>
    <row r="551" spans="38:40">
      <c r="AL551" s="345"/>
      <c r="AM551" s="345"/>
      <c r="AN551" s="345"/>
    </row>
    <row r="552" spans="38:40">
      <c r="AL552" s="345"/>
      <c r="AM552" s="345"/>
      <c r="AN552" s="345"/>
    </row>
    <row r="553" spans="38:40">
      <c r="AL553" s="345"/>
      <c r="AM553" s="345"/>
      <c r="AN553" s="345"/>
    </row>
    <row r="554" spans="38:40">
      <c r="AL554" s="345"/>
      <c r="AM554" s="345"/>
      <c r="AN554" s="345"/>
    </row>
    <row r="555" spans="38:40">
      <c r="AL555" s="345"/>
      <c r="AM555" s="345"/>
      <c r="AN555" s="345"/>
    </row>
    <row r="556" spans="38:40">
      <c r="AL556" s="345"/>
      <c r="AM556" s="345"/>
      <c r="AN556" s="345"/>
    </row>
    <row r="557" spans="38:40">
      <c r="AL557" s="345"/>
      <c r="AM557" s="345"/>
      <c r="AN557" s="345"/>
    </row>
    <row r="558" spans="38:40">
      <c r="AL558" s="345"/>
      <c r="AM558" s="345"/>
      <c r="AN558" s="345"/>
    </row>
    <row r="559" spans="38:40">
      <c r="AL559" s="345"/>
      <c r="AM559" s="345"/>
      <c r="AN559" s="345"/>
    </row>
    <row r="560" spans="38:40">
      <c r="AL560" s="345"/>
      <c r="AM560" s="345"/>
      <c r="AN560" s="345"/>
    </row>
    <row r="561" spans="38:40">
      <c r="AL561" s="345"/>
      <c r="AM561" s="345"/>
      <c r="AN561" s="345"/>
    </row>
    <row r="562" spans="38:40">
      <c r="AL562" s="345"/>
      <c r="AM562" s="345"/>
      <c r="AN562" s="345"/>
    </row>
    <row r="563" spans="38:40">
      <c r="AL563" s="345"/>
      <c r="AM563" s="345"/>
      <c r="AN563" s="345"/>
    </row>
    <row r="564" spans="38:40">
      <c r="AL564" s="345"/>
      <c r="AM564" s="345"/>
      <c r="AN564" s="345"/>
    </row>
    <row r="565" spans="38:40">
      <c r="AL565" s="345"/>
      <c r="AM565" s="345"/>
      <c r="AN565" s="345"/>
    </row>
    <row r="566" spans="38:40">
      <c r="AL566" s="345"/>
      <c r="AM566" s="345"/>
      <c r="AN566" s="345"/>
    </row>
    <row r="567" spans="38:40">
      <c r="AL567" s="345"/>
      <c r="AM567" s="345"/>
      <c r="AN567" s="345"/>
    </row>
    <row r="568" spans="38:40">
      <c r="AL568" s="345"/>
      <c r="AM568" s="345"/>
      <c r="AN568" s="345"/>
    </row>
    <row r="569" spans="38:40">
      <c r="AL569" s="345"/>
      <c r="AM569" s="345"/>
      <c r="AN569" s="345"/>
    </row>
    <row r="570" spans="38:40">
      <c r="AL570" s="345"/>
      <c r="AM570" s="345"/>
      <c r="AN570" s="345"/>
    </row>
    <row r="571" spans="38:40">
      <c r="AL571" s="345"/>
      <c r="AM571" s="345"/>
      <c r="AN571" s="345"/>
    </row>
    <row r="572" spans="38:40">
      <c r="AL572" s="345"/>
      <c r="AM572" s="345"/>
      <c r="AN572" s="345"/>
    </row>
    <row r="573" spans="38:40">
      <c r="AL573" s="345"/>
      <c r="AM573" s="345"/>
      <c r="AN573" s="345"/>
    </row>
    <row r="574" spans="38:40">
      <c r="AL574" s="345"/>
      <c r="AM574" s="345"/>
      <c r="AN574" s="345"/>
    </row>
    <row r="575" spans="38:40">
      <c r="AL575" s="345"/>
      <c r="AM575" s="345"/>
      <c r="AN575" s="345"/>
    </row>
    <row r="576" spans="38:40">
      <c r="AL576" s="345"/>
      <c r="AM576" s="345"/>
      <c r="AN576" s="345"/>
    </row>
    <row r="577" spans="38:40">
      <c r="AL577" s="345"/>
      <c r="AM577" s="345"/>
      <c r="AN577" s="345"/>
    </row>
    <row r="578" spans="38:40">
      <c r="AL578" s="345"/>
      <c r="AM578" s="345"/>
      <c r="AN578" s="345"/>
    </row>
    <row r="579" spans="38:40">
      <c r="AL579" s="345"/>
      <c r="AM579" s="345"/>
      <c r="AN579" s="345"/>
    </row>
    <row r="580" spans="38:40">
      <c r="AL580" s="345"/>
      <c r="AM580" s="345"/>
      <c r="AN580" s="345"/>
    </row>
    <row r="581" spans="38:40">
      <c r="AL581" s="345"/>
      <c r="AM581" s="345"/>
      <c r="AN581" s="345"/>
    </row>
    <row r="582" spans="38:40">
      <c r="AL582" s="345"/>
      <c r="AM582" s="345"/>
      <c r="AN582" s="345"/>
    </row>
    <row r="583" spans="38:40">
      <c r="AL583" s="345"/>
      <c r="AM583" s="345"/>
      <c r="AN583" s="345"/>
    </row>
    <row r="584" spans="38:40">
      <c r="AL584" s="345"/>
      <c r="AM584" s="345"/>
      <c r="AN584" s="345"/>
    </row>
    <row r="585" spans="38:40">
      <c r="AL585" s="345"/>
      <c r="AM585" s="345"/>
      <c r="AN585" s="345"/>
    </row>
    <row r="586" spans="38:40">
      <c r="AL586" s="345"/>
      <c r="AM586" s="345"/>
      <c r="AN586" s="345"/>
    </row>
    <row r="587" spans="38:40">
      <c r="AL587" s="345"/>
      <c r="AM587" s="345"/>
      <c r="AN587" s="345"/>
    </row>
    <row r="588" spans="38:40">
      <c r="AL588" s="345"/>
      <c r="AM588" s="345"/>
      <c r="AN588" s="345"/>
    </row>
    <row r="589" spans="38:40">
      <c r="AL589" s="345"/>
      <c r="AM589" s="345"/>
      <c r="AN589" s="345"/>
    </row>
    <row r="590" spans="38:40">
      <c r="AL590" s="345"/>
      <c r="AM590" s="345"/>
      <c r="AN590" s="345"/>
    </row>
    <row r="591" spans="38:40">
      <c r="AL591" s="345"/>
      <c r="AM591" s="345"/>
      <c r="AN591" s="345"/>
    </row>
    <row r="592" spans="38:40">
      <c r="AL592" s="345"/>
      <c r="AM592" s="345"/>
      <c r="AN592" s="345"/>
    </row>
    <row r="593" spans="38:40">
      <c r="AL593" s="345"/>
      <c r="AM593" s="345"/>
      <c r="AN593" s="345"/>
    </row>
    <row r="594" spans="38:40">
      <c r="AL594" s="345"/>
      <c r="AM594" s="345"/>
      <c r="AN594" s="345"/>
    </row>
    <row r="595" spans="38:40">
      <c r="AL595" s="345"/>
      <c r="AM595" s="345"/>
      <c r="AN595" s="345"/>
    </row>
    <row r="596" spans="38:40">
      <c r="AL596" s="345"/>
      <c r="AM596" s="345"/>
      <c r="AN596" s="345"/>
    </row>
    <row r="597" spans="38:40">
      <c r="AL597" s="345"/>
      <c r="AM597" s="345"/>
      <c r="AN597" s="345"/>
    </row>
    <row r="598" spans="38:40">
      <c r="AL598" s="345"/>
      <c r="AM598" s="345"/>
      <c r="AN598" s="345"/>
    </row>
    <row r="599" spans="38:40">
      <c r="AL599" s="345"/>
      <c r="AM599" s="345"/>
      <c r="AN599" s="345"/>
    </row>
    <row r="600" spans="38:40">
      <c r="AL600" s="345"/>
      <c r="AM600" s="345"/>
      <c r="AN600" s="345"/>
    </row>
    <row r="601" spans="38:40">
      <c r="AL601" s="345"/>
      <c r="AM601" s="345"/>
      <c r="AN601" s="345"/>
    </row>
    <row r="602" spans="38:40">
      <c r="AL602" s="345"/>
      <c r="AM602" s="345"/>
      <c r="AN602" s="345"/>
    </row>
    <row r="603" spans="38:40">
      <c r="AL603" s="345"/>
      <c r="AM603" s="345"/>
      <c r="AN603" s="345"/>
    </row>
    <row r="604" spans="38:40">
      <c r="AL604" s="345"/>
      <c r="AM604" s="345"/>
      <c r="AN604" s="345"/>
    </row>
    <row r="605" spans="38:40">
      <c r="AL605" s="345"/>
      <c r="AM605" s="345"/>
      <c r="AN605" s="345"/>
    </row>
  </sheetData>
  <mergeCells count="9">
    <mergeCell ref="E303:F303"/>
    <mergeCell ref="AK303:AL303"/>
    <mergeCell ref="AM303:AN303"/>
    <mergeCell ref="E2:F2"/>
    <mergeCell ref="AK2:AL2"/>
    <mergeCell ref="AM2:AN2"/>
    <mergeCell ref="E280:F280"/>
    <mergeCell ref="AK280:AL280"/>
    <mergeCell ref="AM280:AN280"/>
  </mergeCells>
  <hyperlinks>
    <hyperlink ref="AG29" r:id="rId1" display="1500@15"/>
    <hyperlink ref="AG50" r:id="rId2" display="2300@14"/>
    <hyperlink ref="AG219" r:id="rId3" display="450@27"/>
    <hyperlink ref="AG68" r:id="rId4" display="1800@16"/>
    <hyperlink ref="AG229" r:id="rId5" display="2000@12"/>
    <hyperlink ref="AG236" r:id="rId6" display="2400@12"/>
    <hyperlink ref="AG210" r:id="rId7" display="2400@12"/>
    <hyperlink ref="AG203" r:id="rId8" display="2375@14"/>
    <hyperlink ref="AG32" r:id="rId9" display="2000@15"/>
    <hyperlink ref="AG40" r:id="rId10" display="800@30"/>
    <hyperlink ref="AG227" r:id="rId11" display="180@16"/>
    <hyperlink ref="AG171" r:id="rId12" display="300@28"/>
    <hyperlink ref="AG181" r:id="rId13" display="550@32"/>
    <hyperlink ref="AG47" r:id="rId14" display="1850@14"/>
    <hyperlink ref="AG48" r:id="rId15" display="2000@14"/>
    <hyperlink ref="AG221" r:id="rId16" display="1100@18"/>
    <hyperlink ref="AG214" r:id="rId17" display="1700@15"/>
    <hyperlink ref="AG51" r:id="rId18" display="950@15"/>
    <hyperlink ref="AG233" r:id="rId19" display="2500@15"/>
    <hyperlink ref="AG58" r:id="rId20" display="500@38"/>
    <hyperlink ref="AG39" r:id="rId21" display="800@30"/>
    <hyperlink ref="AG331" r:id="rId22" display="4500@12"/>
    <hyperlink ref="AG263" r:id="rId23" display="2000@12"/>
    <hyperlink ref="AG254" r:id="rId24" display="4500@12"/>
    <hyperlink ref="AG250" r:id="rId25" display="4500@14"/>
    <hyperlink ref="AG75" r:id="rId26" display="2100@13"/>
    <hyperlink ref="Z219" r:id="rId27"/>
    <hyperlink ref="Z229" r:id="rId28"/>
    <hyperlink ref="Z236" r:id="rId29"/>
    <hyperlink ref="Z210" r:id="rId30"/>
    <hyperlink ref="Z203" r:id="rId31"/>
    <hyperlink ref="Z32" r:id="rId32"/>
    <hyperlink ref="Z227" r:id="rId33"/>
    <hyperlink ref="Z171" r:id="rId34"/>
    <hyperlink ref="Z221" r:id="rId35"/>
    <hyperlink ref="Z58" r:id="rId36"/>
    <hyperlink ref="Z331" r:id="rId37"/>
    <hyperlink ref="Z263" r:id="rId38"/>
    <hyperlink ref="Z254" r:id="rId39"/>
    <hyperlink ref="AG52" r:id="rId40" display="850@25"/>
  </hyperlinks>
  <pageMargins left="0.75" right="0.75" top="1" bottom="1" header="0.5" footer="0.5"/>
  <pageSetup paperSize="17" scale="30" fitToHeight="2" orientation="landscape" r:id="rId41"/>
  <headerFooter alignWithMargins="0"/>
  <legacyDrawing r:id="rId4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99"/>
  <sheetViews>
    <sheetView workbookViewId="0">
      <selection activeCell="E64" sqref="E64"/>
    </sheetView>
  </sheetViews>
  <sheetFormatPr defaultColWidth="8.625" defaultRowHeight="15.75"/>
  <cols>
    <col min="1" max="1" width="13.625" style="295" customWidth="1"/>
    <col min="2" max="2" width="37.375" style="295" customWidth="1"/>
    <col min="3" max="4" width="12.625" style="295"/>
    <col min="5" max="16384" width="8.625" style="295"/>
  </cols>
  <sheetData>
    <row r="1" spans="1:4">
      <c r="A1" s="627" t="s">
        <v>248</v>
      </c>
      <c r="B1" s="627"/>
      <c r="C1" s="297" t="s">
        <v>249</v>
      </c>
    </row>
    <row r="2" spans="1:4">
      <c r="A2" s="627" t="s">
        <v>250</v>
      </c>
      <c r="B2" s="627"/>
      <c r="C2" s="298" t="s">
        <v>251</v>
      </c>
      <c r="D2" s="295" t="s">
        <v>252</v>
      </c>
    </row>
    <row r="3" spans="1:4">
      <c r="A3" s="627" t="s">
        <v>253</v>
      </c>
      <c r="B3" s="627"/>
      <c r="C3" s="299" t="s">
        <v>254</v>
      </c>
      <c r="D3" s="295" t="s">
        <v>255</v>
      </c>
    </row>
    <row r="5" spans="1:4">
      <c r="A5" s="295" t="s">
        <v>256</v>
      </c>
      <c r="B5" s="295" t="s">
        <v>257</v>
      </c>
      <c r="C5" s="300">
        <v>137.62</v>
      </c>
      <c r="D5" s="295" t="s">
        <v>258</v>
      </c>
    </row>
    <row r="6" spans="1:4">
      <c r="A6" s="295" t="s">
        <v>259</v>
      </c>
      <c r="B6" s="295" t="s">
        <v>260</v>
      </c>
      <c r="C6" s="300">
        <v>131</v>
      </c>
      <c r="D6" s="295" t="s">
        <v>258</v>
      </c>
    </row>
    <row r="7" spans="1:4">
      <c r="A7" s="295" t="s">
        <v>261</v>
      </c>
      <c r="B7" s="295" t="s">
        <v>262</v>
      </c>
      <c r="C7" s="300">
        <v>14.01</v>
      </c>
      <c r="D7" s="295" t="s">
        <v>258</v>
      </c>
    </row>
    <row r="8" spans="1:4">
      <c r="A8" s="295" t="s">
        <v>263</v>
      </c>
      <c r="B8" s="295" t="s">
        <v>264</v>
      </c>
      <c r="C8" s="300">
        <v>9.7899999999999991</v>
      </c>
      <c r="D8" s="295" t="s">
        <v>258</v>
      </c>
    </row>
    <row r="9" spans="1:4">
      <c r="A9" s="295" t="s">
        <v>265</v>
      </c>
      <c r="B9" s="295" t="s">
        <v>266</v>
      </c>
      <c r="C9" s="300">
        <f>4*5816</f>
        <v>23264</v>
      </c>
      <c r="D9" s="295" t="s">
        <v>267</v>
      </c>
    </row>
    <row r="10" spans="1:4">
      <c r="A10" s="295" t="s">
        <v>268</v>
      </c>
      <c r="B10" s="295" t="s">
        <v>269</v>
      </c>
      <c r="C10" s="301">
        <f>4*1044</f>
        <v>4176</v>
      </c>
      <c r="D10" s="295" t="s">
        <v>267</v>
      </c>
    </row>
    <row r="11" spans="1:4">
      <c r="A11" s="295" t="s">
        <v>270</v>
      </c>
      <c r="B11" s="295" t="s">
        <v>271</v>
      </c>
      <c r="C11" s="302">
        <v>205</v>
      </c>
    </row>
    <row r="12" spans="1:4">
      <c r="A12" s="295" t="s">
        <v>272</v>
      </c>
      <c r="B12" s="295" t="s">
        <v>273</v>
      </c>
      <c r="C12" s="302">
        <v>4905</v>
      </c>
      <c r="D12" s="295" t="s">
        <v>274</v>
      </c>
    </row>
    <row r="13" spans="1:4">
      <c r="C13" s="303"/>
    </row>
    <row r="14" spans="1:4">
      <c r="A14" s="295" t="s">
        <v>275</v>
      </c>
      <c r="B14" s="295" t="s">
        <v>276</v>
      </c>
      <c r="C14" s="304">
        <f>C6*C7*C8</f>
        <v>17967.684899999997</v>
      </c>
    </row>
    <row r="15" spans="1:4">
      <c r="A15" s="295" t="s">
        <v>277</v>
      </c>
      <c r="C15" s="305">
        <f>C14/100</f>
        <v>179.67684899999998</v>
      </c>
    </row>
    <row r="16" spans="1:4">
      <c r="A16" s="295" t="s">
        <v>278</v>
      </c>
      <c r="C16" s="306">
        <f>C6*(C7+C8)</f>
        <v>3117.7999999999997</v>
      </c>
    </row>
    <row r="17" spans="1:5">
      <c r="A17" s="295" t="s">
        <v>279</v>
      </c>
      <c r="C17" s="306">
        <f>C6*(C7+2*C8)</f>
        <v>4400.29</v>
      </c>
    </row>
    <row r="18" spans="1:5">
      <c r="A18" s="295" t="s">
        <v>280</v>
      </c>
      <c r="C18" s="307">
        <f>C5/C6</f>
        <v>1.0505343511450382</v>
      </c>
    </row>
    <row r="19" spans="1:5">
      <c r="A19" s="295" t="s">
        <v>281</v>
      </c>
      <c r="C19" s="307">
        <f>C7/C6</f>
        <v>0.10694656488549618</v>
      </c>
      <c r="D19" s="305">
        <f>1/C19</f>
        <v>9.3504639543183448</v>
      </c>
      <c r="E19" s="295" t="s">
        <v>282</v>
      </c>
    </row>
    <row r="20" spans="1:5">
      <c r="A20" s="295" t="s">
        <v>283</v>
      </c>
      <c r="C20" s="307">
        <f>C8/C6</f>
        <v>7.4732824427480915E-2</v>
      </c>
      <c r="D20" s="305">
        <f>1/C20</f>
        <v>13.38100102145046</v>
      </c>
      <c r="E20" s="295" t="s">
        <v>284</v>
      </c>
    </row>
    <row r="21" spans="1:5">
      <c r="A21" s="295" t="s">
        <v>285</v>
      </c>
      <c r="C21" s="307">
        <f>C8/C7</f>
        <v>0.69878658101356173</v>
      </c>
      <c r="D21" s="305">
        <f>1/C21</f>
        <v>1.4310520939734424</v>
      </c>
      <c r="E21" s="295" t="s">
        <v>286</v>
      </c>
    </row>
    <row r="23" spans="1:5">
      <c r="A23" s="296" t="s">
        <v>287</v>
      </c>
      <c r="B23" s="295" t="s">
        <v>288</v>
      </c>
      <c r="C23" s="301">
        <v>2019.9313120842</v>
      </c>
      <c r="D23" s="304">
        <f>D33+D41+D46+D51+D56+D64+D74+D79+D88</f>
        <v>2019.9773863792423</v>
      </c>
    </row>
    <row r="24" spans="1:5">
      <c r="A24" s="296" t="s">
        <v>289</v>
      </c>
      <c r="B24" s="295" t="s">
        <v>290</v>
      </c>
      <c r="C24" s="301">
        <v>636.23422789573704</v>
      </c>
      <c r="D24" s="304">
        <f>D94+D97+D103+D110+D120+D125</f>
        <v>636.23422789573658</v>
      </c>
    </row>
    <row r="25" spans="1:5">
      <c r="A25" s="296" t="s">
        <v>291</v>
      </c>
      <c r="B25" s="295" t="s">
        <v>292</v>
      </c>
      <c r="C25" s="301">
        <v>402.24084568023699</v>
      </c>
      <c r="D25" s="304">
        <f>D129+D135+D142+D146+D151</f>
        <v>402.24084568023699</v>
      </c>
    </row>
    <row r="26" spans="1:5">
      <c r="A26" s="296" t="s">
        <v>84</v>
      </c>
      <c r="B26" s="295" t="s">
        <v>293</v>
      </c>
      <c r="C26" s="301">
        <v>177.69869765639299</v>
      </c>
      <c r="D26" s="304">
        <f>C155+C156+C157+C158+C159+C160+C161+C162+C163+D164</f>
        <v>177.69869765639314</v>
      </c>
    </row>
    <row r="27" spans="1:5">
      <c r="A27" s="296" t="s">
        <v>294</v>
      </c>
      <c r="B27" s="295" t="s">
        <v>295</v>
      </c>
      <c r="C27" s="301">
        <v>677.23303544521298</v>
      </c>
      <c r="D27" s="304">
        <f>D170+D178+D187+D195+D200+D209+D215+D219+D226</f>
        <v>677.23303544521332</v>
      </c>
    </row>
    <row r="28" spans="1:5">
      <c r="A28" s="296" t="s">
        <v>296</v>
      </c>
      <c r="B28" s="295" t="s">
        <v>297</v>
      </c>
      <c r="C28" s="301">
        <v>406.70667473971798</v>
      </c>
      <c r="D28" s="304">
        <f>D231+D233+D240+D247+D254+D262+D269+D273</f>
        <v>406.72166983783239</v>
      </c>
    </row>
    <row r="29" spans="1:5">
      <c r="A29" s="296" t="s">
        <v>298</v>
      </c>
      <c r="B29" s="295" t="s">
        <v>299</v>
      </c>
      <c r="C29" s="301">
        <v>124.858051419258</v>
      </c>
      <c r="D29" s="304">
        <f>C277+C278+C279+C280+C281+SUM(C282:C284)</f>
        <v>124.85805141925812</v>
      </c>
    </row>
    <row r="30" spans="1:5">
      <c r="A30" s="296" t="s">
        <v>300</v>
      </c>
      <c r="C30" s="300">
        <v>556.20000000000005</v>
      </c>
      <c r="D30" s="303"/>
    </row>
    <row r="31" spans="1:5">
      <c r="A31" s="295" t="s">
        <v>301</v>
      </c>
      <c r="C31" s="305">
        <f>SUM(C23:C30)</f>
        <v>5001.1028449207561</v>
      </c>
      <c r="D31" s="308">
        <f>SUM(D23:D30)</f>
        <v>4444.963914313912</v>
      </c>
    </row>
    <row r="33" spans="1:4">
      <c r="A33" s="309">
        <v>110</v>
      </c>
      <c r="B33" s="309" t="s">
        <v>302</v>
      </c>
      <c r="D33" s="305">
        <f>SUM(C34:C39)</f>
        <v>620.43037223815918</v>
      </c>
    </row>
    <row r="34" spans="1:4">
      <c r="A34" s="295">
        <v>111</v>
      </c>
      <c r="B34" s="310" t="s">
        <v>303</v>
      </c>
      <c r="C34" s="301">
        <v>346.42318725585898</v>
      </c>
    </row>
    <row r="35" spans="1:4">
      <c r="A35" s="295">
        <v>113</v>
      </c>
      <c r="B35" s="310" t="s">
        <v>304</v>
      </c>
      <c r="C35" s="301">
        <v>65.410491943359403</v>
      </c>
    </row>
    <row r="36" spans="1:4">
      <c r="A36" s="295">
        <v>114</v>
      </c>
      <c r="B36" s="310" t="s">
        <v>305</v>
      </c>
      <c r="C36" s="301">
        <v>11.3960008621216</v>
      </c>
    </row>
    <row r="37" spans="1:4">
      <c r="A37" s="295">
        <v>115</v>
      </c>
      <c r="B37" s="310" t="s">
        <v>306</v>
      </c>
      <c r="C37" s="301">
        <v>7.88958835601807</v>
      </c>
    </row>
    <row r="38" spans="1:4">
      <c r="A38" s="295">
        <v>116</v>
      </c>
      <c r="B38" s="310" t="s">
        <v>307</v>
      </c>
      <c r="C38" s="301">
        <v>69.015037536621094</v>
      </c>
    </row>
    <row r="39" spans="1:4">
      <c r="A39" s="295">
        <v>117</v>
      </c>
      <c r="B39" s="310" t="s">
        <v>308</v>
      </c>
      <c r="C39" s="301">
        <v>120.29606628418</v>
      </c>
    </row>
    <row r="40" spans="1:4">
      <c r="B40" s="310"/>
    </row>
    <row r="41" spans="1:4">
      <c r="A41" s="309">
        <v>120</v>
      </c>
      <c r="B41" s="309" t="s">
        <v>309</v>
      </c>
      <c r="D41" s="305">
        <f>SUM(C42:C44)</f>
        <v>173.44225597381558</v>
      </c>
    </row>
    <row r="42" spans="1:4">
      <c r="A42" s="295">
        <v>121</v>
      </c>
      <c r="B42" s="310" t="s">
        <v>310</v>
      </c>
      <c r="C42" s="301">
        <v>7.2610845565795898</v>
      </c>
    </row>
    <row r="43" spans="1:4">
      <c r="A43" s="295">
        <v>122</v>
      </c>
      <c r="B43" s="310" t="s">
        <v>311</v>
      </c>
      <c r="C43" s="301">
        <v>126.038162231445</v>
      </c>
    </row>
    <row r="44" spans="1:4">
      <c r="A44" s="295">
        <v>123</v>
      </c>
      <c r="B44" s="310" t="s">
        <v>312</v>
      </c>
      <c r="C44" s="301">
        <v>40.143009185791001</v>
      </c>
    </row>
    <row r="45" spans="1:4">
      <c r="B45" s="310"/>
    </row>
    <row r="46" spans="1:4">
      <c r="A46" s="309">
        <v>130</v>
      </c>
      <c r="B46" s="309" t="s">
        <v>313</v>
      </c>
      <c r="D46" s="305">
        <f>SUM(C47:C49)</f>
        <v>442.76794433593801</v>
      </c>
    </row>
    <row r="47" spans="1:4">
      <c r="A47" s="295">
        <v>131</v>
      </c>
      <c r="B47" s="310" t="s">
        <v>314</v>
      </c>
      <c r="C47" s="301">
        <v>280.40518188476602</v>
      </c>
    </row>
    <row r="48" spans="1:4">
      <c r="A48" s="295">
        <v>132</v>
      </c>
      <c r="B48" s="310" t="s">
        <v>315</v>
      </c>
      <c r="C48" s="301">
        <v>162.36276245117199</v>
      </c>
    </row>
    <row r="49" spans="1:4">
      <c r="A49" s="295">
        <v>136</v>
      </c>
      <c r="B49" s="310" t="s">
        <v>316</v>
      </c>
      <c r="C49" s="300"/>
    </row>
    <row r="50" spans="1:4">
      <c r="B50" s="310"/>
    </row>
    <row r="51" spans="1:4">
      <c r="A51" s="309">
        <v>140</v>
      </c>
      <c r="B51" s="309" t="s">
        <v>317</v>
      </c>
      <c r="D51" s="304">
        <f>SUM(C52:C54)</f>
        <v>72.486709594726605</v>
      </c>
    </row>
    <row r="52" spans="1:4">
      <c r="A52" s="295">
        <v>141</v>
      </c>
      <c r="B52" s="310" t="s">
        <v>318</v>
      </c>
      <c r="C52" s="311">
        <v>72.486709594726605</v>
      </c>
    </row>
    <row r="53" spans="1:4">
      <c r="A53" s="295">
        <v>142</v>
      </c>
      <c r="B53" s="310" t="s">
        <v>319</v>
      </c>
      <c r="C53" s="300"/>
    </row>
    <row r="54" spans="1:4">
      <c r="A54" s="295">
        <v>149</v>
      </c>
      <c r="B54" s="310" t="s">
        <v>320</v>
      </c>
      <c r="C54" s="300"/>
    </row>
    <row r="55" spans="1:4">
      <c r="B55" s="310"/>
    </row>
    <row r="56" spans="1:4">
      <c r="A56" s="309">
        <v>150</v>
      </c>
      <c r="B56" s="309" t="s">
        <v>321</v>
      </c>
      <c r="C56" s="312">
        <v>123.691688537598</v>
      </c>
      <c r="D56" s="305">
        <f>IF(C56="",SUM(C57:C62),C56)</f>
        <v>123.691688537598</v>
      </c>
    </row>
    <row r="57" spans="1:4">
      <c r="A57" s="296">
        <v>151</v>
      </c>
      <c r="B57" s="310" t="s">
        <v>322</v>
      </c>
      <c r="C57" s="300"/>
    </row>
    <row r="58" spans="1:4">
      <c r="A58" s="296">
        <v>152</v>
      </c>
      <c r="B58" s="310" t="s">
        <v>323</v>
      </c>
      <c r="C58" s="300"/>
    </row>
    <row r="59" spans="1:4">
      <c r="A59" s="296">
        <v>153</v>
      </c>
      <c r="B59" s="310" t="s">
        <v>324</v>
      </c>
      <c r="C59" s="300"/>
    </row>
    <row r="60" spans="1:4">
      <c r="A60" s="296">
        <v>154</v>
      </c>
      <c r="B60" s="310" t="s">
        <v>325</v>
      </c>
      <c r="C60" s="300"/>
    </row>
    <row r="61" spans="1:4">
      <c r="A61" s="296">
        <v>155</v>
      </c>
      <c r="B61" s="310" t="s">
        <v>326</v>
      </c>
      <c r="C61" s="300"/>
    </row>
    <row r="62" spans="1:4">
      <c r="A62" s="296">
        <v>156</v>
      </c>
      <c r="B62" s="310" t="s">
        <v>327</v>
      </c>
      <c r="C62" s="300"/>
    </row>
    <row r="63" spans="1:4">
      <c r="A63" s="309"/>
      <c r="B63" s="310"/>
    </row>
    <row r="64" spans="1:4">
      <c r="A64" s="309">
        <v>160</v>
      </c>
      <c r="B64" s="309" t="s">
        <v>328</v>
      </c>
      <c r="D64" s="305">
        <f>SUM(C65:C72)</f>
        <v>97.468729972839313</v>
      </c>
    </row>
    <row r="65" spans="1:4">
      <c r="A65" s="296">
        <v>161</v>
      </c>
      <c r="B65" s="310" t="s">
        <v>329</v>
      </c>
      <c r="C65" s="301">
        <v>47.978492736816399</v>
      </c>
    </row>
    <row r="66" spans="1:4">
      <c r="A66" s="296">
        <v>162</v>
      </c>
      <c r="B66" s="310" t="s">
        <v>330</v>
      </c>
      <c r="C66" s="301">
        <v>0.71210384368896495</v>
      </c>
    </row>
    <row r="67" spans="1:4">
      <c r="A67" s="296">
        <v>163</v>
      </c>
      <c r="B67" s="310" t="s">
        <v>331</v>
      </c>
      <c r="C67" s="301">
        <v>7.9125494956970197</v>
      </c>
    </row>
    <row r="68" spans="1:4">
      <c r="A68" s="296">
        <v>164</v>
      </c>
      <c r="B68" s="310" t="s">
        <v>332</v>
      </c>
      <c r="C68" s="301">
        <v>0</v>
      </c>
    </row>
    <row r="69" spans="1:4">
      <c r="A69" s="296">
        <v>165</v>
      </c>
      <c r="B69" s="310" t="s">
        <v>333</v>
      </c>
      <c r="C69" s="301">
        <v>7.5492291450500497</v>
      </c>
    </row>
    <row r="70" spans="1:4">
      <c r="A70" s="296">
        <v>167</v>
      </c>
      <c r="B70" s="310" t="s">
        <v>334</v>
      </c>
      <c r="C70" s="301">
        <v>19.6226482391357</v>
      </c>
    </row>
    <row r="71" spans="1:4">
      <c r="A71" s="296">
        <v>168</v>
      </c>
      <c r="B71" s="310" t="s">
        <v>335</v>
      </c>
      <c r="C71" s="301">
        <v>7.3818235397338903</v>
      </c>
    </row>
    <row r="72" spans="1:4">
      <c r="A72" s="296">
        <v>169</v>
      </c>
      <c r="B72" s="310" t="s">
        <v>336</v>
      </c>
      <c r="C72" s="301">
        <v>6.3118829727172896</v>
      </c>
    </row>
    <row r="73" spans="1:4">
      <c r="B73" s="310"/>
    </row>
    <row r="74" spans="1:4">
      <c r="A74" s="309">
        <v>170</v>
      </c>
      <c r="B74" s="309" t="s">
        <v>337</v>
      </c>
      <c r="D74" s="304">
        <f>SUM(C75:C77)</f>
        <v>4.8250765800476101</v>
      </c>
    </row>
    <row r="75" spans="1:4">
      <c r="A75" s="296">
        <v>171</v>
      </c>
      <c r="B75" s="310" t="s">
        <v>338</v>
      </c>
      <c r="C75" s="311">
        <v>4.8250765800476101</v>
      </c>
    </row>
    <row r="76" spans="1:4">
      <c r="A76" s="296">
        <v>172</v>
      </c>
      <c r="B76" s="310" t="s">
        <v>339</v>
      </c>
      <c r="C76" s="311">
        <v>0</v>
      </c>
    </row>
    <row r="77" spans="1:4">
      <c r="A77" s="296">
        <v>179</v>
      </c>
      <c r="B77" s="310" t="s">
        <v>340</v>
      </c>
      <c r="C77" s="311">
        <v>0</v>
      </c>
    </row>
    <row r="78" spans="1:4">
      <c r="B78" s="310"/>
    </row>
    <row r="79" spans="1:4">
      <c r="A79" s="309">
        <v>180</v>
      </c>
      <c r="B79" s="309" t="s">
        <v>341</v>
      </c>
      <c r="D79" s="304">
        <f>SUM(C80:C86)</f>
        <v>376.32204246520973</v>
      </c>
    </row>
    <row r="80" spans="1:4">
      <c r="A80" s="296">
        <v>181</v>
      </c>
      <c r="B80" s="310" t="s">
        <v>342</v>
      </c>
      <c r="C80" s="311">
        <v>0</v>
      </c>
    </row>
    <row r="81" spans="1:4">
      <c r="A81" s="296">
        <v>182</v>
      </c>
      <c r="B81" s="310" t="s">
        <v>343</v>
      </c>
      <c r="C81" s="311">
        <v>186.51812744140599</v>
      </c>
    </row>
    <row r="82" spans="1:4">
      <c r="A82" s="296">
        <v>183</v>
      </c>
      <c r="B82" s="310" t="s">
        <v>344</v>
      </c>
      <c r="C82" s="311">
        <v>81.482452392578097</v>
      </c>
    </row>
    <row r="83" spans="1:4">
      <c r="A83" s="296">
        <v>184</v>
      </c>
      <c r="B83" s="310" t="s">
        <v>345</v>
      </c>
      <c r="C83" s="311">
        <v>14.8816843032837</v>
      </c>
    </row>
    <row r="84" spans="1:4">
      <c r="A84" s="296">
        <v>185</v>
      </c>
      <c r="B84" s="310" t="s">
        <v>346</v>
      </c>
      <c r="C84" s="311">
        <v>65.014373779296903</v>
      </c>
    </row>
    <row r="85" spans="1:4">
      <c r="A85" s="296">
        <v>186</v>
      </c>
      <c r="B85" s="310" t="s">
        <v>347</v>
      </c>
      <c r="C85" s="311">
        <v>8.9475469589233398</v>
      </c>
    </row>
    <row r="86" spans="1:4">
      <c r="A86" s="296">
        <v>187</v>
      </c>
      <c r="B86" s="310" t="s">
        <v>348</v>
      </c>
      <c r="C86" s="311">
        <v>19.477857589721701</v>
      </c>
    </row>
    <row r="87" spans="1:4">
      <c r="A87" s="296"/>
      <c r="B87" s="310"/>
    </row>
    <row r="88" spans="1:4">
      <c r="A88" s="309">
        <v>190</v>
      </c>
      <c r="B88" s="309" t="s">
        <v>349</v>
      </c>
      <c r="D88" s="304">
        <f>SUM(C89:C92)</f>
        <v>108.54256668090821</v>
      </c>
    </row>
    <row r="89" spans="1:4">
      <c r="A89" s="296">
        <v>191</v>
      </c>
      <c r="B89" s="310" t="s">
        <v>350</v>
      </c>
      <c r="C89" s="311">
        <v>0</v>
      </c>
    </row>
    <row r="90" spans="1:4">
      <c r="A90" s="296" t="s">
        <v>351</v>
      </c>
      <c r="B90" s="310" t="s">
        <v>352</v>
      </c>
      <c r="C90" s="311">
        <v>100.4</v>
      </c>
    </row>
    <row r="91" spans="1:4">
      <c r="A91" s="296">
        <v>198</v>
      </c>
      <c r="B91" s="310" t="s">
        <v>353</v>
      </c>
      <c r="C91" s="311">
        <v>8.1425666809081996</v>
      </c>
    </row>
    <row r="92" spans="1:4">
      <c r="A92" s="296">
        <v>199</v>
      </c>
      <c r="B92" s="310" t="s">
        <v>354</v>
      </c>
      <c r="C92" s="311">
        <v>0</v>
      </c>
    </row>
    <row r="93" spans="1:4">
      <c r="B93" s="310"/>
    </row>
    <row r="94" spans="1:4">
      <c r="A94" s="309">
        <v>220</v>
      </c>
      <c r="B94" s="309" t="s">
        <v>355</v>
      </c>
      <c r="D94" s="304">
        <f>SUM(C95)</f>
        <v>0</v>
      </c>
    </row>
    <row r="95" spans="1:4">
      <c r="A95" s="296">
        <v>221</v>
      </c>
      <c r="B95" s="310" t="s">
        <v>356</v>
      </c>
      <c r="C95" s="311"/>
    </row>
    <row r="96" spans="1:4">
      <c r="A96" s="296"/>
      <c r="B96" s="310"/>
      <c r="C96" s="303"/>
    </row>
    <row r="97" spans="1:4">
      <c r="A97" s="309">
        <v>230</v>
      </c>
      <c r="B97" s="309" t="s">
        <v>357</v>
      </c>
      <c r="C97" s="303"/>
      <c r="D97" s="304">
        <f>SUM(C98:C101)</f>
        <v>353.20333862304699</v>
      </c>
    </row>
    <row r="98" spans="1:4">
      <c r="A98" s="296">
        <v>231</v>
      </c>
      <c r="B98" s="310" t="s">
        <v>358</v>
      </c>
      <c r="C98" s="311"/>
    </row>
    <row r="99" spans="1:4">
      <c r="A99" s="296">
        <v>233</v>
      </c>
      <c r="B99" s="310" t="s">
        <v>359</v>
      </c>
      <c r="C99" s="311">
        <v>353.20333862304699</v>
      </c>
    </row>
    <row r="100" spans="1:4">
      <c r="A100" s="296">
        <v>234</v>
      </c>
      <c r="B100" s="310" t="s">
        <v>360</v>
      </c>
      <c r="C100" s="300"/>
    </row>
    <row r="101" spans="1:4">
      <c r="A101" s="296">
        <v>237</v>
      </c>
      <c r="B101" s="310" t="s">
        <v>361</v>
      </c>
      <c r="C101" s="300"/>
    </row>
    <row r="102" spans="1:4">
      <c r="A102" s="296"/>
      <c r="B102" s="310"/>
    </row>
    <row r="103" spans="1:4">
      <c r="A103" s="309">
        <v>240</v>
      </c>
      <c r="B103" s="309" t="s">
        <v>362</v>
      </c>
      <c r="D103" s="304">
        <f>SUM(C104:C108)</f>
        <v>213.99899101257299</v>
      </c>
    </row>
    <row r="104" spans="1:4">
      <c r="A104" s="296">
        <v>241</v>
      </c>
      <c r="B104" s="310" t="s">
        <v>363</v>
      </c>
      <c r="C104" s="311">
        <v>110.47198486328099</v>
      </c>
    </row>
    <row r="105" spans="1:4">
      <c r="A105" s="296">
        <v>242</v>
      </c>
      <c r="B105" s="310" t="s">
        <v>364</v>
      </c>
      <c r="C105" s="311">
        <v>0</v>
      </c>
    </row>
    <row r="106" spans="1:4">
      <c r="A106" s="296">
        <v>243</v>
      </c>
      <c r="B106" s="310" t="s">
        <v>365</v>
      </c>
      <c r="C106" s="311">
        <v>54.688377380371101</v>
      </c>
    </row>
    <row r="107" spans="1:4">
      <c r="A107" s="296">
        <v>244</v>
      </c>
      <c r="B107" s="310" t="s">
        <v>366</v>
      </c>
      <c r="C107" s="311">
        <v>17.2976474761963</v>
      </c>
    </row>
    <row r="108" spans="1:4">
      <c r="A108" s="296">
        <v>245</v>
      </c>
      <c r="B108" s="310" t="s">
        <v>367</v>
      </c>
      <c r="C108" s="311">
        <v>31.540981292724599</v>
      </c>
    </row>
    <row r="109" spans="1:4">
      <c r="A109" s="296"/>
      <c r="B109" s="310"/>
    </row>
    <row r="110" spans="1:4">
      <c r="A110" s="309">
        <v>250</v>
      </c>
      <c r="B110" s="309" t="s">
        <v>368</v>
      </c>
      <c r="D110" s="304">
        <f>SUM(C111:C118)</f>
        <v>29.265385150909417</v>
      </c>
    </row>
    <row r="111" spans="1:4">
      <c r="A111" s="296">
        <v>251</v>
      </c>
      <c r="B111" s="310" t="s">
        <v>369</v>
      </c>
      <c r="C111" s="311">
        <v>2.90929079055786</v>
      </c>
    </row>
    <row r="112" spans="1:4">
      <c r="A112" s="296">
        <v>252</v>
      </c>
      <c r="B112" s="310" t="s">
        <v>370</v>
      </c>
      <c r="C112" s="311">
        <v>8.5959234237670898</v>
      </c>
    </row>
    <row r="113" spans="1:4">
      <c r="A113" s="296">
        <v>253</v>
      </c>
      <c r="B113" s="310" t="s">
        <v>371</v>
      </c>
      <c r="C113" s="311">
        <v>0</v>
      </c>
    </row>
    <row r="114" spans="1:4">
      <c r="A114" s="296">
        <v>254</v>
      </c>
      <c r="B114" s="310" t="s">
        <v>372</v>
      </c>
      <c r="C114" s="311">
        <v>0</v>
      </c>
    </row>
    <row r="115" spans="1:4">
      <c r="A115" s="296">
        <v>255</v>
      </c>
      <c r="B115" s="310" t="s">
        <v>373</v>
      </c>
      <c r="C115" s="311">
        <v>0</v>
      </c>
    </row>
    <row r="116" spans="1:4">
      <c r="A116" s="296">
        <v>256</v>
      </c>
      <c r="B116" s="310" t="s">
        <v>374</v>
      </c>
      <c r="C116" s="311">
        <v>7.84179592132568</v>
      </c>
    </row>
    <row r="117" spans="1:4">
      <c r="A117" s="296">
        <v>258</v>
      </c>
      <c r="B117" s="310" t="s">
        <v>375</v>
      </c>
      <c r="C117" s="311">
        <v>0</v>
      </c>
    </row>
    <row r="118" spans="1:4">
      <c r="A118" s="296">
        <v>259</v>
      </c>
      <c r="B118" s="310" t="s">
        <v>376</v>
      </c>
      <c r="C118" s="311">
        <v>9.9183750152587908</v>
      </c>
    </row>
    <row r="119" spans="1:4">
      <c r="A119" s="296"/>
      <c r="B119" s="310"/>
    </row>
    <row r="120" spans="1:4">
      <c r="A120" s="309">
        <v>260</v>
      </c>
      <c r="B120" s="309" t="s">
        <v>377</v>
      </c>
      <c r="D120" s="304">
        <f>SUM(C121:C123)</f>
        <v>18.20900678634646</v>
      </c>
    </row>
    <row r="121" spans="1:4">
      <c r="A121" s="296">
        <v>261</v>
      </c>
      <c r="B121" s="310" t="s">
        <v>378</v>
      </c>
      <c r="C121" s="311">
        <v>3.84716796875</v>
      </c>
    </row>
    <row r="122" spans="1:4">
      <c r="A122" s="296">
        <v>262</v>
      </c>
      <c r="B122" s="310" t="s">
        <v>379</v>
      </c>
      <c r="C122" s="311">
        <v>10.258456230163601</v>
      </c>
    </row>
    <row r="123" spans="1:4">
      <c r="A123" s="296">
        <v>264</v>
      </c>
      <c r="B123" s="310" t="s">
        <v>380</v>
      </c>
      <c r="C123" s="311">
        <v>4.1033825874328604</v>
      </c>
    </row>
    <row r="124" spans="1:4">
      <c r="A124" s="296"/>
      <c r="B124" s="310"/>
    </row>
    <row r="125" spans="1:4">
      <c r="A125" s="309">
        <v>290</v>
      </c>
      <c r="B125" s="309" t="s">
        <v>349</v>
      </c>
      <c r="D125" s="304">
        <f>SUM(C126:C127)</f>
        <v>21.557506322860728</v>
      </c>
    </row>
    <row r="126" spans="1:4">
      <c r="A126" s="296">
        <v>298</v>
      </c>
      <c r="B126" s="310" t="s">
        <v>381</v>
      </c>
      <c r="C126" s="311">
        <v>18.1101474761963</v>
      </c>
    </row>
    <row r="127" spans="1:4">
      <c r="A127" s="296">
        <v>299</v>
      </c>
      <c r="B127" s="310" t="s">
        <v>382</v>
      </c>
      <c r="C127" s="311">
        <v>3.44735884666443</v>
      </c>
    </row>
    <row r="128" spans="1:4">
      <c r="A128" s="296"/>
      <c r="B128" s="309"/>
    </row>
    <row r="129" spans="1:4">
      <c r="A129" s="309">
        <v>310</v>
      </c>
      <c r="B129" s="309" t="s">
        <v>383</v>
      </c>
      <c r="D129" s="304">
        <f>SUM(C130:C133)</f>
        <v>192.70106601715102</v>
      </c>
    </row>
    <row r="130" spans="1:4">
      <c r="A130" s="296">
        <v>311</v>
      </c>
      <c r="B130" s="310" t="s">
        <v>384</v>
      </c>
      <c r="C130" s="311">
        <v>171.33735656738301</v>
      </c>
    </row>
    <row r="131" spans="1:4" ht="15.75" customHeight="1">
      <c r="A131" s="296">
        <v>312</v>
      </c>
      <c r="B131" s="310" t="s">
        <v>385</v>
      </c>
      <c r="C131" s="311">
        <v>0</v>
      </c>
    </row>
    <row r="132" spans="1:4">
      <c r="A132" s="296">
        <v>313</v>
      </c>
      <c r="B132" s="310" t="s">
        <v>386</v>
      </c>
      <c r="C132" s="311">
        <v>2.03209400177002</v>
      </c>
    </row>
    <row r="133" spans="1:4">
      <c r="A133" s="296">
        <v>314</v>
      </c>
      <c r="B133" s="310" t="s">
        <v>387</v>
      </c>
      <c r="C133" s="311">
        <v>19.331615447998001</v>
      </c>
    </row>
    <row r="135" spans="1:4">
      <c r="A135" s="309">
        <v>320</v>
      </c>
      <c r="B135" s="295" t="s">
        <v>388</v>
      </c>
      <c r="D135" s="304">
        <f>SUM(C137:C140)</f>
        <v>103.04129838943486</v>
      </c>
    </row>
    <row r="136" spans="1:4">
      <c r="A136" s="296" t="s">
        <v>389</v>
      </c>
      <c r="B136" s="310" t="s">
        <v>390</v>
      </c>
      <c r="C136" s="304">
        <f>SUM(C137:C139)</f>
        <v>80.485054492950454</v>
      </c>
    </row>
    <row r="137" spans="1:4">
      <c r="A137" s="296">
        <v>321</v>
      </c>
      <c r="B137" s="310" t="s">
        <v>391</v>
      </c>
      <c r="C137" s="311">
        <v>77.326461791992202</v>
      </c>
    </row>
    <row r="138" spans="1:4">
      <c r="A138" s="296">
        <v>322</v>
      </c>
      <c r="B138" s="310" t="s">
        <v>392</v>
      </c>
      <c r="C138" s="311">
        <v>0</v>
      </c>
    </row>
    <row r="139" spans="1:4">
      <c r="A139" s="296">
        <v>323</v>
      </c>
      <c r="B139" s="310" t="s">
        <v>393</v>
      </c>
      <c r="C139" s="311">
        <v>3.1585927009582502</v>
      </c>
    </row>
    <row r="140" spans="1:4">
      <c r="A140" s="296">
        <v>324</v>
      </c>
      <c r="B140" s="310" t="s">
        <v>394</v>
      </c>
      <c r="C140" s="311">
        <v>22.5562438964844</v>
      </c>
    </row>
    <row r="141" spans="1:4">
      <c r="A141" s="296"/>
      <c r="B141" s="310"/>
    </row>
    <row r="142" spans="1:4">
      <c r="A142" s="309" t="s">
        <v>395</v>
      </c>
      <c r="B142" s="309" t="s">
        <v>396</v>
      </c>
      <c r="D142" s="304">
        <f>SUM(C143:C144)</f>
        <v>29.348573684692401</v>
      </c>
    </row>
    <row r="143" spans="1:4">
      <c r="A143" s="296">
        <v>331</v>
      </c>
      <c r="B143" s="310" t="s">
        <v>397</v>
      </c>
      <c r="C143" s="311">
        <v>17.609144210815401</v>
      </c>
    </row>
    <row r="144" spans="1:4">
      <c r="A144" s="296">
        <v>332</v>
      </c>
      <c r="B144" s="310" t="s">
        <v>398</v>
      </c>
      <c r="C144" s="311">
        <v>11.739429473876999</v>
      </c>
    </row>
    <row r="145" spans="1:4">
      <c r="A145" s="296"/>
      <c r="B145" s="310"/>
    </row>
    <row r="146" spans="1:4">
      <c r="A146" s="309">
        <v>340</v>
      </c>
      <c r="B146" s="309" t="s">
        <v>399</v>
      </c>
      <c r="D146" s="304">
        <f>SUM(C147:C149)</f>
        <v>51.465187072753899</v>
      </c>
    </row>
    <row r="147" spans="1:4">
      <c r="A147" s="296">
        <v>341</v>
      </c>
      <c r="B147" s="310" t="s">
        <v>400</v>
      </c>
      <c r="C147" s="311">
        <v>0</v>
      </c>
    </row>
    <row r="148" spans="1:4">
      <c r="A148" s="296">
        <v>342</v>
      </c>
      <c r="B148" s="310" t="s">
        <v>401</v>
      </c>
      <c r="C148" s="311">
        <v>51.465187072753899</v>
      </c>
    </row>
    <row r="149" spans="1:4">
      <c r="A149" s="296">
        <v>343</v>
      </c>
      <c r="B149" s="310" t="s">
        <v>402</v>
      </c>
      <c r="C149" s="311">
        <v>0</v>
      </c>
    </row>
    <row r="150" spans="1:4">
      <c r="A150" s="296"/>
      <c r="B150" s="310"/>
    </row>
    <row r="151" spans="1:4">
      <c r="A151" s="309">
        <v>390</v>
      </c>
      <c r="B151" s="309" t="s">
        <v>349</v>
      </c>
      <c r="D151" s="304">
        <f>SUM(C152:C153)</f>
        <v>25.684720516204852</v>
      </c>
    </row>
    <row r="152" spans="1:4">
      <c r="A152" s="296">
        <v>398</v>
      </c>
      <c r="B152" s="310" t="s">
        <v>403</v>
      </c>
      <c r="C152" s="311">
        <v>18.695264816284201</v>
      </c>
    </row>
    <row r="153" spans="1:4">
      <c r="A153" s="296">
        <v>399</v>
      </c>
      <c r="B153" s="310" t="s">
        <v>404</v>
      </c>
      <c r="C153" s="311">
        <v>6.9894556999206499</v>
      </c>
    </row>
    <row r="154" spans="1:4">
      <c r="A154" s="296"/>
      <c r="B154" s="296"/>
    </row>
    <row r="155" spans="1:4">
      <c r="A155" s="309">
        <v>410</v>
      </c>
      <c r="B155" s="309" t="s">
        <v>405</v>
      </c>
      <c r="C155" s="311">
        <v>7.8438801765441903</v>
      </c>
    </row>
    <row r="156" spans="1:4">
      <c r="A156" s="309">
        <v>420</v>
      </c>
      <c r="B156" s="309" t="s">
        <v>406</v>
      </c>
      <c r="C156" s="311">
        <v>15.497028350830099</v>
      </c>
    </row>
    <row r="157" spans="1:4">
      <c r="A157" s="309">
        <v>430</v>
      </c>
      <c r="B157" s="309" t="s">
        <v>407</v>
      </c>
      <c r="C157" s="311">
        <v>27.905745118856402</v>
      </c>
    </row>
    <row r="158" spans="1:4">
      <c r="A158" s="309">
        <v>440</v>
      </c>
      <c r="B158" s="309" t="s">
        <v>408</v>
      </c>
      <c r="C158" s="311">
        <v>15.2712001800537</v>
      </c>
    </row>
    <row r="159" spans="1:4">
      <c r="A159" s="309">
        <v>450</v>
      </c>
      <c r="B159" s="309" t="s">
        <v>409</v>
      </c>
      <c r="C159" s="311">
        <v>11.166350126266501</v>
      </c>
    </row>
    <row r="160" spans="1:4">
      <c r="A160" s="309">
        <v>460</v>
      </c>
      <c r="B160" s="309" t="s">
        <v>410</v>
      </c>
      <c r="C160" s="311">
        <v>33.123087882995598</v>
      </c>
    </row>
    <row r="161" spans="1:4">
      <c r="A161" s="309">
        <v>470</v>
      </c>
      <c r="B161" s="309" t="s">
        <v>411</v>
      </c>
      <c r="C161" s="311">
        <v>3.6577699184417698</v>
      </c>
    </row>
    <row r="162" spans="1:4">
      <c r="A162" s="296">
        <v>475</v>
      </c>
      <c r="B162" s="310" t="s">
        <v>412</v>
      </c>
      <c r="C162" s="311">
        <v>21.429628372192401</v>
      </c>
    </row>
    <row r="163" spans="1:4">
      <c r="A163" s="309">
        <v>480</v>
      </c>
      <c r="B163" s="309" t="s">
        <v>413</v>
      </c>
      <c r="C163" s="311">
        <v>15.738573551178</v>
      </c>
    </row>
    <row r="164" spans="1:4">
      <c r="A164" s="309">
        <v>490</v>
      </c>
      <c r="B164" s="309" t="s">
        <v>349</v>
      </c>
      <c r="C164" s="313"/>
      <c r="D164" s="305">
        <f>SUM(C165:C168)</f>
        <v>26.065433979034452</v>
      </c>
    </row>
    <row r="165" spans="1:4">
      <c r="A165" s="296">
        <v>491</v>
      </c>
      <c r="B165" s="310" t="s">
        <v>414</v>
      </c>
      <c r="C165" s="311">
        <v>4.7919359207153303</v>
      </c>
    </row>
    <row r="166" spans="1:4">
      <c r="A166" s="296">
        <v>493</v>
      </c>
      <c r="B166" s="309" t="s">
        <v>415</v>
      </c>
      <c r="C166" s="311">
        <v>4.8886613845825204</v>
      </c>
    </row>
    <row r="167" spans="1:4">
      <c r="A167" s="296">
        <v>498</v>
      </c>
      <c r="B167" s="310" t="s">
        <v>416</v>
      </c>
      <c r="C167" s="311">
        <v>14.163694381713899</v>
      </c>
    </row>
    <row r="168" spans="1:4">
      <c r="A168" s="296">
        <v>499</v>
      </c>
      <c r="B168" s="310" t="s">
        <v>417</v>
      </c>
      <c r="C168" s="311">
        <v>2.2211422920227002</v>
      </c>
    </row>
    <row r="169" spans="1:4">
      <c r="A169" s="296"/>
      <c r="B169" s="296"/>
    </row>
    <row r="170" spans="1:4">
      <c r="A170" s="309">
        <v>510</v>
      </c>
      <c r="B170" s="309" t="s">
        <v>418</v>
      </c>
      <c r="D170" s="305">
        <f>SUM(C171:C176)</f>
        <v>168.81433749198905</v>
      </c>
    </row>
    <row r="171" spans="1:4">
      <c r="A171" s="296">
        <v>511</v>
      </c>
      <c r="B171" s="310" t="s">
        <v>419</v>
      </c>
      <c r="C171" s="301">
        <v>6.5487298965454102</v>
      </c>
    </row>
    <row r="172" spans="1:4">
      <c r="A172" s="296">
        <v>512</v>
      </c>
      <c r="B172" s="310" t="s">
        <v>420</v>
      </c>
      <c r="C172" s="301">
        <v>64.239921569824205</v>
      </c>
    </row>
    <row r="173" spans="1:4">
      <c r="A173" s="296">
        <v>513</v>
      </c>
      <c r="B173" s="310" t="s">
        <v>421</v>
      </c>
      <c r="C173" s="301">
        <v>9.3384790420532209</v>
      </c>
    </row>
    <row r="174" spans="1:4">
      <c r="A174" s="296">
        <v>514</v>
      </c>
      <c r="B174" s="310" t="s">
        <v>422</v>
      </c>
      <c r="C174" s="301">
        <v>75.477478027343693</v>
      </c>
    </row>
    <row r="175" spans="1:4">
      <c r="A175" s="296">
        <v>516</v>
      </c>
      <c r="B175" s="310" t="s">
        <v>423</v>
      </c>
      <c r="C175" s="301">
        <v>2.3989884853363002</v>
      </c>
    </row>
    <row r="176" spans="1:4">
      <c r="A176" s="296">
        <v>517</v>
      </c>
      <c r="B176" s="310" t="s">
        <v>424</v>
      </c>
      <c r="C176" s="301">
        <v>10.8107404708862</v>
      </c>
    </row>
    <row r="177" spans="1:4">
      <c r="A177" s="296"/>
      <c r="B177" s="296"/>
    </row>
    <row r="178" spans="1:4">
      <c r="A178" s="309">
        <v>520</v>
      </c>
      <c r="B178" s="309" t="s">
        <v>425</v>
      </c>
      <c r="D178" s="305">
        <f>SUM(C179:C185)</f>
        <v>83.175079584121718</v>
      </c>
    </row>
    <row r="179" spans="1:4">
      <c r="A179" s="296">
        <v>521</v>
      </c>
      <c r="B179" s="310" t="s">
        <v>426</v>
      </c>
      <c r="C179" s="301">
        <v>43.469863891601598</v>
      </c>
    </row>
    <row r="180" spans="1:4">
      <c r="A180" s="296">
        <v>522</v>
      </c>
      <c r="B180" s="310" t="s">
        <v>427</v>
      </c>
      <c r="C180" s="301">
        <v>0</v>
      </c>
    </row>
    <row r="181" spans="1:4">
      <c r="A181" s="296">
        <v>523</v>
      </c>
      <c r="B181" s="310" t="s">
        <v>428</v>
      </c>
      <c r="C181" s="301">
        <v>3.6082642078399698</v>
      </c>
    </row>
    <row r="182" spans="1:4">
      <c r="A182" s="296">
        <v>524</v>
      </c>
      <c r="B182" s="310" t="s">
        <v>429</v>
      </c>
      <c r="C182" s="301">
        <v>0</v>
      </c>
    </row>
    <row r="183" spans="1:4">
      <c r="A183" s="296">
        <v>526</v>
      </c>
      <c r="B183" s="310" t="s">
        <v>430</v>
      </c>
      <c r="C183" s="301">
        <v>1.1436624526977499</v>
      </c>
    </row>
    <row r="184" spans="1:4">
      <c r="A184" s="296">
        <v>528</v>
      </c>
      <c r="B184" s="310" t="s">
        <v>431</v>
      </c>
      <c r="C184" s="301">
        <v>17.683788299560501</v>
      </c>
    </row>
    <row r="185" spans="1:4">
      <c r="A185" s="296">
        <v>529</v>
      </c>
      <c r="B185" s="310" t="s">
        <v>432</v>
      </c>
      <c r="C185" s="301">
        <v>17.2695007324219</v>
      </c>
    </row>
    <row r="186" spans="1:4">
      <c r="A186" s="296"/>
      <c r="B186" s="310"/>
    </row>
    <row r="187" spans="1:4">
      <c r="A187" s="309">
        <v>530</v>
      </c>
      <c r="B187" s="310"/>
      <c r="D187" s="305">
        <f>SUM(C188:C193)</f>
        <v>42.815837383270235</v>
      </c>
    </row>
    <row r="188" spans="1:4">
      <c r="A188" s="296">
        <v>531</v>
      </c>
      <c r="B188" s="310" t="s">
        <v>433</v>
      </c>
      <c r="C188" s="301">
        <v>6.4569787979126003</v>
      </c>
    </row>
    <row r="189" spans="1:4">
      <c r="A189" s="296">
        <v>532</v>
      </c>
      <c r="B189" s="310" t="s">
        <v>434</v>
      </c>
      <c r="C189" s="301">
        <v>6.3100399971008301</v>
      </c>
    </row>
    <row r="190" spans="1:4">
      <c r="A190" s="296">
        <v>533</v>
      </c>
      <c r="B190" s="310" t="s">
        <v>435</v>
      </c>
      <c r="C190" s="301">
        <v>14.8996925354004</v>
      </c>
    </row>
    <row r="191" spans="1:4">
      <c r="A191" s="296">
        <v>534</v>
      </c>
      <c r="B191" s="310" t="s">
        <v>436</v>
      </c>
      <c r="C191" s="301">
        <v>15.149126052856399</v>
      </c>
    </row>
    <row r="192" spans="1:4">
      <c r="A192" s="296">
        <v>535</v>
      </c>
      <c r="B192" s="310" t="s">
        <v>437</v>
      </c>
      <c r="C192" s="301">
        <v>0</v>
      </c>
    </row>
    <row r="193" spans="1:4">
      <c r="A193" s="296">
        <v>536</v>
      </c>
      <c r="B193" s="310" t="s">
        <v>438</v>
      </c>
      <c r="C193" s="301"/>
    </row>
    <row r="194" spans="1:4">
      <c r="A194" s="296"/>
      <c r="B194" s="296"/>
    </row>
    <row r="195" spans="1:4">
      <c r="A195" s="309">
        <v>540</v>
      </c>
      <c r="B195" s="309" t="s">
        <v>439</v>
      </c>
      <c r="C195" s="303"/>
      <c r="D195" s="305">
        <f>SUM(C196:C198)</f>
        <v>39.861805319786058</v>
      </c>
    </row>
    <row r="196" spans="1:4">
      <c r="A196" s="296">
        <v>541</v>
      </c>
      <c r="B196" s="310" t="s">
        <v>440</v>
      </c>
      <c r="C196" s="301">
        <v>33.613113403320298</v>
      </c>
    </row>
    <row r="197" spans="1:4">
      <c r="A197" s="296">
        <v>542</v>
      </c>
      <c r="B197" s="310" t="s">
        <v>441</v>
      </c>
      <c r="C197" s="301">
        <v>4.90750980377197</v>
      </c>
    </row>
    <row r="198" spans="1:4">
      <c r="A198" s="296">
        <v>545</v>
      </c>
      <c r="B198" s="310" t="s">
        <v>442</v>
      </c>
      <c r="C198" s="301">
        <v>1.34118211269379</v>
      </c>
    </row>
    <row r="199" spans="1:4">
      <c r="A199" s="296"/>
      <c r="B199" s="310"/>
      <c r="C199" s="314"/>
    </row>
    <row r="200" spans="1:4">
      <c r="A200" s="309">
        <v>550</v>
      </c>
      <c r="B200" s="309" t="s">
        <v>443</v>
      </c>
      <c r="D200" s="305">
        <f>SUM(C201:C207)</f>
        <v>94.173927307128906</v>
      </c>
    </row>
    <row r="201" spans="1:4">
      <c r="A201" s="296">
        <v>551</v>
      </c>
      <c r="B201" s="310" t="s">
        <v>444</v>
      </c>
      <c r="C201" s="301">
        <v>59.0220947265625</v>
      </c>
    </row>
    <row r="202" spans="1:4">
      <c r="A202" s="296">
        <v>552</v>
      </c>
      <c r="B202" s="310" t="s">
        <v>445</v>
      </c>
      <c r="C202" s="301">
        <v>0</v>
      </c>
    </row>
    <row r="203" spans="1:4">
      <c r="A203" s="296">
        <v>553</v>
      </c>
      <c r="B203" s="310" t="s">
        <v>446</v>
      </c>
      <c r="C203" s="301">
        <v>0</v>
      </c>
    </row>
    <row r="204" spans="1:4">
      <c r="A204" s="296">
        <v>554</v>
      </c>
      <c r="B204" s="310" t="s">
        <v>447</v>
      </c>
      <c r="C204" s="301">
        <v>0</v>
      </c>
    </row>
    <row r="205" spans="1:4">
      <c r="A205" s="296">
        <v>555</v>
      </c>
      <c r="B205" s="310" t="s">
        <v>448</v>
      </c>
      <c r="C205" s="301">
        <v>35.151832580566399</v>
      </c>
    </row>
    <row r="206" spans="1:4">
      <c r="A206" s="296">
        <v>556</v>
      </c>
      <c r="B206" s="310" t="s">
        <v>449</v>
      </c>
      <c r="C206" s="301">
        <v>0</v>
      </c>
    </row>
    <row r="207" spans="1:4">
      <c r="A207" s="296">
        <v>558</v>
      </c>
      <c r="B207" s="310" t="s">
        <v>450</v>
      </c>
      <c r="C207" s="301">
        <v>0</v>
      </c>
    </row>
    <row r="208" spans="1:4">
      <c r="A208" s="296"/>
      <c r="B208" s="310"/>
    </row>
    <row r="209" spans="1:4">
      <c r="A209" s="309">
        <v>560</v>
      </c>
      <c r="B209" s="309" t="s">
        <v>451</v>
      </c>
      <c r="D209" s="305">
        <f>SUM(C210:C213)</f>
        <v>41.583887100219698</v>
      </c>
    </row>
    <row r="210" spans="1:4">
      <c r="A210" s="296">
        <v>561</v>
      </c>
      <c r="B210" s="310" t="s">
        <v>452</v>
      </c>
      <c r="C210" s="301">
        <v>12.475166320800801</v>
      </c>
    </row>
    <row r="211" spans="1:4">
      <c r="A211" s="296">
        <v>562</v>
      </c>
      <c r="B211" s="310" t="s">
        <v>453</v>
      </c>
      <c r="C211" s="301">
        <v>29.108720779418899</v>
      </c>
    </row>
    <row r="212" spans="1:4">
      <c r="A212" s="296">
        <v>565</v>
      </c>
      <c r="B212" s="310" t="s">
        <v>454</v>
      </c>
      <c r="C212" s="301">
        <v>0</v>
      </c>
    </row>
    <row r="213" spans="1:4">
      <c r="A213" s="296">
        <v>568</v>
      </c>
      <c r="B213" s="310" t="s">
        <v>455</v>
      </c>
      <c r="C213" s="301"/>
    </row>
    <row r="214" spans="1:4">
      <c r="A214" s="296"/>
      <c r="B214" s="310"/>
    </row>
    <row r="215" spans="1:4">
      <c r="A215" s="309">
        <v>570</v>
      </c>
      <c r="B215" s="309" t="s">
        <v>456</v>
      </c>
      <c r="D215" s="305">
        <f>SUM(C216:C217)</f>
        <v>35.433614730835004</v>
      </c>
    </row>
    <row r="216" spans="1:4">
      <c r="A216" s="296">
        <v>571</v>
      </c>
      <c r="B216" s="310" t="s">
        <v>457</v>
      </c>
      <c r="C216" s="311">
        <v>18.7986946105957</v>
      </c>
    </row>
    <row r="217" spans="1:4">
      <c r="A217" s="296">
        <v>572</v>
      </c>
      <c r="B217" s="310" t="s">
        <v>458</v>
      </c>
      <c r="C217" s="311">
        <v>16.6349201202393</v>
      </c>
    </row>
    <row r="218" spans="1:4">
      <c r="A218" s="296"/>
      <c r="B218" s="310"/>
    </row>
    <row r="219" spans="1:4">
      <c r="A219" s="309">
        <v>580</v>
      </c>
      <c r="B219" s="309" t="s">
        <v>459</v>
      </c>
      <c r="D219" s="305">
        <f>SUM(C220:C224)</f>
        <v>104.2444019317627</v>
      </c>
    </row>
    <row r="220" spans="1:4">
      <c r="A220" s="296">
        <v>581</v>
      </c>
      <c r="B220" s="310" t="s">
        <v>460</v>
      </c>
      <c r="C220" s="301">
        <v>47.4334716796875</v>
      </c>
    </row>
    <row r="221" spans="1:4">
      <c r="A221" s="296">
        <v>582</v>
      </c>
      <c r="B221" s="310" t="s">
        <v>461</v>
      </c>
      <c r="C221" s="301">
        <v>13.4444274902344</v>
      </c>
    </row>
    <row r="222" spans="1:4">
      <c r="A222" s="296">
        <v>583</v>
      </c>
      <c r="B222" s="310" t="s">
        <v>462</v>
      </c>
      <c r="C222" s="301">
        <v>10.9851016998291</v>
      </c>
    </row>
    <row r="223" spans="1:4">
      <c r="A223" s="296">
        <v>586</v>
      </c>
      <c r="B223" s="310" t="s">
        <v>463</v>
      </c>
      <c r="C223" s="301">
        <v>0</v>
      </c>
    </row>
    <row r="224" spans="1:4">
      <c r="A224" s="296">
        <v>588</v>
      </c>
      <c r="B224" s="310" t="s">
        <v>464</v>
      </c>
      <c r="C224" s="301">
        <v>32.381401062011697</v>
      </c>
    </row>
    <row r="225" spans="1:4">
      <c r="A225" s="296"/>
      <c r="B225" s="310"/>
    </row>
    <row r="226" spans="1:4">
      <c r="A226" s="309">
        <v>590</v>
      </c>
      <c r="B226" s="309" t="s">
        <v>349</v>
      </c>
      <c r="D226" s="305">
        <f>SUM(C227:C229)</f>
        <v>67.130144596099839</v>
      </c>
    </row>
    <row r="227" spans="1:4">
      <c r="A227" s="296">
        <v>593</v>
      </c>
      <c r="B227" s="310" t="s">
        <v>465</v>
      </c>
      <c r="C227" s="301">
        <v>11.6587810516357</v>
      </c>
    </row>
    <row r="228" spans="1:4">
      <c r="A228" s="296">
        <v>598</v>
      </c>
      <c r="B228" s="310" t="s">
        <v>466</v>
      </c>
      <c r="C228" s="301">
        <v>48.010223388671903</v>
      </c>
    </row>
    <row r="229" spans="1:4">
      <c r="A229" s="296">
        <v>599</v>
      </c>
      <c r="B229" s="310" t="s">
        <v>467</v>
      </c>
      <c r="C229" s="301">
        <v>7.4611401557922399</v>
      </c>
    </row>
    <row r="230" spans="1:4">
      <c r="A230" s="296"/>
      <c r="B230" s="296"/>
    </row>
    <row r="231" spans="1:4">
      <c r="A231" s="309">
        <v>610</v>
      </c>
      <c r="B231" s="309" t="s">
        <v>468</v>
      </c>
      <c r="C231" s="311">
        <v>12.172390222549399</v>
      </c>
      <c r="D231" s="304">
        <f>C231</f>
        <v>12.172390222549399</v>
      </c>
    </row>
    <row r="232" spans="1:4">
      <c r="A232" s="309"/>
      <c r="B232" s="296"/>
    </row>
    <row r="233" spans="1:4">
      <c r="A233" s="309">
        <v>620</v>
      </c>
      <c r="B233" s="309" t="s">
        <v>469</v>
      </c>
      <c r="D233" s="304">
        <f>SUM(C234:C238)</f>
        <v>86.411943197250395</v>
      </c>
    </row>
    <row r="234" spans="1:4">
      <c r="A234" s="296">
        <v>621</v>
      </c>
      <c r="B234" s="310" t="s">
        <v>470</v>
      </c>
      <c r="C234" s="311">
        <v>29.465051651001001</v>
      </c>
    </row>
    <row r="235" spans="1:4">
      <c r="A235" s="296">
        <v>622</v>
      </c>
      <c r="B235" s="310" t="s">
        <v>471</v>
      </c>
      <c r="C235" s="311">
        <v>41.871227264404297</v>
      </c>
    </row>
    <row r="236" spans="1:4">
      <c r="A236" s="296">
        <v>623</v>
      </c>
      <c r="B236" s="310" t="s">
        <v>472</v>
      </c>
      <c r="C236" s="311">
        <v>7.28904485702515</v>
      </c>
    </row>
    <row r="237" spans="1:4">
      <c r="A237" s="296">
        <v>624</v>
      </c>
      <c r="B237" s="310" t="s">
        <v>473</v>
      </c>
      <c r="C237" s="311">
        <v>5.9536061286926296</v>
      </c>
    </row>
    <row r="238" spans="1:4">
      <c r="A238" s="296">
        <v>625</v>
      </c>
      <c r="B238" s="310" t="s">
        <v>474</v>
      </c>
      <c r="C238" s="311">
        <v>1.83301329612732</v>
      </c>
    </row>
    <row r="239" spans="1:4">
      <c r="A239" s="296"/>
      <c r="B239" s="310"/>
    </row>
    <row r="240" spans="1:4">
      <c r="A240" s="309">
        <v>630</v>
      </c>
      <c r="B240" s="309" t="s">
        <v>475</v>
      </c>
      <c r="D240" s="304">
        <f>SUM(C241:C245)</f>
        <v>175.0288751125336</v>
      </c>
    </row>
    <row r="241" spans="1:4">
      <c r="A241" s="296">
        <v>631</v>
      </c>
      <c r="B241" s="310" t="s">
        <v>476</v>
      </c>
      <c r="C241" s="311">
        <v>47.341022491455099</v>
      </c>
    </row>
    <row r="242" spans="1:4">
      <c r="A242" s="296">
        <v>633</v>
      </c>
      <c r="B242" s="310" t="s">
        <v>477</v>
      </c>
      <c r="C242" s="311">
        <v>2.6508929729461701</v>
      </c>
    </row>
    <row r="243" spans="1:4">
      <c r="A243" s="296">
        <v>634</v>
      </c>
      <c r="B243" s="310" t="s">
        <v>478</v>
      </c>
      <c r="C243" s="311">
        <v>34.899059295654297</v>
      </c>
    </row>
    <row r="244" spans="1:4">
      <c r="A244" s="296" t="s">
        <v>479</v>
      </c>
      <c r="B244" s="310" t="s">
        <v>480</v>
      </c>
      <c r="C244" s="311">
        <v>82.5</v>
      </c>
    </row>
    <row r="245" spans="1:4">
      <c r="A245" s="296">
        <v>638</v>
      </c>
      <c r="B245" s="310" t="s">
        <v>481</v>
      </c>
      <c r="C245" s="311">
        <v>7.63790035247803</v>
      </c>
    </row>
    <row r="246" spans="1:4">
      <c r="A246" s="296"/>
      <c r="B246" s="310"/>
    </row>
    <row r="247" spans="1:4">
      <c r="A247" s="309">
        <v>640</v>
      </c>
      <c r="B247" s="309" t="s">
        <v>482</v>
      </c>
      <c r="D247" s="304">
        <f>SUM(C248:C252)</f>
        <v>38.93970108032223</v>
      </c>
    </row>
    <row r="248" spans="1:4">
      <c r="A248" s="296">
        <v>641</v>
      </c>
      <c r="B248" s="310" t="s">
        <v>483</v>
      </c>
      <c r="C248" s="311">
        <v>8.1646633148193395</v>
      </c>
    </row>
    <row r="249" spans="1:4">
      <c r="A249" s="296">
        <v>642</v>
      </c>
      <c r="B249" s="310" t="s">
        <v>484</v>
      </c>
      <c r="C249" s="311">
        <v>3.6740982532501198</v>
      </c>
    </row>
    <row r="250" spans="1:4">
      <c r="A250" s="296">
        <v>643</v>
      </c>
      <c r="B250" s="310" t="s">
        <v>485</v>
      </c>
      <c r="C250" s="311">
        <v>22.724977493286101</v>
      </c>
    </row>
    <row r="251" spans="1:4">
      <c r="A251" s="296">
        <v>644</v>
      </c>
      <c r="B251" s="310" t="s">
        <v>486</v>
      </c>
      <c r="C251" s="311">
        <v>2.2930657863616899</v>
      </c>
    </row>
    <row r="252" spans="1:4">
      <c r="A252" s="296">
        <v>645</v>
      </c>
      <c r="B252" s="310" t="s">
        <v>487</v>
      </c>
      <c r="C252" s="311">
        <v>2.08289623260498</v>
      </c>
    </row>
    <row r="253" spans="1:4">
      <c r="A253" s="296"/>
      <c r="B253" s="310"/>
    </row>
    <row r="254" spans="1:4">
      <c r="A254" s="309">
        <v>650</v>
      </c>
      <c r="B254" s="309" t="s">
        <v>488</v>
      </c>
      <c r="D254" s="304">
        <f>SUM(C255:C260)</f>
        <v>16.067411124706268</v>
      </c>
    </row>
    <row r="255" spans="1:4">
      <c r="A255" s="296">
        <v>651</v>
      </c>
      <c r="B255" s="310" t="s">
        <v>489</v>
      </c>
      <c r="C255" s="311">
        <v>8.0817308425903303</v>
      </c>
    </row>
    <row r="256" spans="1:4">
      <c r="A256" s="296">
        <v>652</v>
      </c>
      <c r="B256" s="310" t="s">
        <v>490</v>
      </c>
      <c r="C256" s="311">
        <v>2.1665840148925799</v>
      </c>
    </row>
    <row r="257" spans="1:4">
      <c r="A257" s="296">
        <v>654</v>
      </c>
      <c r="B257" s="310" t="s">
        <v>491</v>
      </c>
      <c r="C257" s="311">
        <v>1.42292964458466</v>
      </c>
    </row>
    <row r="258" spans="1:4">
      <c r="A258" s="296">
        <v>655</v>
      </c>
      <c r="B258" s="310" t="s">
        <v>492</v>
      </c>
      <c r="C258" s="311">
        <v>3.66715288162231</v>
      </c>
    </row>
    <row r="259" spans="1:4">
      <c r="A259" s="296" t="s">
        <v>493</v>
      </c>
      <c r="B259" s="310" t="s">
        <v>494</v>
      </c>
      <c r="C259" s="311">
        <v>0.72901374101638805</v>
      </c>
    </row>
    <row r="260" spans="1:4">
      <c r="A260" s="296">
        <v>659</v>
      </c>
      <c r="B260" s="310" t="s">
        <v>495</v>
      </c>
      <c r="C260" s="311"/>
    </row>
    <row r="261" spans="1:4">
      <c r="A261" s="296"/>
      <c r="B261" s="310"/>
    </row>
    <row r="262" spans="1:4">
      <c r="A262" s="309">
        <v>660</v>
      </c>
      <c r="B262" s="309" t="s">
        <v>496</v>
      </c>
      <c r="D262" s="304">
        <f>SUM(C263:C267)</f>
        <v>49.96352136135102</v>
      </c>
    </row>
    <row r="263" spans="1:4">
      <c r="A263" s="296">
        <v>661</v>
      </c>
      <c r="B263" s="310" t="s">
        <v>497</v>
      </c>
      <c r="C263" s="311">
        <v>12.381323814392101</v>
      </c>
    </row>
    <row r="264" spans="1:4">
      <c r="A264" s="296">
        <v>662</v>
      </c>
      <c r="B264" s="310" t="s">
        <v>498</v>
      </c>
      <c r="C264" s="311">
        <v>1.1361845731735201</v>
      </c>
    </row>
    <row r="265" spans="1:4">
      <c r="A265" s="296">
        <v>663</v>
      </c>
      <c r="B265" s="310" t="s">
        <v>499</v>
      </c>
      <c r="C265" s="311">
        <v>7.6425461769104004</v>
      </c>
    </row>
    <row r="266" spans="1:4">
      <c r="A266" s="296">
        <v>664</v>
      </c>
      <c r="B266" s="310" t="s">
        <v>500</v>
      </c>
      <c r="C266" s="311">
        <v>12.119300842285201</v>
      </c>
    </row>
    <row r="267" spans="1:4">
      <c r="A267" s="296">
        <v>665</v>
      </c>
      <c r="B267" s="310" t="s">
        <v>501</v>
      </c>
      <c r="C267" s="311">
        <v>16.684165954589801</v>
      </c>
    </row>
    <row r="268" spans="1:4">
      <c r="A268" s="296"/>
      <c r="B268" s="310"/>
    </row>
    <row r="269" spans="1:4">
      <c r="A269" s="309">
        <v>670</v>
      </c>
      <c r="B269" s="309" t="s">
        <v>502</v>
      </c>
      <c r="D269" s="304">
        <f>SUM(C270:C271)</f>
        <v>23.89186716079714</v>
      </c>
    </row>
    <row r="270" spans="1:4">
      <c r="A270" s="296">
        <v>671</v>
      </c>
      <c r="B270" s="310" t="s">
        <v>503</v>
      </c>
      <c r="C270" s="311">
        <v>3.2397046089172399</v>
      </c>
    </row>
    <row r="271" spans="1:4">
      <c r="A271" s="296">
        <v>672</v>
      </c>
      <c r="B271" s="310" t="s">
        <v>504</v>
      </c>
      <c r="C271" s="311">
        <v>20.652162551879901</v>
      </c>
    </row>
    <row r="272" spans="1:4">
      <c r="A272" s="296"/>
      <c r="B272" s="310"/>
    </row>
    <row r="273" spans="1:4">
      <c r="A273" s="309">
        <v>690</v>
      </c>
      <c r="B273" s="309" t="s">
        <v>349</v>
      </c>
      <c r="D273" s="304">
        <f>SUM(C274:C275)</f>
        <v>4.2459605783224079</v>
      </c>
    </row>
    <row r="274" spans="1:4">
      <c r="A274" s="296">
        <v>698</v>
      </c>
      <c r="B274" s="310" t="s">
        <v>505</v>
      </c>
      <c r="C274" s="311">
        <v>0.22135339677333801</v>
      </c>
    </row>
    <row r="275" spans="1:4">
      <c r="A275" s="296">
        <v>699</v>
      </c>
      <c r="B275" s="310" t="s">
        <v>506</v>
      </c>
      <c r="C275" s="311">
        <v>4.0246071815490696</v>
      </c>
    </row>
    <row r="276" spans="1:4">
      <c r="A276" s="296"/>
      <c r="B276" s="296"/>
    </row>
    <row r="277" spans="1:4">
      <c r="A277" s="309">
        <v>710</v>
      </c>
      <c r="B277" s="309" t="s">
        <v>507</v>
      </c>
      <c r="C277" s="311">
        <v>23.7755012512207</v>
      </c>
    </row>
    <row r="278" spans="1:4">
      <c r="A278" s="309">
        <v>720</v>
      </c>
      <c r="B278" s="309" t="s">
        <v>508</v>
      </c>
      <c r="C278" s="311">
        <v>85.144750237464905</v>
      </c>
    </row>
    <row r="279" spans="1:4">
      <c r="A279" s="309">
        <v>750</v>
      </c>
      <c r="B279" s="309" t="s">
        <v>509</v>
      </c>
      <c r="C279" s="311">
        <v>5.63906002044678</v>
      </c>
    </row>
    <row r="280" spans="1:4">
      <c r="A280" s="309">
        <v>760</v>
      </c>
      <c r="B280" s="309" t="s">
        <v>510</v>
      </c>
      <c r="C280" s="311">
        <v>2.6426818370819101</v>
      </c>
    </row>
    <row r="281" spans="1:4">
      <c r="A281" s="309">
        <v>780</v>
      </c>
      <c r="B281" s="309" t="s">
        <v>511</v>
      </c>
      <c r="C281" s="311">
        <v>0</v>
      </c>
    </row>
    <row r="282" spans="1:4">
      <c r="A282" s="296">
        <v>792</v>
      </c>
      <c r="B282" s="310" t="s">
        <v>512</v>
      </c>
      <c r="C282" s="311">
        <v>0</v>
      </c>
      <c r="D282" s="308"/>
    </row>
    <row r="283" spans="1:4">
      <c r="A283" s="296">
        <v>798</v>
      </c>
      <c r="B283" s="310" t="s">
        <v>513</v>
      </c>
      <c r="C283" s="311">
        <v>1.3595430850982699</v>
      </c>
    </row>
    <row r="284" spans="1:4">
      <c r="A284" s="296">
        <v>799</v>
      </c>
      <c r="B284" s="310" t="s">
        <v>514</v>
      </c>
      <c r="C284" s="311">
        <v>6.2965149879455602</v>
      </c>
    </row>
    <row r="285" spans="1:4">
      <c r="A285" s="296"/>
      <c r="B285" s="296"/>
      <c r="C285" s="308"/>
    </row>
    <row r="286" spans="1:4">
      <c r="A286" s="315" t="s">
        <v>515</v>
      </c>
      <c r="B286" s="296"/>
      <c r="C286" s="308"/>
      <c r="D286" s="305">
        <f>D33+D41+D46+D51</f>
        <v>1309.1272821426394</v>
      </c>
    </row>
    <row r="287" spans="1:4">
      <c r="C287" s="308"/>
    </row>
    <row r="288" spans="1:4">
      <c r="C288" s="308"/>
    </row>
    <row r="289" spans="3:4">
      <c r="C289" s="308"/>
    </row>
    <row r="292" spans="3:4">
      <c r="D292" s="316"/>
    </row>
    <row r="293" spans="3:4">
      <c r="D293" s="316"/>
    </row>
    <row r="294" spans="3:4">
      <c r="D294" s="316"/>
    </row>
    <row r="295" spans="3:4">
      <c r="D295" s="316"/>
    </row>
    <row r="296" spans="3:4">
      <c r="D296" s="316"/>
    </row>
    <row r="297" spans="3:4">
      <c r="D297" s="316"/>
    </row>
    <row r="298" spans="3:4">
      <c r="C298" s="308"/>
      <c r="D298" s="316"/>
    </row>
    <row r="299" spans="3:4">
      <c r="C299" s="308"/>
    </row>
  </sheetData>
  <mergeCells count="3">
    <mergeCell ref="A1:B1"/>
    <mergeCell ref="A2:B2"/>
    <mergeCell ref="A3:B3"/>
  </mergeCells>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S13" sqref="S13"/>
    </sheetView>
  </sheetViews>
  <sheetFormatPr defaultColWidth="8.625" defaultRowHeight="15.75"/>
  <sheetData/>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P14" sqref="P14"/>
    </sheetView>
  </sheetViews>
  <sheetFormatPr defaultColWidth="8.625" defaultRowHeight="15.75"/>
  <sheetData/>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Q18" sqref="Q18"/>
    </sheetView>
  </sheetViews>
  <sheetFormatPr defaultColWidth="8.625" defaultRowHeight="15.75"/>
  <sheetData/>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tabSelected="1" zoomScale="109" zoomScaleNormal="109" workbookViewId="0">
      <selection activeCell="R20" sqref="R20"/>
    </sheetView>
  </sheetViews>
  <sheetFormatPr defaultColWidth="8.625" defaultRowHeight="15.75"/>
  <sheetData/>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R20" sqref="R20"/>
    </sheetView>
  </sheetViews>
  <sheetFormatPr defaultColWidth="8.625" defaultRowHeight="15.75"/>
  <sheetData/>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
  <sheetViews>
    <sheetView showGridLines="0" showRowColHeaders="0" zoomScale="109" zoomScaleNormal="109" workbookViewId="0">
      <selection activeCell="S20" sqref="S20"/>
    </sheetView>
  </sheetViews>
  <sheetFormatPr defaultColWidth="8.625" defaultRowHeight="15.75"/>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27</vt:i4>
      </vt:variant>
      <vt:variant>
        <vt:lpstr>Named Ranges</vt:lpstr>
      </vt:variant>
      <vt:variant>
        <vt:i4>3</vt:i4>
      </vt:variant>
    </vt:vector>
  </HeadingPairs>
  <TitlesOfParts>
    <vt:vector size="50" baseType="lpstr">
      <vt:lpstr>Sheet1</vt:lpstr>
      <vt:lpstr>Notes</vt:lpstr>
      <vt:lpstr>Inputs</vt:lpstr>
      <vt:lpstr>Loa-Lbp</vt:lpstr>
      <vt:lpstr>LDvsLB</vt:lpstr>
      <vt:lpstr>DtoB</vt:lpstr>
      <vt:lpstr>BtoL</vt:lpstr>
      <vt:lpstr>DtoL</vt:lpstr>
      <vt:lpstr>TtoL</vt:lpstr>
      <vt:lpstr>FLtoL</vt:lpstr>
      <vt:lpstr>FtoL</vt:lpstr>
      <vt:lpstr>DLR</vt:lpstr>
      <vt:lpstr>Cb</vt:lpstr>
      <vt:lpstr>Summary Data</vt:lpstr>
      <vt:lpstr>Comp Data</vt:lpstr>
      <vt:lpstr>New Ships</vt:lpstr>
      <vt:lpstr>Sheet3</vt:lpstr>
      <vt:lpstr>Comp Data (2)</vt:lpstr>
      <vt:lpstr>USCG</vt:lpstr>
      <vt:lpstr>Task 1 Converted AMI PDF Stats</vt:lpstr>
      <vt:lpstr>LB vs Displ </vt:lpstr>
      <vt:lpstr>LT vs Displ </vt:lpstr>
      <vt:lpstr>Comp vs Displ</vt:lpstr>
      <vt:lpstr>Fnv vs Displ</vt:lpstr>
      <vt:lpstr>Vm vs Displ</vt:lpstr>
      <vt:lpstr>T vs Displ</vt:lpstr>
      <vt:lpstr>B vs Displ</vt:lpstr>
      <vt:lpstr>L vs Displ</vt:lpstr>
      <vt:lpstr>Disp vs L</vt:lpstr>
      <vt:lpstr>Disp X Vm vs Fn2</vt:lpstr>
      <vt:lpstr>Disp X Vm vs Fnv2 </vt:lpstr>
      <vt:lpstr>Cdl vs Fnv</vt:lpstr>
      <vt:lpstr>Mf vs Fnv</vt:lpstr>
      <vt:lpstr>Ac vs Fnv</vt:lpstr>
      <vt:lpstr>Range vs Fnv</vt:lpstr>
      <vt:lpstr>Pwr vs Fnv</vt:lpstr>
      <vt:lpstr>LB vs Displ  (2)</vt:lpstr>
      <vt:lpstr>Range vs Pwr</vt:lpstr>
      <vt:lpstr>Range vs L</vt:lpstr>
      <vt:lpstr>Disp vs L (2)</vt:lpstr>
      <vt:lpstr>Pwr vs L</vt:lpstr>
      <vt:lpstr>LB vs L</vt:lpstr>
      <vt:lpstr>LT vs L</vt:lpstr>
      <vt:lpstr>Cdl vs Vm</vt:lpstr>
      <vt:lpstr>Mf vs Vm</vt:lpstr>
      <vt:lpstr>Ac vs Vm</vt:lpstr>
      <vt:lpstr>Pwr vs Vm</vt:lpstr>
      <vt:lpstr>USCG!Print_Area</vt:lpstr>
      <vt:lpstr>'Comp Data'!Print_Titles</vt:lpstr>
      <vt:lpstr>'Comp Data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PFJN</dc:creator>
  <cp:lastModifiedBy>Naughton, Patrick</cp:lastModifiedBy>
  <dcterms:created xsi:type="dcterms:W3CDTF">2019-07-25T16:42:00Z</dcterms:created>
  <dcterms:modified xsi:type="dcterms:W3CDTF">2020-02-06T14:33:19Z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1033-11.2.0.8991</vt:lpwstr>
  </property>
</Properties>
</file>