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naughton\Desktop\New folder (2)\"/>
    </mc:Choice>
  </mc:AlternateContent>
  <bookViews>
    <workbookView xWindow="0" yWindow="0" windowWidth="11500" windowHeight="5310" firstSheet="39" activeTab="46"/>
  </bookViews>
  <sheets>
    <sheet name="Hull vs Tot" sheetId="2" r:id="rId1"/>
    <sheet name="SS vs Tot" sheetId="64" r:id="rId2"/>
    <sheet name="SS vs Hull" sheetId="65" r:id="rId3"/>
    <sheet name="Hull vs LBD" sheetId="61" r:id="rId4"/>
    <sheet name="SS vs LBD" sheetId="66" r:id="rId5"/>
    <sheet name="Tot vs LBD" sheetId="67" r:id="rId6"/>
    <sheet name="Hull vs FLD" sheetId="68" r:id="rId7"/>
    <sheet name="SS vs FLD" sheetId="69" r:id="rId8"/>
    <sheet name="Tot vs FLD" sheetId="70" r:id="rId9"/>
    <sheet name="V1.0" sheetId="26" r:id="rId10"/>
    <sheet name="V1.1" sheetId="16" r:id="rId11"/>
    <sheet name="V1.2" sheetId="23" r:id="rId12"/>
    <sheet name="V1.3" sheetId="24" r:id="rId13"/>
    <sheet name="V1.6" sheetId="46" r:id="rId14"/>
    <sheet name="V1.6 (2)" sheetId="47" r:id="rId15"/>
    <sheet name="V2.0" sheetId="25" r:id="rId16"/>
    <sheet name="V2.0 (2)" sheetId="28" r:id="rId17"/>
    <sheet name="V2.1" sheetId="27" r:id="rId18"/>
    <sheet name="V2.1 (2)" sheetId="29" r:id="rId19"/>
    <sheet name="V2.11" sheetId="51" r:id="rId20"/>
    <sheet name="V2.111" sheetId="48" r:id="rId21"/>
    <sheet name="V2.112" sheetId="49" r:id="rId22"/>
    <sheet name="V2.113" sheetId="50" r:id="rId23"/>
    <sheet name="V2.12" sheetId="54" r:id="rId24"/>
    <sheet name="Eqns" sheetId="22" r:id="rId25"/>
    <sheet name="V2.121" sheetId="57" r:id="rId26"/>
    <sheet name="V2.122" sheetId="58" r:id="rId27"/>
    <sheet name="V2.123" sheetId="59" r:id="rId28"/>
    <sheet name="V2.13" sheetId="55" r:id="rId29"/>
    <sheet name="V2.2" sheetId="30" r:id="rId30"/>
    <sheet name="V2.2 (2)" sheetId="31" r:id="rId31"/>
    <sheet name="V2.3" sheetId="32" r:id="rId32"/>
    <sheet name="V2.3 (2)" sheetId="33" r:id="rId33"/>
    <sheet name="V2.4" sheetId="34" r:id="rId34"/>
    <sheet name="V2.4 (2)" sheetId="35" r:id="rId35"/>
    <sheet name="V3.0" sheetId="36" r:id="rId36"/>
    <sheet name="V3.1" sheetId="37" r:id="rId37"/>
    <sheet name="V3.2" sheetId="38" r:id="rId38"/>
    <sheet name="V3.3" sheetId="39" r:id="rId39"/>
    <sheet name="V3.4" sheetId="40" r:id="rId40"/>
    <sheet name="V3.5" sheetId="41" r:id="rId41"/>
    <sheet name="V3.6" sheetId="42" r:id="rId42"/>
    <sheet name="V3.7" sheetId="43" r:id="rId43"/>
    <sheet name="V3.7 (2)" sheetId="56" r:id="rId44"/>
    <sheet name="V3.8" sheetId="44" r:id="rId45"/>
    <sheet name="V3.8 (2)" sheetId="45" r:id="rId46"/>
    <sheet name="Ship Data" sheetId="1" r:id="rId47"/>
    <sheet name="Raw Data" sheetId="53" r:id="rId48"/>
  </sheets>
  <calcPr calcId="162913"/>
</workbook>
</file>

<file path=xl/calcChain.xml><?xml version="1.0" encoding="utf-8"?>
<calcChain xmlns="http://schemas.openxmlformats.org/spreadsheetml/2006/main">
  <c r="BC30" i="1" l="1"/>
  <c r="BB30" i="1"/>
  <c r="BA30" i="1"/>
  <c r="AZ30" i="1" s="1"/>
  <c r="AY30" i="1"/>
  <c r="AX30" i="1"/>
  <c r="AW30" i="1"/>
  <c r="AV30" i="1"/>
  <c r="AU30" i="1"/>
  <c r="AQ30" i="1" s="1"/>
  <c r="AT30" i="1"/>
  <c r="AS30" i="1"/>
  <c r="AR30" i="1"/>
  <c r="AP30" i="1"/>
  <c r="AO30" i="1"/>
  <c r="AN30" i="1"/>
  <c r="AL30" i="1"/>
  <c r="AK30" i="1"/>
  <c r="AJ30" i="1" s="1"/>
  <c r="AI30" i="1"/>
  <c r="AD30" i="1"/>
  <c r="AB30" i="1"/>
  <c r="AA30" i="1"/>
  <c r="Z30" i="1"/>
  <c r="Y30" i="1"/>
  <c r="X30" i="1"/>
  <c r="W30" i="1" s="1"/>
  <c r="V30" i="1"/>
  <c r="I30" i="1"/>
  <c r="AJ29" i="1" l="1"/>
  <c r="I32" i="1"/>
  <c r="W32" i="1"/>
  <c r="V32" i="1"/>
  <c r="X32" i="1"/>
  <c r="I31" i="1"/>
  <c r="X31" i="1" l="1"/>
  <c r="V31" i="1"/>
  <c r="W31" i="1" s="1"/>
  <c r="Y29" i="1" l="1"/>
  <c r="I29" i="1" l="1"/>
  <c r="X21" i="1" l="1"/>
  <c r="W22" i="1"/>
  <c r="X22" i="1"/>
  <c r="W23" i="1"/>
  <c r="X23" i="1"/>
  <c r="W24" i="1"/>
  <c r="X24" i="1"/>
  <c r="W25" i="1"/>
  <c r="X25" i="1"/>
  <c r="W26" i="1"/>
  <c r="X26" i="1"/>
  <c r="W27" i="1"/>
  <c r="X27" i="1"/>
  <c r="W21" i="1"/>
  <c r="AM21" i="1" l="1"/>
  <c r="AJ21" i="1" s="1"/>
  <c r="AL22" i="1"/>
  <c r="AM22" i="1"/>
  <c r="AL23" i="1"/>
  <c r="AM23" i="1"/>
  <c r="AL24" i="1"/>
  <c r="AM24" i="1"/>
  <c r="AN24" i="1"/>
  <c r="AL25" i="1"/>
  <c r="AM25" i="1"/>
  <c r="AL26" i="1"/>
  <c r="AM26" i="1"/>
  <c r="AN26" i="1"/>
  <c r="AL27" i="1"/>
  <c r="AM27" i="1"/>
  <c r="AK27" i="1"/>
  <c r="AK26" i="1"/>
  <c r="AK25" i="1"/>
  <c r="AK24" i="1"/>
  <c r="AK23" i="1"/>
  <c r="AK22" i="1"/>
  <c r="AJ25" i="1" l="1"/>
  <c r="AJ26" i="1"/>
  <c r="AJ24" i="1"/>
  <c r="AJ23" i="1"/>
  <c r="AJ27" i="1"/>
  <c r="AJ22" i="1"/>
  <c r="I7" i="1"/>
  <c r="U7" i="1"/>
  <c r="Y7" i="1"/>
  <c r="AQ7" i="1"/>
  <c r="BF7" i="1"/>
  <c r="I8" i="1"/>
  <c r="U8" i="1"/>
  <c r="Y8" i="1"/>
  <c r="AQ8" i="1"/>
  <c r="BF8" i="1"/>
  <c r="I9" i="1"/>
  <c r="U9" i="1"/>
  <c r="Y9" i="1"/>
  <c r="AQ9" i="1"/>
  <c r="BF9" i="1"/>
  <c r="I10" i="1"/>
  <c r="U10" i="1"/>
  <c r="Y10" i="1"/>
  <c r="AQ10" i="1"/>
  <c r="BF10" i="1"/>
  <c r="I11" i="1"/>
  <c r="U11" i="1"/>
  <c r="Y11" i="1"/>
  <c r="AQ11" i="1"/>
  <c r="BF11" i="1"/>
  <c r="I12" i="1"/>
  <c r="U12" i="1"/>
  <c r="Y12" i="1"/>
  <c r="AQ12" i="1"/>
  <c r="BF12" i="1"/>
  <c r="I199" i="53"/>
  <c r="I198" i="53"/>
  <c r="I197" i="53"/>
  <c r="I196" i="53"/>
  <c r="I195" i="53"/>
  <c r="I194" i="53"/>
  <c r="I193" i="53"/>
  <c r="I192" i="53"/>
  <c r="AS188" i="53"/>
  <c r="AU188" i="53" s="1"/>
  <c r="AQ188" i="53"/>
  <c r="AP188" i="53"/>
  <c r="AR188" i="53" s="1"/>
  <c r="AT188" i="53" s="1"/>
  <c r="AV188" i="53" s="1"/>
  <c r="N188" i="53"/>
  <c r="G188" i="53"/>
  <c r="AT187" i="53"/>
  <c r="AV187" i="53" s="1"/>
  <c r="AR187" i="53"/>
  <c r="AQ187" i="53"/>
  <c r="AS187" i="53" s="1"/>
  <c r="AU187" i="53" s="1"/>
  <c r="AP187" i="53"/>
  <c r="AC187" i="53"/>
  <c r="U187" i="53"/>
  <c r="G187" i="53"/>
  <c r="AV186" i="53"/>
  <c r="AT186" i="53"/>
  <c r="AS186" i="53"/>
  <c r="AU186" i="53" s="1"/>
  <c r="AR186" i="53"/>
  <c r="AQ186" i="53"/>
  <c r="AP186" i="53"/>
  <c r="AC186" i="53"/>
  <c r="U186" i="53"/>
  <c r="N186" i="53"/>
  <c r="G186" i="53"/>
  <c r="AV185" i="53"/>
  <c r="AT185" i="53"/>
  <c r="AR185" i="53"/>
  <c r="AQ185" i="53"/>
  <c r="AS185" i="53" s="1"/>
  <c r="AU185" i="53" s="1"/>
  <c r="AP185" i="53"/>
  <c r="AC185" i="53"/>
  <c r="U185" i="53"/>
  <c r="N185" i="53"/>
  <c r="G185" i="53"/>
  <c r="AT184" i="53"/>
  <c r="AV184" i="53" s="1"/>
  <c r="AR184" i="53"/>
  <c r="AQ184" i="53"/>
  <c r="AS184" i="53" s="1"/>
  <c r="AU184" i="53" s="1"/>
  <c r="AP184" i="53"/>
  <c r="AC184" i="53"/>
  <c r="U184" i="53"/>
  <c r="G184" i="53"/>
  <c r="AS183" i="53"/>
  <c r="AU183" i="53" s="1"/>
  <c r="AQ183" i="53"/>
  <c r="AP183" i="53"/>
  <c r="AR183" i="53" s="1"/>
  <c r="AT183" i="53" s="1"/>
  <c r="AV183" i="53" s="1"/>
  <c r="AC183" i="53"/>
  <c r="U183" i="53"/>
  <c r="N183" i="53"/>
  <c r="G183" i="53"/>
  <c r="AV182" i="53"/>
  <c r="AT182" i="53"/>
  <c r="AR182" i="53"/>
  <c r="AQ182" i="53"/>
  <c r="AS182" i="53" s="1"/>
  <c r="AU182" i="53" s="1"/>
  <c r="AP182" i="53"/>
  <c r="U182" i="53"/>
  <c r="N182" i="53"/>
  <c r="G182" i="53"/>
  <c r="AS181" i="53"/>
  <c r="AU181" i="53" s="1"/>
  <c r="AQ181" i="53"/>
  <c r="AP181" i="53"/>
  <c r="AR181" i="53" s="1"/>
  <c r="AT181" i="53" s="1"/>
  <c r="AV181" i="53" s="1"/>
  <c r="AC181" i="53"/>
  <c r="U181" i="53"/>
  <c r="N181" i="53"/>
  <c r="G181" i="53"/>
  <c r="AS180" i="53"/>
  <c r="AU180" i="53" s="1"/>
  <c r="AQ180" i="53"/>
  <c r="AP180" i="53"/>
  <c r="AR180" i="53" s="1"/>
  <c r="AT180" i="53" s="1"/>
  <c r="AV180" i="53" s="1"/>
  <c r="AU179" i="53"/>
  <c r="AS179" i="53"/>
  <c r="AR179" i="53"/>
  <c r="AT179" i="53" s="1"/>
  <c r="AV179" i="53" s="1"/>
  <c r="AQ179" i="53"/>
  <c r="AP179" i="53"/>
  <c r="AH174" i="53"/>
  <c r="AG174" i="53"/>
  <c r="AF174" i="53"/>
  <c r="AE174" i="53"/>
  <c r="AD174" i="53"/>
  <c r="AC174" i="53"/>
  <c r="AB174" i="53"/>
  <c r="U174" i="53"/>
  <c r="T174" i="53"/>
  <c r="S174" i="53"/>
  <c r="R174" i="53"/>
  <c r="AH173" i="53"/>
  <c r="AG173" i="53"/>
  <c r="AF173" i="53"/>
  <c r="AE173" i="53"/>
  <c r="AD173" i="53"/>
  <c r="AC173" i="53"/>
  <c r="AB173" i="53"/>
  <c r="U173" i="53"/>
  <c r="T173" i="53"/>
  <c r="S173" i="53"/>
  <c r="R173" i="53"/>
  <c r="AH172" i="53"/>
  <c r="AG172" i="53"/>
  <c r="AF172" i="53"/>
  <c r="AE172" i="53"/>
  <c r="AD172" i="53"/>
  <c r="AC172" i="53"/>
  <c r="AB172" i="53"/>
  <c r="U172" i="53"/>
  <c r="T172" i="53"/>
  <c r="S172" i="53"/>
  <c r="R172" i="53"/>
  <c r="AH171" i="53"/>
  <c r="AG171" i="53"/>
  <c r="AF171" i="53"/>
  <c r="AE171" i="53"/>
  <c r="AD171" i="53"/>
  <c r="AC171" i="53"/>
  <c r="AB171" i="53"/>
  <c r="U171" i="53"/>
  <c r="T171" i="53"/>
  <c r="S171" i="53"/>
  <c r="R171" i="53"/>
  <c r="AH170" i="53"/>
  <c r="AG170" i="53"/>
  <c r="AF170" i="53"/>
  <c r="AE170" i="53"/>
  <c r="AD170" i="53"/>
  <c r="AC170" i="53"/>
  <c r="AB170" i="53"/>
  <c r="U170" i="53"/>
  <c r="T170" i="53"/>
  <c r="S170" i="53"/>
  <c r="R170" i="53"/>
  <c r="AH169" i="53"/>
  <c r="AG169" i="53"/>
  <c r="AF169" i="53"/>
  <c r="AE169" i="53"/>
  <c r="AD169" i="53"/>
  <c r="AC169" i="53"/>
  <c r="AB169" i="53"/>
  <c r="U169" i="53"/>
  <c r="T169" i="53"/>
  <c r="S169" i="53"/>
  <c r="R169" i="53"/>
  <c r="AH168" i="53"/>
  <c r="AG168" i="53"/>
  <c r="AF168" i="53"/>
  <c r="AE168" i="53"/>
  <c r="AD168" i="53"/>
  <c r="AC168" i="53"/>
  <c r="AB168" i="53"/>
  <c r="U168" i="53"/>
  <c r="T168" i="53"/>
  <c r="S168" i="53"/>
  <c r="R168" i="53"/>
  <c r="AH167" i="53"/>
  <c r="AG167" i="53"/>
  <c r="AF167" i="53"/>
  <c r="AE167" i="53"/>
  <c r="AD167" i="53"/>
  <c r="AC167" i="53"/>
  <c r="AB167" i="53"/>
  <c r="U167" i="53"/>
  <c r="T167" i="53"/>
  <c r="S167" i="53"/>
  <c r="R167" i="53"/>
  <c r="BQ140" i="53"/>
  <c r="BQ139" i="53"/>
  <c r="BQ138" i="53"/>
  <c r="BQ137" i="53"/>
  <c r="L137" i="53"/>
  <c r="DW132" i="53"/>
  <c r="DP132" i="53"/>
  <c r="DI132" i="53"/>
  <c r="DB132" i="53"/>
  <c r="CU132" i="53"/>
  <c r="CN132" i="53"/>
  <c r="AV132" i="53"/>
  <c r="AU132" i="53"/>
  <c r="AT132" i="53"/>
  <c r="W127" i="53"/>
  <c r="V127" i="53"/>
  <c r="I127" i="53"/>
  <c r="X127" i="53" s="1"/>
  <c r="X126" i="53"/>
  <c r="W126" i="53"/>
  <c r="V126" i="53"/>
  <c r="I126" i="53"/>
  <c r="W125" i="53"/>
  <c r="V125" i="53"/>
  <c r="I125" i="53"/>
  <c r="X125" i="53" s="1"/>
  <c r="X124" i="53"/>
  <c r="W124" i="53"/>
  <c r="V124" i="53"/>
  <c r="I124" i="53"/>
  <c r="W123" i="53"/>
  <c r="V123" i="53"/>
  <c r="I123" i="53"/>
  <c r="X123" i="53" s="1"/>
  <c r="X122" i="53"/>
  <c r="W122" i="53"/>
  <c r="V122" i="53"/>
  <c r="I122" i="53"/>
  <c r="Y121" i="53"/>
  <c r="W121" i="53"/>
  <c r="V121" i="53"/>
  <c r="W120" i="53"/>
  <c r="L120" i="53"/>
  <c r="I120" i="53"/>
  <c r="Z119" i="53"/>
  <c r="Y119" i="53"/>
  <c r="X119" i="53"/>
  <c r="W119" i="53"/>
  <c r="V119" i="53"/>
  <c r="AF114" i="53"/>
  <c r="AE114" i="53"/>
  <c r="AD114" i="53"/>
  <c r="AA114" i="53"/>
  <c r="X114" i="53"/>
  <c r="W114" i="53"/>
  <c r="AP114" i="53" s="1"/>
  <c r="V114" i="53"/>
  <c r="S114" i="53"/>
  <c r="R114" i="53"/>
  <c r="Q114" i="53"/>
  <c r="P114" i="53"/>
  <c r="AP113" i="53"/>
  <c r="AE113" i="53"/>
  <c r="AD113" i="53" s="1"/>
  <c r="AA113" i="53"/>
  <c r="X113" i="53"/>
  <c r="W113" i="53"/>
  <c r="V113" i="53"/>
  <c r="S113" i="53"/>
  <c r="R113" i="53"/>
  <c r="Q113" i="53"/>
  <c r="P113" i="53"/>
  <c r="AF112" i="53"/>
  <c r="AE112" i="53"/>
  <c r="AD112" i="53"/>
  <c r="AA112" i="53"/>
  <c r="X112" i="53"/>
  <c r="W112" i="53"/>
  <c r="AP112" i="53" s="1"/>
  <c r="V112" i="53"/>
  <c r="S112" i="53"/>
  <c r="R112" i="53"/>
  <c r="Q112" i="53"/>
  <c r="P112" i="53"/>
  <c r="AG109" i="53"/>
  <c r="AE109" i="53"/>
  <c r="X109" i="53"/>
  <c r="AF109" i="53" s="1"/>
  <c r="AE108" i="53"/>
  <c r="AF108" i="53" s="1"/>
  <c r="X108" i="53"/>
  <c r="L107" i="53"/>
  <c r="L106" i="53"/>
  <c r="L105" i="53"/>
  <c r="AF104" i="53"/>
  <c r="AE104" i="53"/>
  <c r="X104" i="53"/>
  <c r="AX103" i="53"/>
  <c r="AG103" i="53"/>
  <c r="AE103" i="53"/>
  <c r="AF103" i="53" s="1"/>
  <c r="L103" i="53" s="1"/>
  <c r="X103" i="53"/>
  <c r="S78" i="53"/>
  <c r="R78" i="53"/>
  <c r="S77" i="53"/>
  <c r="R77" i="53"/>
  <c r="R76" i="53"/>
  <c r="S76" i="53" s="1"/>
  <c r="R75" i="53"/>
  <c r="S75" i="53" s="1"/>
  <c r="S74" i="53"/>
  <c r="R74" i="53"/>
  <c r="S73" i="53"/>
  <c r="R73" i="53"/>
  <c r="R72" i="53"/>
  <c r="S72" i="53" s="1"/>
  <c r="R71" i="53"/>
  <c r="S71" i="53" s="1"/>
  <c r="S70" i="53"/>
  <c r="R70" i="53"/>
  <c r="S69" i="53"/>
  <c r="R69" i="53"/>
  <c r="R68" i="53"/>
  <c r="S68" i="53" s="1"/>
  <c r="R67" i="53"/>
  <c r="S67" i="53" s="1"/>
  <c r="L62" i="53"/>
  <c r="L61" i="53"/>
  <c r="L60" i="53"/>
  <c r="L59" i="53"/>
  <c r="L58" i="53"/>
  <c r="L57" i="53"/>
  <c r="L56" i="53"/>
  <c r="L55" i="53"/>
  <c r="L54" i="53"/>
  <c r="O49" i="53"/>
  <c r="O48" i="53"/>
  <c r="O47" i="53"/>
  <c r="O46" i="53"/>
  <c r="O45" i="53"/>
  <c r="O44" i="53"/>
  <c r="O43" i="53"/>
  <c r="O42" i="53"/>
  <c r="O41" i="53"/>
  <c r="O40" i="53"/>
  <c r="O39" i="53"/>
  <c r="S4" i="53"/>
  <c r="O4" i="53"/>
  <c r="N4" i="53"/>
  <c r="M4" i="53"/>
  <c r="L4" i="53"/>
  <c r="K4" i="53"/>
  <c r="S3" i="53"/>
  <c r="N3" i="53"/>
  <c r="M3" i="53"/>
  <c r="L3" i="53"/>
  <c r="K3" i="53"/>
  <c r="O3" i="53" s="1"/>
  <c r="AX27" i="1"/>
  <c r="AY27" i="1"/>
  <c r="AW27" i="1"/>
  <c r="AV27" i="1"/>
  <c r="BC27" i="1"/>
  <c r="BA27" i="1"/>
  <c r="AR27" i="1"/>
  <c r="AH27" i="1"/>
  <c r="AG27" i="1"/>
  <c r="AD27" i="1"/>
  <c r="AB27" i="1"/>
  <c r="AA27" i="1"/>
  <c r="Z27" i="1"/>
  <c r="I27" i="1"/>
  <c r="BD26" i="1"/>
  <c r="AX26" i="1"/>
  <c r="AY26" i="1"/>
  <c r="AW26" i="1"/>
  <c r="AV26" i="1"/>
  <c r="BC26" i="1"/>
  <c r="BA26" i="1"/>
  <c r="AR26" i="1"/>
  <c r="AG26" i="1"/>
  <c r="AB26" i="1"/>
  <c r="AA26" i="1"/>
  <c r="Z26" i="1"/>
  <c r="I26" i="1"/>
  <c r="AX25" i="1"/>
  <c r="AY25" i="1"/>
  <c r="AW25" i="1"/>
  <c r="AV25" i="1"/>
  <c r="BC25" i="1"/>
  <c r="BA25" i="1"/>
  <c r="AR25" i="1"/>
  <c r="AB25" i="1"/>
  <c r="AA25" i="1"/>
  <c r="Z25" i="1"/>
  <c r="I25" i="1"/>
  <c r="AX24" i="1"/>
  <c r="AY24" i="1"/>
  <c r="AW24" i="1"/>
  <c r="BC24" i="1"/>
  <c r="BA24" i="1"/>
  <c r="AR24" i="1"/>
  <c r="AA24" i="1"/>
  <c r="Z24" i="1"/>
  <c r="I24" i="1"/>
  <c r="AX23" i="1"/>
  <c r="AY23" i="1"/>
  <c r="AW23" i="1"/>
  <c r="BC23" i="1"/>
  <c r="BA23" i="1"/>
  <c r="AR23" i="1"/>
  <c r="AA23" i="1"/>
  <c r="Z23" i="1"/>
  <c r="I23" i="1"/>
  <c r="AX22" i="1"/>
  <c r="AY22" i="1"/>
  <c r="AW22" i="1"/>
  <c r="BC22" i="1"/>
  <c r="BA22" i="1"/>
  <c r="AR22" i="1"/>
  <c r="AA22" i="1"/>
  <c r="Z22" i="1"/>
  <c r="Y22" i="1" s="1"/>
  <c r="I22" i="1"/>
  <c r="AY21" i="1"/>
  <c r="AW21" i="1"/>
  <c r="BC21" i="1"/>
  <c r="BA21" i="1"/>
  <c r="AR21" i="1"/>
  <c r="AG21" i="1"/>
  <c r="Y21" i="1" s="1"/>
  <c r="I21" i="1"/>
  <c r="AQ19" i="1"/>
  <c r="V19" i="1" s="1"/>
  <c r="BF19" i="1" s="1"/>
  <c r="Y19" i="1"/>
  <c r="AQ18" i="1"/>
  <c r="V18" i="1" s="1"/>
  <c r="BF18" i="1" s="1"/>
  <c r="Y18" i="1"/>
  <c r="H18" i="1"/>
  <c r="F18" i="1"/>
  <c r="AQ17" i="1"/>
  <c r="V17" i="1" s="1"/>
  <c r="BF17" i="1" s="1"/>
  <c r="Y17" i="1"/>
  <c r="AQ16" i="1"/>
  <c r="V16" i="1" s="1"/>
  <c r="BF16" i="1" s="1"/>
  <c r="Y16" i="1"/>
  <c r="K16" i="1"/>
  <c r="I16" i="1"/>
  <c r="AQ15" i="1"/>
  <c r="V15" i="1" s="1"/>
  <c r="BF15" i="1" s="1"/>
  <c r="Y15" i="1"/>
  <c r="AQ14" i="1"/>
  <c r="V14" i="1" s="1"/>
  <c r="BF14" i="1" s="1"/>
  <c r="Y14" i="1"/>
  <c r="I14" i="1"/>
  <c r="U93" i="22"/>
  <c r="V92" i="22"/>
  <c r="L80" i="22"/>
  <c r="AF57" i="22"/>
  <c r="AE57" i="22"/>
  <c r="AE46" i="22" s="1"/>
  <c r="AD57" i="22"/>
  <c r="AC57" i="22"/>
  <c r="AB57" i="22"/>
  <c r="AB47" i="22" s="1"/>
  <c r="AA57" i="22"/>
  <c r="Z57" i="22"/>
  <c r="Y57" i="22"/>
  <c r="X57" i="22"/>
  <c r="W57" i="22"/>
  <c r="W46" i="22" s="1"/>
  <c r="V57" i="22"/>
  <c r="U57" i="22"/>
  <c r="T57" i="22"/>
  <c r="T47" i="22" s="1"/>
  <c r="AF56" i="22"/>
  <c r="AE56" i="22"/>
  <c r="AD56" i="22"/>
  <c r="AC56" i="22"/>
  <c r="AB56" i="22"/>
  <c r="AA56" i="22"/>
  <c r="Z56" i="22"/>
  <c r="Y56" i="22"/>
  <c r="Y46" i="22" s="1"/>
  <c r="X56" i="22"/>
  <c r="W56" i="22"/>
  <c r="V56" i="22"/>
  <c r="U56" i="22"/>
  <c r="T56" i="22"/>
  <c r="AF54" i="22"/>
  <c r="AE54" i="22"/>
  <c r="AD54" i="22"/>
  <c r="AD49" i="22" s="1"/>
  <c r="AC54" i="22"/>
  <c r="AB54" i="22"/>
  <c r="AA54" i="22"/>
  <c r="AA49" i="22" s="1"/>
  <c r="Z54" i="22"/>
  <c r="Y54" i="22"/>
  <c r="Y49" i="22" s="1"/>
  <c r="X54" i="22"/>
  <c r="W54" i="22"/>
  <c r="V54" i="22"/>
  <c r="V49" i="22" s="1"/>
  <c r="U54" i="22"/>
  <c r="U49" i="22" s="1"/>
  <c r="T54" i="22"/>
  <c r="AF53" i="22"/>
  <c r="AF48" i="22" s="1"/>
  <c r="AE53" i="22"/>
  <c r="AD53" i="22"/>
  <c r="AD48" i="22" s="1"/>
  <c r="AC53" i="22"/>
  <c r="AB53" i="22"/>
  <c r="AA53" i="22"/>
  <c r="AA48" i="22" s="1"/>
  <c r="Z53" i="22"/>
  <c r="Z48" i="22" s="1"/>
  <c r="Y53" i="22"/>
  <c r="X53" i="22"/>
  <c r="X48" i="22" s="1"/>
  <c r="W53" i="22"/>
  <c r="V53" i="22"/>
  <c r="V48" i="22" s="1"/>
  <c r="U53" i="22"/>
  <c r="T53" i="22"/>
  <c r="AF52" i="22"/>
  <c r="AF47" i="22" s="1"/>
  <c r="AE52" i="22"/>
  <c r="AE47" i="22" s="1"/>
  <c r="AD52" i="22"/>
  <c r="AC52" i="22"/>
  <c r="AC47" i="22" s="1"/>
  <c r="AB52" i="22"/>
  <c r="AA52" i="22"/>
  <c r="AA47" i="22" s="1"/>
  <c r="Z52" i="22"/>
  <c r="Y52" i="22"/>
  <c r="X52" i="22"/>
  <c r="X47" i="22" s="1"/>
  <c r="W52" i="22"/>
  <c r="W47" i="22" s="1"/>
  <c r="V52" i="22"/>
  <c r="U52" i="22"/>
  <c r="U47" i="22" s="1"/>
  <c r="T52" i="22"/>
  <c r="AF51" i="22"/>
  <c r="AF46" i="22" s="1"/>
  <c r="AE51" i="22"/>
  <c r="AD51" i="22"/>
  <c r="AC51" i="22"/>
  <c r="AC46" i="22" s="1"/>
  <c r="AB51" i="22"/>
  <c r="AB46" i="22" s="1"/>
  <c r="AA51" i="22"/>
  <c r="Z51" i="22"/>
  <c r="Z46" i="22" s="1"/>
  <c r="Y51" i="22"/>
  <c r="X51" i="22"/>
  <c r="X46" i="22" s="1"/>
  <c r="W51" i="22"/>
  <c r="V51" i="22"/>
  <c r="U51" i="22"/>
  <c r="U46" i="22" s="1"/>
  <c r="T51" i="22"/>
  <c r="T46" i="22" s="1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AF49" i="22"/>
  <c r="AE49" i="22"/>
  <c r="AC49" i="22"/>
  <c r="Z49" i="22"/>
  <c r="X49" i="22"/>
  <c r="W49" i="22"/>
  <c r="AE48" i="22"/>
  <c r="AC48" i="22"/>
  <c r="AB48" i="22"/>
  <c r="W48" i="22"/>
  <c r="U48" i="22"/>
  <c r="T48" i="22"/>
  <c r="AD47" i="22"/>
  <c r="Z47" i="22"/>
  <c r="Y47" i="22"/>
  <c r="V47" i="22"/>
  <c r="AD46" i="22"/>
  <c r="AA46" i="22"/>
  <c r="V46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AF42" i="22"/>
  <c r="AE42" i="22"/>
  <c r="AD42" i="22"/>
  <c r="AC42" i="22"/>
  <c r="AB42" i="22"/>
  <c r="AA42" i="22"/>
  <c r="AA39" i="22" s="1"/>
  <c r="Z42" i="22"/>
  <c r="Y42" i="22"/>
  <c r="X42" i="22"/>
  <c r="W42" i="22"/>
  <c r="V42" i="22"/>
  <c r="U42" i="22"/>
  <c r="T42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AF40" i="22"/>
  <c r="AF39" i="22" s="1"/>
  <c r="AE40" i="22"/>
  <c r="AE39" i="22" s="1"/>
  <c r="AD40" i="22"/>
  <c r="AD39" i="22" s="1"/>
  <c r="AC40" i="22"/>
  <c r="AC39" i="22" s="1"/>
  <c r="AB40" i="22"/>
  <c r="AA40" i="22"/>
  <c r="Z40" i="22"/>
  <c r="Z39" i="22" s="1"/>
  <c r="Y40" i="22"/>
  <c r="X40" i="22"/>
  <c r="X39" i="22" s="1"/>
  <c r="W40" i="22"/>
  <c r="W39" i="22" s="1"/>
  <c r="V40" i="22"/>
  <c r="V39" i="22" s="1"/>
  <c r="U40" i="22"/>
  <c r="U39" i="22" s="1"/>
  <c r="T40" i="22"/>
  <c r="AB39" i="22"/>
  <c r="Y39" i="22"/>
  <c r="T39" i="22"/>
  <c r="AD38" i="22"/>
  <c r="AC38" i="22"/>
  <c r="AB38" i="22"/>
  <c r="AA38" i="22"/>
  <c r="Z38" i="22"/>
  <c r="Y38" i="22"/>
  <c r="X38" i="22"/>
  <c r="W38" i="22"/>
  <c r="V38" i="22"/>
  <c r="U38" i="22"/>
  <c r="T38" i="22"/>
  <c r="AD37" i="22"/>
  <c r="AC37" i="22"/>
  <c r="AB37" i="22"/>
  <c r="AA37" i="22"/>
  <c r="Z37" i="22"/>
  <c r="Y37" i="22"/>
  <c r="Y35" i="22" s="1"/>
  <c r="X37" i="22"/>
  <c r="W37" i="22"/>
  <c r="W35" i="22" s="1"/>
  <c r="V37" i="22"/>
  <c r="U37" i="22"/>
  <c r="T37" i="22"/>
  <c r="AD36" i="22"/>
  <c r="AC36" i="22"/>
  <c r="AC35" i="22" s="1"/>
  <c r="AB36" i="22"/>
  <c r="AB35" i="22" s="1"/>
  <c r="AA36" i="22"/>
  <c r="Z36" i="22"/>
  <c r="Z35" i="22" s="1"/>
  <c r="Y36" i="22"/>
  <c r="X36" i="22"/>
  <c r="W36" i="22"/>
  <c r="V36" i="22"/>
  <c r="U36" i="22"/>
  <c r="U35" i="22" s="1"/>
  <c r="T36" i="22"/>
  <c r="T35" i="22" s="1"/>
  <c r="AD35" i="22"/>
  <c r="AA35" i="22"/>
  <c r="X35" i="22"/>
  <c r="V35" i="22"/>
  <c r="AC34" i="22"/>
  <c r="AB34" i="22"/>
  <c r="AA34" i="22"/>
  <c r="Z34" i="22"/>
  <c r="Y34" i="22"/>
  <c r="X34" i="22"/>
  <c r="W34" i="22"/>
  <c r="V34" i="22"/>
  <c r="U34" i="22"/>
  <c r="T34" i="22"/>
  <c r="AC33" i="22"/>
  <c r="AB33" i="22"/>
  <c r="AA33" i="22"/>
  <c r="Z33" i="22"/>
  <c r="Z31" i="22" s="1"/>
  <c r="Y33" i="22"/>
  <c r="X33" i="22"/>
  <c r="W33" i="22"/>
  <c r="W31" i="22" s="1"/>
  <c r="V33" i="22"/>
  <c r="U33" i="22"/>
  <c r="T33" i="22"/>
  <c r="AC32" i="22"/>
  <c r="AB32" i="22"/>
  <c r="AB31" i="22" s="1"/>
  <c r="AA32" i="22"/>
  <c r="AA31" i="22" s="1"/>
  <c r="Z32" i="22"/>
  <c r="Y32" i="22"/>
  <c r="Y31" i="22" s="1"/>
  <c r="X32" i="22"/>
  <c r="W32" i="22"/>
  <c r="V32" i="22"/>
  <c r="V31" i="22" s="1"/>
  <c r="U32" i="22"/>
  <c r="T32" i="22"/>
  <c r="T31" i="22" s="1"/>
  <c r="AC31" i="22"/>
  <c r="X31" i="22"/>
  <c r="U31" i="22"/>
  <c r="AC30" i="22"/>
  <c r="AB30" i="22"/>
  <c r="AA30" i="22"/>
  <c r="Z30" i="22"/>
  <c r="Y30" i="22"/>
  <c r="X30" i="22"/>
  <c r="W30" i="22"/>
  <c r="V30" i="22"/>
  <c r="U30" i="22"/>
  <c r="T30" i="22"/>
  <c r="AC29" i="22"/>
  <c r="AB29" i="22"/>
  <c r="AA29" i="22"/>
  <c r="Z29" i="22"/>
  <c r="Z27" i="22" s="1"/>
  <c r="Y29" i="22"/>
  <c r="X29" i="22"/>
  <c r="W29" i="22"/>
  <c r="W27" i="22" s="1"/>
  <c r="V29" i="22"/>
  <c r="U29" i="22"/>
  <c r="T29" i="22"/>
  <c r="AC28" i="22"/>
  <c r="AB28" i="22"/>
  <c r="AB27" i="22" s="1"/>
  <c r="AA28" i="22"/>
  <c r="AA27" i="22" s="1"/>
  <c r="Z28" i="22"/>
  <c r="Y28" i="22"/>
  <c r="Y27" i="22" s="1"/>
  <c r="X28" i="22"/>
  <c r="W28" i="22"/>
  <c r="V28" i="22"/>
  <c r="V27" i="22" s="1"/>
  <c r="U28" i="22"/>
  <c r="T28" i="22"/>
  <c r="T27" i="22" s="1"/>
  <c r="AC27" i="22"/>
  <c r="X27" i="22"/>
  <c r="U27" i="22"/>
  <c r="AB25" i="22"/>
  <c r="AA25" i="22"/>
  <c r="Z25" i="22"/>
  <c r="Y25" i="22"/>
  <c r="X25" i="22"/>
  <c r="W25" i="22"/>
  <c r="V25" i="22"/>
  <c r="U25" i="22"/>
  <c r="T25" i="22"/>
  <c r="AD18" i="22"/>
  <c r="AC18" i="22"/>
  <c r="AB18" i="22"/>
  <c r="AB17" i="22" s="1"/>
  <c r="AA18" i="22"/>
  <c r="AA17" i="22" s="1"/>
  <c r="Z18" i="22"/>
  <c r="Z17" i="22" s="1"/>
  <c r="Y18" i="22"/>
  <c r="Y17" i="22" s="1"/>
  <c r="X18" i="22"/>
  <c r="W18" i="22"/>
  <c r="V18" i="22"/>
  <c r="U18" i="22"/>
  <c r="T18" i="22"/>
  <c r="T17" i="22" s="1"/>
  <c r="AD17" i="22"/>
  <c r="AC17" i="22"/>
  <c r="X17" i="22"/>
  <c r="X93" i="22" s="1"/>
  <c r="W17" i="22"/>
  <c r="W93" i="22" s="1"/>
  <c r="V17" i="22"/>
  <c r="V93" i="22" s="1"/>
  <c r="U17" i="22"/>
  <c r="U92" i="22" s="1"/>
  <c r="AO13" i="22"/>
  <c r="AN13" i="22"/>
  <c r="AM13" i="22"/>
  <c r="AL13" i="22"/>
  <c r="AK13" i="22"/>
  <c r="AJ13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AB11" i="22"/>
  <c r="AA11" i="22"/>
  <c r="Z11" i="22"/>
  <c r="Y11" i="22"/>
  <c r="X11" i="22"/>
  <c r="W11" i="22"/>
  <c r="V11" i="22"/>
  <c r="U11" i="22"/>
  <c r="T11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AE7" i="22"/>
  <c r="AD7" i="22"/>
  <c r="AC7" i="22"/>
  <c r="AB7" i="22"/>
  <c r="AA7" i="22"/>
  <c r="Z7" i="22"/>
  <c r="Y7" i="22"/>
  <c r="X7" i="22"/>
  <c r="W7" i="22"/>
  <c r="V7" i="22"/>
  <c r="U7" i="22"/>
  <c r="T7" i="22"/>
  <c r="Y23" i="1" l="1"/>
  <c r="Y26" i="1"/>
  <c r="AQ21" i="1"/>
  <c r="V21" i="1" s="1"/>
  <c r="BF21" i="1" s="1"/>
  <c r="Y24" i="1"/>
  <c r="V24" i="1" s="1"/>
  <c r="Y25" i="1"/>
  <c r="Y27" i="1"/>
  <c r="AQ27" i="1"/>
  <c r="AQ22" i="1"/>
  <c r="V22" i="1" s="1"/>
  <c r="AQ24" i="1"/>
  <c r="AQ23" i="1"/>
  <c r="V23" i="1" s="1"/>
  <c r="AQ25" i="1"/>
  <c r="AQ26" i="1"/>
  <c r="Y92" i="22"/>
  <c r="Y93" i="22"/>
  <c r="Z93" i="22"/>
  <c r="Z92" i="22"/>
  <c r="AA93" i="22"/>
  <c r="AA92" i="22"/>
  <c r="T93" i="22"/>
  <c r="T92" i="22"/>
  <c r="AB93" i="22"/>
  <c r="AB92" i="22"/>
  <c r="AF113" i="53"/>
  <c r="Y48" i="22"/>
  <c r="T49" i="22"/>
  <c r="AB49" i="22"/>
  <c r="W92" i="22"/>
  <c r="X92" i="22"/>
  <c r="V25" i="1" l="1"/>
  <c r="BF25" i="1" s="1"/>
  <c r="V27" i="1"/>
  <c r="V26" i="1"/>
  <c r="BF22" i="1"/>
  <c r="BF23" i="1"/>
  <c r="BF27" i="1"/>
  <c r="BF24" i="1"/>
  <c r="BF26" i="1"/>
</calcChain>
</file>

<file path=xl/sharedStrings.xml><?xml version="1.0" encoding="utf-8"?>
<sst xmlns="http://schemas.openxmlformats.org/spreadsheetml/2006/main" count="1911" uniqueCount="882">
  <si>
    <t>Nacc</t>
  </si>
  <si>
    <t>Nflag</t>
  </si>
  <si>
    <t>Noff</t>
  </si>
  <si>
    <t>Ncpo</t>
  </si>
  <si>
    <t>Nenl</t>
  </si>
  <si>
    <t>Nacc*Endur/1000</t>
  </si>
  <si>
    <t>LBP</t>
  </si>
  <si>
    <t>FLDisp</t>
  </si>
  <si>
    <t>FLDisp*Vsus/1000</t>
  </si>
  <si>
    <t>SHP</t>
  </si>
  <si>
    <t>kWInst</t>
  </si>
  <si>
    <t>VOLtot</t>
  </si>
  <si>
    <t>Voltot - V3.7</t>
  </si>
  <si>
    <t>SSCS</t>
  </si>
  <si>
    <t>BSCI</t>
  </si>
  <si>
    <t>S(typ)</t>
  </si>
  <si>
    <t>S Range</t>
  </si>
  <si>
    <t>DD931</t>
  </si>
  <si>
    <t>FFG7</t>
  </si>
  <si>
    <t>V</t>
  </si>
  <si>
    <t>Weapons Support</t>
  </si>
  <si>
    <t>750, 751 &amp; 810</t>
  </si>
  <si>
    <t>=</t>
  </si>
  <si>
    <t>(V121+V122+V123+V124+V125+V126+V128)</t>
  </si>
  <si>
    <t>^</t>
  </si>
  <si>
    <t>Amph Warfare</t>
  </si>
  <si>
    <t>801 &amp; 808</t>
  </si>
  <si>
    <t>(</t>
  </si>
  <si>
    <t>NTrp</t>
  </si>
  <si>
    <t>)</t>
  </si>
  <si>
    <t>Flag</t>
  </si>
  <si>
    <t>800**</t>
  </si>
  <si>
    <t>Pax</t>
  </si>
  <si>
    <t>NPax</t>
  </si>
  <si>
    <t xml:space="preserve">Off Berthing </t>
  </si>
  <si>
    <t>S(2250)</t>
  </si>
  <si>
    <t xml:space="preserve">Noff </t>
  </si>
  <si>
    <t>-</t>
  </si>
  <si>
    <t>Off Messing</t>
  </si>
  <si>
    <t>S(2251)</t>
  </si>
  <si>
    <t xml:space="preserve">Off Bath </t>
  </si>
  <si>
    <t>S(2252)</t>
  </si>
  <si>
    <t xml:space="preserve">CPO Berthing </t>
  </si>
  <si>
    <t>S(2253)</t>
  </si>
  <si>
    <t>+</t>
  </si>
  <si>
    <t>CPO Messing</t>
  </si>
  <si>
    <t>S(2254)</t>
  </si>
  <si>
    <t>CPO Bath</t>
  </si>
  <si>
    <t>S(2255)</t>
  </si>
  <si>
    <t>Crew Berthing</t>
  </si>
  <si>
    <t>S(2256)</t>
  </si>
  <si>
    <t>Crew Messing</t>
  </si>
  <si>
    <t>S(2257)</t>
  </si>
  <si>
    <t>Crew Bath</t>
  </si>
  <si>
    <t>S(2258)</t>
  </si>
  <si>
    <t>Admin</t>
  </si>
  <si>
    <t>6.13**</t>
  </si>
  <si>
    <t>S(2259)</t>
  </si>
  <si>
    <t>Food Prep &amp; Handling</t>
  </si>
  <si>
    <t>S(2260)</t>
  </si>
  <si>
    <t>Medical &amp; Dental</t>
  </si>
  <si>
    <t>S(2261)</t>
  </si>
  <si>
    <t>Personnel Service</t>
  </si>
  <si>
    <t>S(2262)</t>
  </si>
  <si>
    <t>Recreation &amp; Welfare</t>
  </si>
  <si>
    <t>612**</t>
  </si>
  <si>
    <t>S(2263)</t>
  </si>
  <si>
    <t>Personnel Stores (Prov)</t>
  </si>
  <si>
    <t>S(2264)</t>
  </si>
  <si>
    <t>Nacc * Endur</t>
  </si>
  <si>
    <t>Personnel Stowage</t>
  </si>
  <si>
    <t>608** &amp; 800**</t>
  </si>
  <si>
    <t>S(2265)</t>
  </si>
  <si>
    <t>Sewage</t>
  </si>
  <si>
    <t>S(2266)</t>
  </si>
  <si>
    <t>Ship Control</t>
  </si>
  <si>
    <t>400, 401, 410 &amp; 411</t>
  </si>
  <si>
    <t>S(2267)</t>
  </si>
  <si>
    <t>Damage Control</t>
  </si>
  <si>
    <t xml:space="preserve">FLDISP </t>
  </si>
  <si>
    <t>Offices</t>
  </si>
  <si>
    <t>613**</t>
  </si>
  <si>
    <t>S(2268)</t>
  </si>
  <si>
    <t>Machy Box</t>
  </si>
  <si>
    <t>3.12, 3.21-3.25, 3.27, 3.31 &amp; 3.33</t>
  </si>
  <si>
    <t>200- 202, 204, 206-211, 251, 300, 301, 351, 502, 503, 504**, 512-514,  517, 527, 551 &amp; 603**</t>
  </si>
  <si>
    <t>(1.472*SHP+7.735*KWInst)</t>
  </si>
  <si>
    <t>Conventional Steam</t>
  </si>
  <si>
    <t>(SHP+KWInst/(0.8*0.746))</t>
  </si>
  <si>
    <t>Nuclear</t>
  </si>
  <si>
    <t>(SHP+KWinst/(0.8*0.746))</t>
  </si>
  <si>
    <t>Gas Turbine</t>
  </si>
  <si>
    <t>Diesel</t>
  </si>
  <si>
    <t>Uptakes</t>
  </si>
  <si>
    <t xml:space="preserve">-0.0005*(SHP/1000)^2 + 0.2123*(SHP/1000) </t>
  </si>
  <si>
    <t xml:space="preserve">-0.0018*(SHP/1000)^2 + 0.2862*(SHP/1000) </t>
  </si>
  <si>
    <t>Gas Turbine &amp; COGAS</t>
  </si>
  <si>
    <t xml:space="preserve">0.0023*(SHP/1000)^2 + 0.3556*(SHP/1000) </t>
  </si>
  <si>
    <t>Shafting, Bearings &amp; Props</t>
  </si>
  <si>
    <t>1-shaft Conv Stm or Nuc</t>
  </si>
  <si>
    <t>1-shaft GT, Diesel, or COGAS</t>
  </si>
  <si>
    <t>2-shaft Any Type Plant</t>
  </si>
  <si>
    <t>Maneuvering</t>
  </si>
  <si>
    <t>518 &amp; 519</t>
  </si>
  <si>
    <t>FLDISP x Vsus</t>
  </si>
  <si>
    <t>Ventialtion</t>
  </si>
  <si>
    <t>501**</t>
  </si>
  <si>
    <t>S(2269)</t>
  </si>
  <si>
    <t>Anchor, Mooring &amp; Towing</t>
  </si>
  <si>
    <t>3.321 &amp; 3.322</t>
  </si>
  <si>
    <t>520 &amp; 600</t>
  </si>
  <si>
    <t>Mech Maintenance</t>
  </si>
  <si>
    <t>610**</t>
  </si>
  <si>
    <t>S(2270)</t>
  </si>
  <si>
    <t>Elec Maintenance</t>
  </si>
  <si>
    <t>S(2271)</t>
  </si>
  <si>
    <t>Misc Maintenance</t>
  </si>
  <si>
    <t>610**, 602 &amp; 605</t>
  </si>
  <si>
    <t>S(2272)</t>
  </si>
  <si>
    <t>Fuel Oil</t>
  </si>
  <si>
    <t>w(816)</t>
  </si>
  <si>
    <t>All Other</t>
  </si>
  <si>
    <t>Nuclear PPlant</t>
  </si>
  <si>
    <t>Reserve Feed Water</t>
  </si>
  <si>
    <t xml:space="preserve">w(813) </t>
  </si>
  <si>
    <t>Lube Oil</t>
  </si>
  <si>
    <t>w(814)</t>
  </si>
  <si>
    <t>Diesel Oil</t>
  </si>
  <si>
    <t xml:space="preserve">w(817) </t>
  </si>
  <si>
    <t>Misc Liquids</t>
  </si>
  <si>
    <t>818 &amp; 820</t>
  </si>
  <si>
    <t>w(820)</t>
  </si>
  <si>
    <t>Stores &amp; Supplies</t>
  </si>
  <si>
    <t>608**, 250, 350, 550, 650 &amp; 807</t>
  </si>
  <si>
    <t xml:space="preserve">(Nacc x Endur) </t>
  </si>
  <si>
    <t xml:space="preserve">Ballast </t>
  </si>
  <si>
    <t>w(822)</t>
  </si>
  <si>
    <t>Peak Tanks</t>
  </si>
  <si>
    <t>FLDISP</t>
  </si>
  <si>
    <t>Voids</t>
  </si>
  <si>
    <t>Passages &amp; Access</t>
  </si>
  <si>
    <t>603**</t>
  </si>
  <si>
    <t>S(2273)</t>
  </si>
  <si>
    <t>(VOLtot-V(370))</t>
  </si>
  <si>
    <t>CL Passage</t>
  </si>
  <si>
    <t>P&amp;S Passage</t>
  </si>
  <si>
    <t>Class</t>
  </si>
  <si>
    <t>Natl</t>
  </si>
  <si>
    <t>ID</t>
  </si>
  <si>
    <t>Status</t>
  </si>
  <si>
    <t>L</t>
  </si>
  <si>
    <t>B</t>
  </si>
  <si>
    <t>D</t>
  </si>
  <si>
    <t>T</t>
  </si>
  <si>
    <t>LBD</t>
  </si>
  <si>
    <t>LtSHP</t>
  </si>
  <si>
    <t>FLD</t>
  </si>
  <si>
    <t>Accom</t>
  </si>
  <si>
    <t>Off</t>
  </si>
  <si>
    <t>CPO</t>
  </si>
  <si>
    <t>Enl</t>
  </si>
  <si>
    <t>Pass</t>
  </si>
  <si>
    <t>Sci</t>
  </si>
  <si>
    <t>Spare</t>
  </si>
  <si>
    <t>Vsus</t>
  </si>
  <si>
    <t>FLD * Vsus</t>
  </si>
  <si>
    <t>Vtot</t>
  </si>
  <si>
    <t>Vhull</t>
  </si>
  <si>
    <t>Vss</t>
  </si>
  <si>
    <t>Mmsn</t>
  </si>
  <si>
    <t>Velec</t>
  </si>
  <si>
    <t>Vweap</t>
  </si>
  <si>
    <t>Va/c</t>
  </si>
  <si>
    <t>Amph</t>
  </si>
  <si>
    <t>Cgo</t>
  </si>
  <si>
    <t>Vflag</t>
  </si>
  <si>
    <t>Pax Fac</t>
  </si>
  <si>
    <t>Spe Msn</t>
  </si>
  <si>
    <t>Vpers</t>
  </si>
  <si>
    <t>Living</t>
  </si>
  <si>
    <t>Supt</t>
  </si>
  <si>
    <t>Stw</t>
  </si>
  <si>
    <t>Pers Prot</t>
  </si>
  <si>
    <t>Voperation</t>
  </si>
  <si>
    <t>Vshipcntrl</t>
  </si>
  <si>
    <t>Vmchy</t>
  </si>
  <si>
    <t>Vaux</t>
  </si>
  <si>
    <t>Vmnt</t>
  </si>
  <si>
    <t>Vstw</t>
  </si>
  <si>
    <t>Vtnk</t>
  </si>
  <si>
    <t>Vpsg</t>
  </si>
  <si>
    <t>Vuna</t>
  </si>
  <si>
    <t>1.4</t>
  </si>
  <si>
    <t>1.5</t>
  </si>
  <si>
    <t>1.7</t>
  </si>
  <si>
    <t>1.8</t>
  </si>
  <si>
    <t>2.1</t>
  </si>
  <si>
    <t>2.2</t>
  </si>
  <si>
    <t>2.3</t>
  </si>
  <si>
    <t>2.4</t>
  </si>
  <si>
    <t>V3.0</t>
  </si>
  <si>
    <t>Vtot-V3.7</t>
  </si>
  <si>
    <t>FF1033</t>
  </si>
  <si>
    <t>USN</t>
  </si>
  <si>
    <t>T6FF1033</t>
  </si>
  <si>
    <t>Built</t>
  </si>
  <si>
    <t>FF1006</t>
  </si>
  <si>
    <t>T6FF1006</t>
  </si>
  <si>
    <t>FF1037</t>
  </si>
  <si>
    <t>T6FF1037</t>
  </si>
  <si>
    <t>FF1040</t>
  </si>
  <si>
    <t>T6FF1040</t>
  </si>
  <si>
    <t>T6FFG7</t>
  </si>
  <si>
    <t>FF1052</t>
  </si>
  <si>
    <t>T6FF1052</t>
  </si>
  <si>
    <t>Type21</t>
  </si>
  <si>
    <t>RN</t>
  </si>
  <si>
    <t>F4T21</t>
  </si>
  <si>
    <t>Type22</t>
  </si>
  <si>
    <t>F4T22</t>
  </si>
  <si>
    <t>Type42</t>
  </si>
  <si>
    <t>F4T42</t>
  </si>
  <si>
    <t>Lupo</t>
  </si>
  <si>
    <t>I</t>
  </si>
  <si>
    <t>F4LUPO</t>
  </si>
  <si>
    <t>C70</t>
  </si>
  <si>
    <t>F</t>
  </si>
  <si>
    <t>F4C70</t>
  </si>
  <si>
    <t>Kortenear</t>
  </si>
  <si>
    <t>F4KRTN</t>
  </si>
  <si>
    <t>47ft  MLB</t>
  </si>
  <si>
    <t>USCG</t>
  </si>
  <si>
    <t>87ft  CPB</t>
  </si>
  <si>
    <t>110ft  WPB</t>
  </si>
  <si>
    <t xml:space="preserve">120ft  WPB </t>
  </si>
  <si>
    <t>210ft  WMEC</t>
  </si>
  <si>
    <t>270ft  WMEC</t>
  </si>
  <si>
    <t>378ft  WHEC</t>
  </si>
  <si>
    <t>V 1.1</t>
  </si>
  <si>
    <t>V 1.2</t>
  </si>
  <si>
    <t>V 1.3</t>
  </si>
  <si>
    <t>V 1.4</t>
  </si>
  <si>
    <t>V 2.1/2/3</t>
  </si>
  <si>
    <t>V 3.1</t>
  </si>
  <si>
    <t>V 3.2</t>
  </si>
  <si>
    <t>V 3.3</t>
  </si>
  <si>
    <t>V 3.4</t>
  </si>
  <si>
    <t>V 3.5</t>
  </si>
  <si>
    <t>V 3.6</t>
  </si>
  <si>
    <t>V 3.7</t>
  </si>
  <si>
    <t>Name</t>
  </si>
  <si>
    <t>PGG</t>
  </si>
  <si>
    <t>PCG</t>
  </si>
  <si>
    <t>Acc</t>
  </si>
  <si>
    <t>Vpers/man</t>
  </si>
  <si>
    <t>w100</t>
  </si>
  <si>
    <t>w200</t>
  </si>
  <si>
    <t>w300</t>
  </si>
  <si>
    <t>w400</t>
  </si>
  <si>
    <t>w500</t>
  </si>
  <si>
    <t>w600</t>
  </si>
  <si>
    <t>w700</t>
  </si>
  <si>
    <t>%V 1.1</t>
  </si>
  <si>
    <t>%V 1.2</t>
  </si>
  <si>
    <t>%V 1.3</t>
  </si>
  <si>
    <t>%V1.6</t>
  </si>
  <si>
    <t>%V 3.2</t>
  </si>
  <si>
    <t>%V 3.1/3/4</t>
  </si>
  <si>
    <t>%V 3.5/6</t>
  </si>
  <si>
    <t>%V 3.7</t>
  </si>
  <si>
    <t>%V 2.1/2/3</t>
  </si>
  <si>
    <t>F6FF1006</t>
  </si>
  <si>
    <t>F6FF1033</t>
  </si>
  <si>
    <t>F6FF1037</t>
  </si>
  <si>
    <t>F6FF1040</t>
  </si>
  <si>
    <t>F6FF1052</t>
  </si>
  <si>
    <t>F6FFG7</t>
  </si>
  <si>
    <t>F6T21</t>
  </si>
  <si>
    <t>F6T22</t>
  </si>
  <si>
    <t>F6T42</t>
  </si>
  <si>
    <t>F6LUPO</t>
  </si>
  <si>
    <t>Krivak</t>
  </si>
  <si>
    <t>S</t>
  </si>
  <si>
    <t>F6KRVK</t>
  </si>
  <si>
    <t>Est</t>
  </si>
  <si>
    <t>%V Msn</t>
  </si>
  <si>
    <t>%V Crw</t>
  </si>
  <si>
    <t>%V Prp</t>
  </si>
  <si>
    <t>%VTnk</t>
  </si>
  <si>
    <t>%VStwg</t>
  </si>
  <si>
    <t>%V Accss</t>
  </si>
  <si>
    <t>F5FF1006</t>
  </si>
  <si>
    <t>F5FF1033</t>
  </si>
  <si>
    <t>F5FF1037</t>
  </si>
  <si>
    <t>F5FF1040</t>
  </si>
  <si>
    <t>F5FF1052</t>
  </si>
  <si>
    <t>F5FFG7</t>
  </si>
  <si>
    <t>F5T21</t>
  </si>
  <si>
    <t>F5LUPO</t>
  </si>
  <si>
    <t>FF5KRVK</t>
  </si>
  <si>
    <t>V tot</t>
  </si>
  <si>
    <t>F4FF1006</t>
  </si>
  <si>
    <t>F4FF1033</t>
  </si>
  <si>
    <t>F4FF1037</t>
  </si>
  <si>
    <t>F4FF1040</t>
  </si>
  <si>
    <t>F4FF1052</t>
  </si>
  <si>
    <t>F4FFG7</t>
  </si>
  <si>
    <t>Date</t>
  </si>
  <si>
    <t>Sp Vol</t>
  </si>
  <si>
    <t>(m^3/ mt)</t>
  </si>
  <si>
    <t>A.M.Sumner</t>
  </si>
  <si>
    <t>US</t>
  </si>
  <si>
    <t>O81SMNR</t>
  </si>
  <si>
    <t>F.Sherman</t>
  </si>
  <si>
    <t>O81SHMN</t>
  </si>
  <si>
    <t>Belknap</t>
  </si>
  <si>
    <t>O81BLKN</t>
  </si>
  <si>
    <t>Kidd</t>
  </si>
  <si>
    <t>O81KIDD</t>
  </si>
  <si>
    <t>Skory</t>
  </si>
  <si>
    <t>O81SKRY</t>
  </si>
  <si>
    <t>Kotlin</t>
  </si>
  <si>
    <t>O81KTLN</t>
  </si>
  <si>
    <t>Kresta I</t>
  </si>
  <si>
    <t>O81KRST1</t>
  </si>
  <si>
    <t>Sovremennyy</t>
  </si>
  <si>
    <t>O81SVRM</t>
  </si>
  <si>
    <t>Lbp</t>
  </si>
  <si>
    <t>Disp</t>
  </si>
  <si>
    <t>V Hull</t>
  </si>
  <si>
    <t>V SS</t>
  </si>
  <si>
    <t>V Tot</t>
  </si>
  <si>
    <t>L Gyr</t>
  </si>
  <si>
    <t>T Pitch</t>
  </si>
  <si>
    <t>T Hv</t>
  </si>
  <si>
    <t>Cb</t>
  </si>
  <si>
    <t>Cm</t>
  </si>
  <si>
    <t>Cp</t>
  </si>
  <si>
    <t>Cwp</t>
  </si>
  <si>
    <t>LCB</t>
  </si>
  <si>
    <t>D-L</t>
  </si>
  <si>
    <t>Cit</t>
  </si>
  <si>
    <t>KG</t>
  </si>
  <si>
    <t>GM</t>
  </si>
  <si>
    <t>Fbd(0)</t>
  </si>
  <si>
    <t>Fbd(0)/L</t>
  </si>
  <si>
    <t>(%L)</t>
  </si>
  <si>
    <t>(Calc)</t>
  </si>
  <si>
    <t>(% a Sta10)</t>
  </si>
  <si>
    <t>DD931 VAR1</t>
  </si>
  <si>
    <t>M70DES1</t>
  </si>
  <si>
    <t>Des</t>
  </si>
  <si>
    <t>DD931 VAR2</t>
  </si>
  <si>
    <t>M70DES2</t>
  </si>
  <si>
    <t>DD931 VAR3</t>
  </si>
  <si>
    <t>M70DES3</t>
  </si>
  <si>
    <t>DD931 VAR4</t>
  </si>
  <si>
    <t>M70DES4</t>
  </si>
  <si>
    <t>Loa</t>
  </si>
  <si>
    <t>Bm</t>
  </si>
  <si>
    <t>Bwl</t>
  </si>
  <si>
    <t>Dm</t>
  </si>
  <si>
    <t>LtShip</t>
  </si>
  <si>
    <t>Mar</t>
  </si>
  <si>
    <t>Liq Lds</t>
  </si>
  <si>
    <t>Crew&amp;Strs</t>
  </si>
  <si>
    <t>Ammo</t>
  </si>
  <si>
    <t>Avia</t>
  </si>
  <si>
    <t>Ammo&amp;Helo</t>
  </si>
  <si>
    <t>Loads</t>
  </si>
  <si>
    <t>Full Ld</t>
  </si>
  <si>
    <t>V Cbt Sys</t>
  </si>
  <si>
    <t>V Pers</t>
  </si>
  <si>
    <t>V Strg</t>
  </si>
  <si>
    <t>V Rpr</t>
  </si>
  <si>
    <t>V Ofcs</t>
  </si>
  <si>
    <t>V Aux Eq</t>
  </si>
  <si>
    <t>V Shops</t>
  </si>
  <si>
    <t>V Str</t>
  </si>
  <si>
    <t>V Access</t>
  </si>
  <si>
    <t>V Prp</t>
  </si>
  <si>
    <t>V Voids</t>
  </si>
  <si>
    <t>V Tnkg</t>
  </si>
  <si>
    <t>Vt</t>
  </si>
  <si>
    <t>Vc</t>
  </si>
  <si>
    <t>Rc</t>
  </si>
  <si>
    <t>Pwr Tot</t>
  </si>
  <si>
    <t>Prp Type</t>
  </si>
  <si>
    <t>Pwr Cr</t>
  </si>
  <si>
    <t>Pwr boost</t>
  </si>
  <si>
    <t># Shft</t>
  </si>
  <si>
    <t>Slava</t>
  </si>
  <si>
    <t>AMSCSLVA</t>
  </si>
  <si>
    <t>COGOG</t>
  </si>
  <si>
    <t>2-FP</t>
  </si>
  <si>
    <t>AMSCSVRM</t>
  </si>
  <si>
    <t>Maestrale</t>
  </si>
  <si>
    <t>AMSCMSTR</t>
  </si>
  <si>
    <t>Ne</t>
  </si>
  <si>
    <t>AMSCKRTN</t>
  </si>
  <si>
    <t>Kirov</t>
  </si>
  <si>
    <t>AMSCKRV</t>
  </si>
  <si>
    <t>CONAS</t>
  </si>
  <si>
    <t>AMSCKIDD</t>
  </si>
  <si>
    <t>GT</t>
  </si>
  <si>
    <t>Ticonderoga</t>
  </si>
  <si>
    <t>AMSCTICO</t>
  </si>
  <si>
    <t>Cx</t>
  </si>
  <si>
    <t>Ci</t>
  </si>
  <si>
    <t>L/D</t>
  </si>
  <si>
    <t>L/B</t>
  </si>
  <si>
    <t>B/T</t>
  </si>
  <si>
    <t>L/T</t>
  </si>
  <si>
    <t>LCB%aftMS</t>
  </si>
  <si>
    <t>WS</t>
  </si>
  <si>
    <t>Disp/(0.01L)^3</t>
  </si>
  <si>
    <t>L(B+D)</t>
  </si>
  <si>
    <t>Vmchy box</t>
  </si>
  <si>
    <t># Shfts</t>
  </si>
  <si>
    <t>P/Shft</t>
  </si>
  <si>
    <t>Power</t>
  </si>
  <si>
    <t>Sqr(Power)</t>
  </si>
  <si>
    <t>Vs</t>
  </si>
  <si>
    <t>Vcr</t>
  </si>
  <si>
    <t>Range</t>
  </si>
  <si>
    <t>Endurance</t>
  </si>
  <si>
    <t>R@16kt</t>
  </si>
  <si>
    <t>R@30kt</t>
  </si>
  <si>
    <t>Plant Type</t>
  </si>
  <si>
    <t>Accom*(LBD)</t>
  </si>
  <si>
    <t>wBasic Hull Struct</t>
  </si>
  <si>
    <t>LS</t>
  </si>
  <si>
    <t>FL</t>
  </si>
  <si>
    <t>%w100</t>
  </si>
  <si>
    <t>%w200</t>
  </si>
  <si>
    <t>%w300</t>
  </si>
  <si>
    <t>%w400</t>
  </si>
  <si>
    <t>%w500</t>
  </si>
  <si>
    <t>%w600</t>
  </si>
  <si>
    <t>%w700</t>
  </si>
  <si>
    <t>%wMar</t>
  </si>
  <si>
    <t>v100</t>
  </si>
  <si>
    <t>v200</t>
  </si>
  <si>
    <t>v300</t>
  </si>
  <si>
    <t>v400</t>
  </si>
  <si>
    <t>v500</t>
  </si>
  <si>
    <t>v600</t>
  </si>
  <si>
    <t>v700</t>
  </si>
  <si>
    <t>vMar</t>
  </si>
  <si>
    <t>vLS</t>
  </si>
  <si>
    <t>vLds</t>
  </si>
  <si>
    <t>vFL</t>
  </si>
  <si>
    <t>%v100</t>
  </si>
  <si>
    <t>%v200</t>
  </si>
  <si>
    <t>%v300</t>
  </si>
  <si>
    <t>%v400</t>
  </si>
  <si>
    <t>%v500</t>
  </si>
  <si>
    <t>%v600</t>
  </si>
  <si>
    <t>%v700</t>
  </si>
  <si>
    <t>%vMar</t>
  </si>
  <si>
    <t>%vLS</t>
  </si>
  <si>
    <t>A Crew Living</t>
  </si>
  <si>
    <t>A Crew Supt</t>
  </si>
  <si>
    <t>A Crew Stg</t>
  </si>
  <si>
    <t>A Prsnl (ST)</t>
  </si>
  <si>
    <t>A C2</t>
  </si>
  <si>
    <t>A Wpn</t>
  </si>
  <si>
    <t>A Msn (ST)</t>
  </si>
  <si>
    <t>A Ship Adm</t>
  </si>
  <si>
    <t>A Mn Prop</t>
  </si>
  <si>
    <t>A Aux Mchy</t>
  </si>
  <si>
    <t>A Mnt &amp; Stg</t>
  </si>
  <si>
    <t>A Access</t>
  </si>
  <si>
    <t>A Tnks &amp; Voids</t>
  </si>
  <si>
    <t>A Ship Rel (ST)</t>
  </si>
  <si>
    <t>A Tot</t>
  </si>
  <si>
    <t>Tarantul</t>
  </si>
  <si>
    <t>USSR</t>
  </si>
  <si>
    <t>A93Tarantul</t>
  </si>
  <si>
    <t>COGAG</t>
  </si>
  <si>
    <t>Sa'ar 4.5</t>
  </si>
  <si>
    <t>Isreal</t>
  </si>
  <si>
    <t>A93Saar5</t>
  </si>
  <si>
    <t>PGG511</t>
  </si>
  <si>
    <t>A93PGG511</t>
  </si>
  <si>
    <t>CODOG</t>
  </si>
  <si>
    <t>Vol</t>
  </si>
  <si>
    <t>Ve</t>
  </si>
  <si>
    <t>Rng@Ve</t>
  </si>
  <si>
    <t>End</t>
  </si>
  <si>
    <t>Pyld Wt/FL</t>
  </si>
  <si>
    <t>Pyld Vol/Tot Vol</t>
  </si>
  <si>
    <t>WD Area</t>
  </si>
  <si>
    <t>Disp/0.01L^3</t>
  </si>
  <si>
    <t>Cw</t>
  </si>
  <si>
    <t>SHP/Disp</t>
  </si>
  <si>
    <t>WS/DisVol^0.667</t>
  </si>
  <si>
    <t>App PC</t>
  </si>
  <si>
    <t>App Res</t>
  </si>
  <si>
    <t>0.001(MchyVol/BHP)</t>
  </si>
  <si>
    <t>MchyWt/SHP</t>
  </si>
  <si>
    <t>m3/Accom</t>
  </si>
  <si>
    <t>Hunt</t>
  </si>
  <si>
    <t>A92HUNT</t>
  </si>
  <si>
    <t>Moderate</t>
  </si>
  <si>
    <t>Hunt(des)</t>
  </si>
  <si>
    <t>A92HUNTdes</t>
  </si>
  <si>
    <t>As Des</t>
  </si>
  <si>
    <t>SRMH</t>
  </si>
  <si>
    <t>A92SRMH</t>
  </si>
  <si>
    <t>Low</t>
  </si>
  <si>
    <t>Tripartite</t>
  </si>
  <si>
    <t>Fr,Be,Ne</t>
  </si>
  <si>
    <t>A92TRIPARTITE</t>
  </si>
  <si>
    <t>15-21</t>
  </si>
  <si>
    <t>Highest</t>
  </si>
  <si>
    <t>M343</t>
  </si>
  <si>
    <t>Ger</t>
  </si>
  <si>
    <t>A92M343</t>
  </si>
  <si>
    <t>M80</t>
  </si>
  <si>
    <t>Swe</t>
  </si>
  <si>
    <t>A92M80</t>
  </si>
  <si>
    <t>Lerici</t>
  </si>
  <si>
    <t>It</t>
  </si>
  <si>
    <t>A92LERICI</t>
  </si>
  <si>
    <t>Very Low</t>
  </si>
  <si>
    <t>MCM1</t>
  </si>
  <si>
    <t>A92MCM1</t>
  </si>
  <si>
    <t>MHC51</t>
  </si>
  <si>
    <t>A92MHC51</t>
  </si>
  <si>
    <t>Lowest</t>
  </si>
  <si>
    <t>Lwl</t>
  </si>
  <si>
    <t>Bmax</t>
  </si>
  <si>
    <t>W100</t>
  </si>
  <si>
    <t>W200</t>
  </si>
  <si>
    <t>W300</t>
  </si>
  <si>
    <t>W400</t>
  </si>
  <si>
    <t>W500</t>
  </si>
  <si>
    <t>W600</t>
  </si>
  <si>
    <t>W700</t>
  </si>
  <si>
    <t>Full Load</t>
  </si>
  <si>
    <t>GM/B</t>
  </si>
  <si>
    <t>A Mil Msn</t>
  </si>
  <si>
    <t>A Hmn Sup</t>
  </si>
  <si>
    <t>A Ship Sup</t>
  </si>
  <si>
    <t>A Mchy</t>
  </si>
  <si>
    <t>A una</t>
  </si>
  <si>
    <t>Cbt sys Sp</t>
  </si>
  <si>
    <t>Cbt Sys Wt</t>
  </si>
  <si>
    <t>Cbt sys Pwr</t>
  </si>
  <si>
    <t>Comp</t>
  </si>
  <si>
    <t>A Off</t>
  </si>
  <si>
    <t>A SR</t>
  </si>
  <si>
    <t>A Othr</t>
  </si>
  <si>
    <t>A Comp</t>
  </si>
  <si>
    <t>Mchy Type</t>
  </si>
  <si>
    <t>G Pwr</t>
  </si>
  <si>
    <t># Prp</t>
  </si>
  <si>
    <t># Blades</t>
  </si>
  <si>
    <t>Prp Dia</t>
  </si>
  <si>
    <t>Ptch</t>
  </si>
  <si>
    <t>xPoD</t>
  </si>
  <si>
    <t>EAR</t>
  </si>
  <si>
    <t>xkt</t>
  </si>
  <si>
    <t>xJ</t>
  </si>
  <si>
    <t>Eta o</t>
  </si>
  <si>
    <t>RPM max</t>
  </si>
  <si>
    <t>L Mrg&amp;FD</t>
  </si>
  <si>
    <t>L Hngr&amp;Sup</t>
  </si>
  <si>
    <t>L TrpMag</t>
  </si>
  <si>
    <t>L Mchy Dk</t>
  </si>
  <si>
    <t>L FwdSS</t>
  </si>
  <si>
    <t>L VLS</t>
  </si>
  <si>
    <t>L Gun</t>
  </si>
  <si>
    <t>L Anch&amp;Bow</t>
  </si>
  <si>
    <t>L Req</t>
  </si>
  <si>
    <t>Mom In</t>
  </si>
  <si>
    <t>NA</t>
  </si>
  <si>
    <t>SM Dk</t>
  </si>
  <si>
    <t>SM K</t>
  </si>
  <si>
    <t>Rudr Tot Area</t>
  </si>
  <si>
    <t># Rudrs</t>
  </si>
  <si>
    <t>Rudr A/LD</t>
  </si>
  <si>
    <t>BK width</t>
  </si>
  <si>
    <t>Fin Stb A</t>
  </si>
  <si>
    <t>Web Fr Spc</t>
  </si>
  <si>
    <t>Long Sp</t>
  </si>
  <si>
    <t>L Mchy Box</t>
  </si>
  <si>
    <t>L Gen Rm1</t>
  </si>
  <si>
    <t>L Turb Rm</t>
  </si>
  <si>
    <t>L Grg Rm</t>
  </si>
  <si>
    <t>L D ERm</t>
  </si>
  <si>
    <t>L Gen Rm2</t>
  </si>
  <si>
    <t>Wt Pot Wtr</t>
  </si>
  <si>
    <t>E Prp</t>
  </si>
  <si>
    <t>E Elec</t>
  </si>
  <si>
    <t>E CCS</t>
  </si>
  <si>
    <t>E Aux</t>
  </si>
  <si>
    <t>E OF</t>
  </si>
  <si>
    <t>E Arm</t>
  </si>
  <si>
    <t>E Tot</t>
  </si>
  <si>
    <t xml:space="preserve">Cst </t>
  </si>
  <si>
    <t>Cst Tot</t>
  </si>
  <si>
    <t>SR</t>
  </si>
  <si>
    <t>Othr</t>
  </si>
  <si>
    <t>(brth&amp;san)</t>
  </si>
  <si>
    <t>(@ top spd)</t>
  </si>
  <si>
    <t>(m^4)</t>
  </si>
  <si>
    <t>(tot)</t>
  </si>
  <si>
    <t>(btl)</t>
  </si>
  <si>
    <t>(War Cr)</t>
  </si>
  <si>
    <t>(P Cr Min)</t>
  </si>
  <si>
    <t>(P Cr Max)</t>
  </si>
  <si>
    <t>(Shore)</t>
  </si>
  <si>
    <t>Pltfm</t>
  </si>
  <si>
    <t>Pyld</t>
  </si>
  <si>
    <t>Eng</t>
  </si>
  <si>
    <t>SY Serv</t>
  </si>
  <si>
    <t>Eq</t>
  </si>
  <si>
    <t>Lbr</t>
  </si>
  <si>
    <t>NFR-90</t>
  </si>
  <si>
    <t>EUR</t>
  </si>
  <si>
    <t>A91ANFR</t>
  </si>
  <si>
    <t>2-CRP</t>
  </si>
  <si>
    <t>w100%</t>
  </si>
  <si>
    <t>w200%</t>
  </si>
  <si>
    <t>w300%</t>
  </si>
  <si>
    <t>w400%</t>
  </si>
  <si>
    <t>w500%</t>
  </si>
  <si>
    <t>w600%</t>
  </si>
  <si>
    <t>w700%</t>
  </si>
  <si>
    <t>Avail Dk A</t>
  </si>
  <si>
    <t>Lndg Dk A</t>
  </si>
  <si>
    <t>Hngr</t>
  </si>
  <si>
    <t>Sup Fac</t>
  </si>
  <si>
    <t>Consum</t>
  </si>
  <si>
    <t>Loads (End FO)</t>
  </si>
  <si>
    <t>Pyld Rltd</t>
  </si>
  <si>
    <t>Oth Ship Rltd</t>
  </si>
  <si>
    <t>Com &amp; Cntrl</t>
  </si>
  <si>
    <t>Wpn</t>
  </si>
  <si>
    <t>Tot Miss Rltd</t>
  </si>
  <si>
    <t>Pers Rltd</t>
  </si>
  <si>
    <t>Ship Rltd</t>
  </si>
  <si>
    <t>Mn Prop Mchy</t>
  </si>
  <si>
    <t>Aux mchy</t>
  </si>
  <si>
    <t>Shops</t>
  </si>
  <si>
    <t>Stg</t>
  </si>
  <si>
    <t>Access</t>
  </si>
  <si>
    <t>Unassign</t>
  </si>
  <si>
    <t>TotShip Rltd</t>
  </si>
  <si>
    <t>Tot Dk A</t>
  </si>
  <si>
    <t>(t)</t>
  </si>
  <si>
    <t>Dk A</t>
  </si>
  <si>
    <t>Ship Adm</t>
  </si>
  <si>
    <t>(%)</t>
  </si>
  <si>
    <t>V-22 AC/BFC</t>
  </si>
  <si>
    <t>A90V22AC</t>
  </si>
  <si>
    <t>Burke</t>
  </si>
  <si>
    <t>DDG-51</t>
  </si>
  <si>
    <t>A90DDG51</t>
  </si>
  <si>
    <t>CG-47</t>
  </si>
  <si>
    <t>A90CG47</t>
  </si>
  <si>
    <t>Spruance</t>
  </si>
  <si>
    <t>DD-963</t>
  </si>
  <si>
    <t>A90DD963</t>
  </si>
  <si>
    <t>Disp (coef)</t>
  </si>
  <si>
    <t>Disp/(0.1L)^3</t>
  </si>
  <si>
    <t>Manning</t>
  </si>
  <si>
    <t>PropType</t>
  </si>
  <si>
    <t>TotPwr</t>
  </si>
  <si>
    <t>Mchy Bx L</t>
  </si>
  <si>
    <t>Mchy Bx V</t>
  </si>
  <si>
    <t>Mchy Bx Dens</t>
  </si>
  <si>
    <t>Mchy Bx D</t>
  </si>
  <si>
    <t>Prp D</t>
  </si>
  <si>
    <t>L Stf Spc</t>
  </si>
  <si>
    <t>Type of Web</t>
  </si>
  <si>
    <t>Type of L</t>
  </si>
  <si>
    <t>L Grdrs</t>
  </si>
  <si>
    <t>No Trv Sup</t>
  </si>
  <si>
    <t>DH Mtl</t>
  </si>
  <si>
    <t>DH Pt of Grdr</t>
  </si>
  <si>
    <t>DH Exp Jts</t>
  </si>
  <si>
    <t>DH Frm</t>
  </si>
  <si>
    <t>DH Hrd Mntd</t>
  </si>
  <si>
    <t>(m^3/kW)</t>
  </si>
  <si>
    <t>A83AFFG7</t>
  </si>
  <si>
    <t>Rolled I-T</t>
  </si>
  <si>
    <t>Rolled I-T or T</t>
  </si>
  <si>
    <t>No</t>
  </si>
  <si>
    <t>Al</t>
  </si>
  <si>
    <t>Y</t>
  </si>
  <si>
    <t>CPF</t>
  </si>
  <si>
    <t>C</t>
  </si>
  <si>
    <t>A83ACPFF</t>
  </si>
  <si>
    <t>A83AC70</t>
  </si>
  <si>
    <t>Fab T</t>
  </si>
  <si>
    <t>Yes</t>
  </si>
  <si>
    <t>Partial</t>
  </si>
  <si>
    <t>Kortenaer</t>
  </si>
  <si>
    <t>A83AKRTN</t>
  </si>
  <si>
    <t>Rolled T</t>
  </si>
  <si>
    <t>Bremen</t>
  </si>
  <si>
    <t>G</t>
  </si>
  <si>
    <t>A83ABRMN</t>
  </si>
  <si>
    <t>Bulb L</t>
  </si>
  <si>
    <t>2-4</t>
  </si>
  <si>
    <t>Type 42</t>
  </si>
  <si>
    <t>A83AT42</t>
  </si>
  <si>
    <t>A83AMSTL</t>
  </si>
  <si>
    <t>V Sup Fac</t>
  </si>
  <si>
    <t>Tot V</t>
  </si>
  <si>
    <t>%V SupFac</t>
  </si>
  <si>
    <t>%V Access</t>
  </si>
  <si>
    <t>Crew</t>
  </si>
  <si>
    <t>Skld Pers</t>
  </si>
  <si>
    <t>Sp V Mchy</t>
  </si>
  <si>
    <t>Avg Dk Ht</t>
  </si>
  <si>
    <t>Tot Hab</t>
  </si>
  <si>
    <t>Sup</t>
  </si>
  <si>
    <t>Stwg</t>
  </si>
  <si>
    <t>(m^3)</t>
  </si>
  <si>
    <t>(m^3/shp)</t>
  </si>
  <si>
    <t>(m)</t>
  </si>
  <si>
    <t>Sp/Acc</t>
  </si>
  <si>
    <t>O.H.Perry</t>
  </si>
  <si>
    <t>A82FFG7</t>
  </si>
  <si>
    <t>App</t>
  </si>
  <si>
    <t>A82CPF</t>
  </si>
  <si>
    <t>G.Leygues</t>
  </si>
  <si>
    <t>A82C70</t>
  </si>
  <si>
    <t>N/A</t>
  </si>
  <si>
    <t>F-122</t>
  </si>
  <si>
    <t>A82F122</t>
  </si>
  <si>
    <t>A82KRTN</t>
  </si>
  <si>
    <t>A82T42</t>
  </si>
  <si>
    <t>A82MSTL</t>
  </si>
  <si>
    <t>P Tot</t>
  </si>
  <si>
    <t>Wpy/(LS+Arms)</t>
  </si>
  <si>
    <t>A/Acc</t>
  </si>
  <si>
    <t>W Py</t>
  </si>
  <si>
    <t>WOF&amp;a</t>
  </si>
  <si>
    <t>W P&amp;E</t>
  </si>
  <si>
    <t>W Str</t>
  </si>
  <si>
    <t>Disp FL</t>
  </si>
  <si>
    <t>%W Py</t>
  </si>
  <si>
    <t>%WOF&amp;a</t>
  </si>
  <si>
    <t>%W P&amp;E</t>
  </si>
  <si>
    <t>%W Str</t>
  </si>
  <si>
    <t>Vol Tot</t>
  </si>
  <si>
    <t>V Tnk</t>
  </si>
  <si>
    <t>VMnt&amp;Str</t>
  </si>
  <si>
    <t>V SCntr</t>
  </si>
  <si>
    <t>V Mn&amp;Aux P</t>
  </si>
  <si>
    <t>V Per</t>
  </si>
  <si>
    <t>VPy</t>
  </si>
  <si>
    <t>%V Tnk</t>
  </si>
  <si>
    <t>%VMnt&amp;Str</t>
  </si>
  <si>
    <t>%V SCntr</t>
  </si>
  <si>
    <t>%V Mn&amp;Aux P</t>
  </si>
  <si>
    <t>%V Per</t>
  </si>
  <si>
    <t>%VPy</t>
  </si>
  <si>
    <t>Vtot/LS</t>
  </si>
  <si>
    <t>%Awdk Wp</t>
  </si>
  <si>
    <t>%Awd H</t>
  </si>
  <si>
    <t>%Awd I&amp;E</t>
  </si>
  <si>
    <t>%Awd Bt&amp;RAS</t>
  </si>
  <si>
    <t>%Awd SS&amp;Hngr</t>
  </si>
  <si>
    <t>%Awd MnDk</t>
  </si>
  <si>
    <t>V Mchy/(P+G)</t>
  </si>
  <si>
    <t>(fl)</t>
  </si>
  <si>
    <t>FFG-7</t>
  </si>
  <si>
    <t>A80FFG7</t>
  </si>
  <si>
    <t>A80CPF</t>
  </si>
  <si>
    <t>A80C70</t>
  </si>
  <si>
    <t>A80KRTN</t>
  </si>
  <si>
    <t>F122</t>
  </si>
  <si>
    <t>A80F122</t>
  </si>
  <si>
    <t>Sheffeild</t>
  </si>
  <si>
    <t>A80T42</t>
  </si>
  <si>
    <t>A80MSTR</t>
  </si>
  <si>
    <t>A880KRVK</t>
  </si>
  <si>
    <t>Year</t>
  </si>
  <si>
    <t>Vmax</t>
  </si>
  <si>
    <t>%WaHull</t>
  </si>
  <si>
    <t>%WbFuel</t>
  </si>
  <si>
    <t>%WcEng</t>
  </si>
  <si>
    <t>%WdPyld</t>
  </si>
  <si>
    <t>%WePers</t>
  </si>
  <si>
    <t>%WfMar/Blst</t>
  </si>
  <si>
    <t>%WTot</t>
  </si>
  <si>
    <t>%VaEng</t>
  </si>
  <si>
    <t>%VbFuel</t>
  </si>
  <si>
    <t>%VcPyld</t>
  </si>
  <si>
    <t>%VdPers</t>
  </si>
  <si>
    <t>%VePsg/Acces</t>
  </si>
  <si>
    <t>%VfUna</t>
  </si>
  <si>
    <t>%VgBall</t>
  </si>
  <si>
    <t>%V Tot</t>
  </si>
  <si>
    <t>Ship Strct Dens</t>
  </si>
  <si>
    <t>Pers Dens</t>
  </si>
  <si>
    <t>Pyld Dens</t>
  </si>
  <si>
    <t>Mn Prp Eng</t>
  </si>
  <si>
    <t>Tot Eng</t>
  </si>
  <si>
    <t>Pers Sp Wt</t>
  </si>
  <si>
    <t>Pers Sp V</t>
  </si>
  <si>
    <t>Prp Sp Wt</t>
  </si>
  <si>
    <t>Prp Sp V</t>
  </si>
  <si>
    <t xml:space="preserve">Aq Cost </t>
  </si>
  <si>
    <t>Ship vol</t>
  </si>
  <si>
    <t>VaEng</t>
  </si>
  <si>
    <t>VbFuel</t>
  </si>
  <si>
    <t>VcPyld</t>
  </si>
  <si>
    <t>VdPers</t>
  </si>
  <si>
    <t>VePsg/Acces</t>
  </si>
  <si>
    <t>VfUna</t>
  </si>
  <si>
    <t>VgBall</t>
  </si>
  <si>
    <t>(w/o liq)</t>
  </si>
  <si>
    <t>(w/ liq)</t>
  </si>
  <si>
    <t>(mt/man)</t>
  </si>
  <si>
    <t>(m^3/man)</t>
  </si>
  <si>
    <t>(follow on)</t>
  </si>
  <si>
    <t>($ x 10^6)</t>
  </si>
  <si>
    <t>A76F1006</t>
  </si>
  <si>
    <t>A76F1033</t>
  </si>
  <si>
    <t>A76F1037</t>
  </si>
  <si>
    <t>S-600psi</t>
  </si>
  <si>
    <t>A76F1040</t>
  </si>
  <si>
    <t>S-Press Frd</t>
  </si>
  <si>
    <t>A76F1052</t>
  </si>
  <si>
    <t>S-1200 psi</t>
  </si>
  <si>
    <t>FFG1</t>
  </si>
  <si>
    <t>A76FFG1</t>
  </si>
  <si>
    <t>A76FFG7</t>
  </si>
  <si>
    <t>DDG2</t>
  </si>
  <si>
    <t>A76DDG2</t>
  </si>
  <si>
    <t>A76DD931</t>
  </si>
  <si>
    <t>DD963</t>
  </si>
  <si>
    <t>A76DD963</t>
  </si>
  <si>
    <t>PLATFORM</t>
  </si>
  <si>
    <t>PAYLOAD</t>
  </si>
  <si>
    <t>PERSONNEL</t>
  </si>
  <si>
    <t>MAIN &amp; AUX MACH</t>
  </si>
  <si>
    <t>SHIP CONT</t>
  </si>
  <si>
    <t>MNT &amp; STRS</t>
  </si>
  <si>
    <t>TANKAGE</t>
  </si>
  <si>
    <t>ACCESS</t>
  </si>
  <si>
    <t>U.S.
FFG7</t>
  </si>
  <si>
    <t>CANADA
PFC</t>
  </si>
  <si>
    <t>FRANCE
C70</t>
  </si>
  <si>
    <t>NETH
S F</t>
  </si>
  <si>
    <t>FRG F122</t>
  </si>
  <si>
    <t>U.K.
TYPE 42</t>
  </si>
  <si>
    <t>ITALY
MAESTRALE</t>
  </si>
  <si>
    <t>SOVIET
KRIVAK</t>
  </si>
  <si>
    <t>Volume (kcum)</t>
  </si>
  <si>
    <t>Vmilmsn</t>
  </si>
  <si>
    <t>Vc2s</t>
  </si>
  <si>
    <t>Vamph</t>
  </si>
  <si>
    <t>Vcgo</t>
  </si>
  <si>
    <t>Vpax_fac</t>
  </si>
  <si>
    <t>Vspe_msn</t>
  </si>
  <si>
    <t>Vstow</t>
  </si>
  <si>
    <t>Vsm_arms</t>
  </si>
  <si>
    <t>Vadmin</t>
  </si>
  <si>
    <t>Vship_supt</t>
  </si>
  <si>
    <t>Vdmgcntl</t>
  </si>
  <si>
    <t>Vmil_msn</t>
  </si>
  <si>
    <t>Vint_mnt</t>
  </si>
  <si>
    <t>Vdk_sys</t>
  </si>
  <si>
    <t>Vaccess</t>
  </si>
  <si>
    <t>Vtnks</t>
  </si>
  <si>
    <t>Vprop</t>
  </si>
  <si>
    <t>Vtrans</t>
  </si>
  <si>
    <t>Vhuman_supt</t>
  </si>
  <si>
    <t>DDG 51 Flt III</t>
  </si>
  <si>
    <t>DDG 51 Flt IIa</t>
  </si>
  <si>
    <t>CBR Prot</t>
  </si>
  <si>
    <t>Gen Serv</t>
  </si>
  <si>
    <t>CG 52</t>
  </si>
  <si>
    <t>CG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</si>
</sst>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#,##0\ ;\(&quot;$&quot;#,##0\)"/>
    <numFmt numFmtId="165" formatCode="0_ "/>
    <numFmt numFmtId="166" formatCode="0.00_ "/>
    <numFmt numFmtId="167" formatCode="0.0"/>
    <numFmt numFmtId="168" formatCode="0.0000"/>
    <numFmt numFmtId="169" formatCode="0.0_ "/>
    <numFmt numFmtId="170" formatCode="0.000"/>
    <numFmt numFmtId="171" formatCode="0.000_ "/>
  </numFmts>
  <fonts count="25">
    <font>
      <sz val="12"/>
      <name val="Times New Roman"/>
      <charset val="134"/>
    </font>
    <font>
      <sz val="10"/>
      <name val="Calibri"/>
      <charset val="134"/>
      <scheme val="minor"/>
    </font>
    <font>
      <sz val="10"/>
      <name val="Arial"/>
    </font>
    <font>
      <sz val="11"/>
      <color rgb="FF0070C0"/>
      <name val="Calibri"/>
      <charset val="134"/>
      <scheme val="minor"/>
    </font>
    <font>
      <b/>
      <sz val="10"/>
      <name val="Arial"/>
    </font>
    <font>
      <sz val="10"/>
      <name val="Calibri"/>
      <scheme val="minor"/>
    </font>
    <font>
      <b/>
      <sz val="10"/>
      <name val="Calibri"/>
      <scheme val="minor"/>
    </font>
    <font>
      <sz val="12"/>
      <color rgb="FF0070C0"/>
      <name val="Times New Roman"/>
      <charset val="134"/>
    </font>
    <font>
      <sz val="11"/>
      <name val="Calibri"/>
      <charset val="134"/>
      <scheme val="minor"/>
    </font>
    <font>
      <sz val="12"/>
      <name val="Arial"/>
    </font>
    <font>
      <sz val="10"/>
      <color indexed="10"/>
      <name val="Arial"/>
    </font>
    <font>
      <sz val="12"/>
      <color rgb="FF00B0F0"/>
      <name val="Times New Roman"/>
      <charset val="134"/>
    </font>
    <font>
      <sz val="10"/>
      <color rgb="FF0070C0"/>
      <name val="Arial"/>
    </font>
    <font>
      <sz val="10"/>
      <color rgb="FF00B0F0"/>
      <name val="Arial"/>
    </font>
    <font>
      <sz val="11"/>
      <color rgb="FF00B0F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name val="Calibri"/>
      <charset val="134"/>
      <scheme val="minor"/>
    </font>
    <font>
      <sz val="12"/>
      <color rgb="FF00B0F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B050"/>
      <name val="Calibri"/>
      <charset val="134"/>
      <scheme val="minor"/>
    </font>
    <font>
      <sz val="11"/>
      <color rgb="FF000000"/>
      <name val="Courier"/>
      <charset val="134"/>
    </font>
    <font>
      <sz val="10"/>
      <color rgb="FF000000"/>
      <name val="Courier"/>
      <charset val="134"/>
    </font>
    <font>
      <sz val="12"/>
      <name val="Times New Roman"/>
      <charset val="134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>
      <alignment vertical="center"/>
    </xf>
    <xf numFmtId="4" fontId="23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>
      <alignment vertical="center"/>
    </xf>
    <xf numFmtId="3" fontId="23" fillId="0" borderId="0" applyFont="0" applyFill="0" applyBorder="0" applyAlignment="0" applyProtection="0">
      <alignment vertical="center"/>
    </xf>
    <xf numFmtId="2" fontId="23" fillId="0" borderId="0" applyFont="0" applyFill="0" applyBorder="0" applyAlignment="0" applyProtection="0">
      <alignment vertical="center"/>
    </xf>
    <xf numFmtId="164" fontId="23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Border="1">
      <alignment vertical="center"/>
    </xf>
    <xf numFmtId="167" fontId="2" fillId="0" borderId="0" xfId="0" applyNumberFormat="1" applyFont="1" applyFill="1" applyBorder="1" applyAlignment="1"/>
    <xf numFmtId="0" fontId="2" fillId="2" borderId="0" xfId="0" applyFont="1" applyFill="1" applyBorder="1" applyAlignment="1"/>
    <xf numFmtId="1" fontId="2" fillId="2" borderId="0" xfId="0" applyNumberFormat="1" applyFont="1" applyFill="1" applyBorder="1" applyAlignment="1"/>
    <xf numFmtId="0" fontId="2" fillId="3" borderId="0" xfId="0" applyFont="1" applyFill="1" applyBorder="1" applyAlignment="1"/>
    <xf numFmtId="167" fontId="2" fillId="3" borderId="0" xfId="0" applyNumberFormat="1" applyFont="1" applyFill="1" applyBorder="1" applyAlignment="1"/>
    <xf numFmtId="169" fontId="3" fillId="0" borderId="0" xfId="0" applyNumberFormat="1" applyFont="1" applyBorder="1">
      <alignment vertical="center"/>
    </xf>
    <xf numFmtId="165" fontId="3" fillId="0" borderId="0" xfId="0" applyNumberFormat="1" applyFont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2" fontId="2" fillId="2" borderId="0" xfId="0" applyNumberFormat="1" applyFont="1" applyFill="1" applyBorder="1" applyAlignment="1"/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9" fontId="3" fillId="0" borderId="0" xfId="0" applyNumberFormat="1" applyFont="1" applyFill="1" applyBorder="1">
      <alignment vertical="center"/>
    </xf>
    <xf numFmtId="1" fontId="3" fillId="0" borderId="0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2" fillId="0" borderId="1" xfId="0" applyFont="1" applyFill="1" applyBorder="1" applyAlignment="1">
      <alignment vertical="top" wrapText="1"/>
    </xf>
    <xf numFmtId="169" fontId="3" fillId="0" borderId="0" xfId="0" applyNumberFormat="1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Border="1">
      <alignment vertical="center"/>
    </xf>
    <xf numFmtId="1" fontId="2" fillId="0" borderId="0" xfId="0" applyNumberFormat="1" applyFont="1" applyFill="1" applyBorder="1" applyAlignment="1"/>
    <xf numFmtId="0" fontId="2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/>
    <xf numFmtId="170" fontId="2" fillId="0" borderId="0" xfId="0" applyNumberFormat="1" applyFont="1" applyFill="1" applyBorder="1" applyAlignment="1"/>
    <xf numFmtId="2" fontId="2" fillId="4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/>
    <xf numFmtId="168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167" fontId="2" fillId="2" borderId="0" xfId="0" applyNumberFormat="1" applyFont="1" applyFill="1" applyBorder="1" applyAlignment="1"/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12" fillId="0" borderId="0" xfId="0" applyFont="1" applyFill="1" applyBorder="1" applyAlignment="1"/>
    <xf numFmtId="0" fontId="7" fillId="3" borderId="0" xfId="0" applyFont="1" applyFill="1">
      <alignment vertical="center"/>
    </xf>
    <xf numFmtId="0" fontId="13" fillId="0" borderId="0" xfId="0" applyFont="1" applyFill="1" applyBorder="1" applyAlignment="1"/>
    <xf numFmtId="169" fontId="14" fillId="0" borderId="0" xfId="0" applyNumberFormat="1" applyFont="1" applyBorder="1">
      <alignment vertical="center"/>
    </xf>
    <xf numFmtId="0" fontId="3" fillId="3" borderId="0" xfId="0" applyFont="1" applyFill="1" applyBorder="1">
      <alignment vertical="center"/>
    </xf>
    <xf numFmtId="169" fontId="3" fillId="0" borderId="0" xfId="0" applyNumberFormat="1" applyFont="1">
      <alignment vertical="center"/>
    </xf>
    <xf numFmtId="0" fontId="3" fillId="0" borderId="0" xfId="0" applyFont="1" applyFill="1" applyBorder="1">
      <alignment vertical="center"/>
    </xf>
    <xf numFmtId="165" fontId="3" fillId="2" borderId="0" xfId="0" applyNumberFormat="1" applyFont="1" applyFill="1" applyBorder="1">
      <alignment vertical="center"/>
    </xf>
    <xf numFmtId="165" fontId="3" fillId="0" borderId="0" xfId="0" applyNumberFormat="1" applyFont="1">
      <alignment vertical="center"/>
    </xf>
    <xf numFmtId="169" fontId="15" fillId="0" borderId="0" xfId="0" applyNumberFormat="1" applyFont="1" applyBorder="1">
      <alignment vertical="center"/>
    </xf>
    <xf numFmtId="165" fontId="3" fillId="3" borderId="0" xfId="0" applyNumberFormat="1" applyFont="1" applyFill="1" applyBorder="1">
      <alignment vertical="center"/>
    </xf>
    <xf numFmtId="165" fontId="14" fillId="0" borderId="0" xfId="0" applyNumberFormat="1" applyFont="1" applyBorder="1">
      <alignment vertical="center"/>
    </xf>
    <xf numFmtId="169" fontId="16" fillId="0" borderId="0" xfId="0" applyNumberFormat="1" applyFont="1" applyBorder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169" fontId="3" fillId="2" borderId="0" xfId="0" applyNumberFormat="1" applyFont="1" applyFill="1" applyBorder="1">
      <alignment vertical="center"/>
    </xf>
    <xf numFmtId="169" fontId="3" fillId="0" borderId="0" xfId="0" applyNumberFormat="1" applyFont="1" applyFill="1">
      <alignment vertical="center"/>
    </xf>
    <xf numFmtId="1" fontId="3" fillId="0" borderId="0" xfId="0" applyNumberFormat="1" applyFont="1">
      <alignment vertical="center"/>
    </xf>
    <xf numFmtId="1" fontId="12" fillId="0" borderId="0" xfId="0" applyNumberFormat="1" applyFont="1" applyFill="1" applyBorder="1" applyAlignment="1"/>
    <xf numFmtId="1" fontId="13" fillId="0" borderId="0" xfId="0" applyNumberFormat="1" applyFont="1" applyFill="1" applyBorder="1" applyAlignment="1"/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66" fontId="17" fillId="0" borderId="0" xfId="0" applyNumberFormat="1" applyFont="1">
      <alignment vertical="center"/>
    </xf>
    <xf numFmtId="166" fontId="17" fillId="0" borderId="0" xfId="0" applyNumberFormat="1" applyFont="1" applyAlignment="1">
      <alignment horizontal="center" vertical="center"/>
    </xf>
    <xf numFmtId="0" fontId="17" fillId="0" borderId="0" xfId="0" applyFont="1" applyBorder="1">
      <alignment vertical="center"/>
    </xf>
    <xf numFmtId="167" fontId="17" fillId="0" borderId="0" xfId="0" applyNumberFormat="1" applyFont="1" applyFill="1" applyBorder="1">
      <alignment vertical="center"/>
    </xf>
    <xf numFmtId="165" fontId="17" fillId="0" borderId="0" xfId="0" applyNumberFormat="1" applyFont="1" applyBorder="1">
      <alignment vertical="center"/>
    </xf>
    <xf numFmtId="3" fontId="17" fillId="0" borderId="0" xfId="1" applyNumberFormat="1" applyFont="1" applyBorder="1">
      <alignment vertical="center"/>
    </xf>
    <xf numFmtId="169" fontId="17" fillId="0" borderId="0" xfId="0" applyNumberFormat="1" applyFont="1">
      <alignment vertical="center"/>
    </xf>
    <xf numFmtId="165" fontId="17" fillId="0" borderId="0" xfId="0" applyNumberFormat="1" applyFo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171" fontId="17" fillId="0" borderId="0" xfId="0" applyNumberFormat="1" applyFont="1" applyAlignment="1">
      <alignment horizontal="center" vertical="center"/>
    </xf>
    <xf numFmtId="0" fontId="17" fillId="2" borderId="0" xfId="0" applyFont="1" applyFill="1">
      <alignment vertical="center"/>
    </xf>
    <xf numFmtId="0" fontId="21" fillId="0" borderId="0" xfId="0" applyFont="1" applyFill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7" fillId="0" borderId="0" xfId="0" quotePrefix="1" applyFont="1">
      <alignment vertical="center"/>
    </xf>
    <xf numFmtId="0" fontId="17" fillId="0" borderId="0" xfId="0" quotePrefix="1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5" borderId="0" xfId="0" applyFont="1" applyFill="1">
      <alignment vertical="center"/>
    </xf>
    <xf numFmtId="169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8" borderId="0" xfId="0" applyFont="1" applyFill="1">
      <alignment vertical="center"/>
    </xf>
    <xf numFmtId="0" fontId="3" fillId="8" borderId="0" xfId="0" applyFont="1" applyFill="1" applyAlignment="1">
      <alignment horizontal="center" vertical="center"/>
    </xf>
    <xf numFmtId="0" fontId="0" fillId="8" borderId="0" xfId="0" applyFill="1">
      <alignment vertical="center"/>
    </xf>
    <xf numFmtId="0" fontId="0" fillId="8" borderId="0" xfId="0" applyFill="1" applyAlignment="1">
      <alignment horizontal="center" vertical="center"/>
    </xf>
    <xf numFmtId="0" fontId="24" fillId="7" borderId="0" xfId="0" applyFont="1" applyFill="1">
      <alignment vertical="center"/>
    </xf>
    <xf numFmtId="0" fontId="3" fillId="7" borderId="0" xfId="0" applyFont="1" applyFill="1" applyAlignment="1">
      <alignment horizontal="center" vertical="center"/>
    </xf>
    <xf numFmtId="0" fontId="24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24" fillId="5" borderId="0" xfId="0" applyFont="1" applyFill="1">
      <alignment vertical="center"/>
    </xf>
    <xf numFmtId="167" fontId="3" fillId="5" borderId="0" xfId="0" applyNumberFormat="1" applyFont="1" applyFill="1" applyAlignment="1">
      <alignment horizontal="center" vertical="center"/>
    </xf>
    <xf numFmtId="0" fontId="24" fillId="2" borderId="0" xfId="0" applyFont="1" applyFill="1">
      <alignment vertical="center"/>
    </xf>
    <xf numFmtId="0" fontId="2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169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Fill="1" applyBorder="1">
      <alignment vertical="center"/>
    </xf>
    <xf numFmtId="1" fontId="3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" fontId="3" fillId="2" borderId="0" xfId="0" applyNumberFormat="1" applyFont="1" applyFill="1" applyBorder="1">
      <alignment vertical="center"/>
    </xf>
    <xf numFmtId="1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1" fontId="24" fillId="0" borderId="0" xfId="0" applyNumberFormat="1" applyFont="1" applyAlignment="1">
      <alignment vertical="center"/>
    </xf>
    <xf numFmtId="1" fontId="3" fillId="3" borderId="0" xfId="0" applyNumberFormat="1" applyFont="1" applyFill="1" applyBorder="1">
      <alignment vertical="center"/>
    </xf>
    <xf numFmtId="169" fontId="3" fillId="3" borderId="0" xfId="0" applyNumberFormat="1" applyFont="1" applyFill="1" applyBorder="1">
      <alignment vertical="center"/>
    </xf>
    <xf numFmtId="165" fontId="3" fillId="0" borderId="0" xfId="0" applyNumberFormat="1" applyFont="1" applyFill="1" applyBorder="1">
      <alignment vertical="center"/>
    </xf>
    <xf numFmtId="1" fontId="24" fillId="0" borderId="0" xfId="0" applyNumberFormat="1" applyFont="1" applyFill="1" applyAlignment="1">
      <alignment vertical="center"/>
    </xf>
  </cellXfs>
  <cellStyles count="6">
    <cellStyle name="Comma" xfId="1" builtinId="3"/>
    <cellStyle name="Comma0" xfId="3"/>
    <cellStyle name="Currency0" xfId="5"/>
    <cellStyle name="Date" xfId="2"/>
    <cellStyle name="Fixed" xfId="4"/>
    <cellStyle name="Normal" xfId="0" builtinId="0"/>
  </cellStyles>
  <dxfs count="0"/>
  <tableStyles count="0" defaultTableStyle="TableStyleMedium2" defaultPivotStyle="PivotStyleLight16"/>
  <colors>
    <mruColors>
      <color rgb="FFC03232"/>
      <color rgb="FFC02828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Hull Volume vs Total Volume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dot"/>
            <c:size val="2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dash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3.9895917248060637E-2"/>
                  <c:y val="0.1027033549976802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Data'!$V$7:$V$27</c:f>
              <c:numCache>
                <c:formatCode>0</c:formatCode>
                <c:ptCount val="21"/>
                <c:pt idx="0">
                  <c:v>6864.25401884246</c:v>
                </c:pt>
                <c:pt idx="1">
                  <c:v>5649.1338045333396</c:v>
                </c:pt>
                <c:pt idx="2">
                  <c:v>8224.0785979877292</c:v>
                </c:pt>
                <c:pt idx="3">
                  <c:v>11542.9340889462</c:v>
                </c:pt>
                <c:pt idx="4">
                  <c:v>15064.545597953</c:v>
                </c:pt>
                <c:pt idx="5">
                  <c:v>14336.2097342376</c:v>
                </c:pt>
                <c:pt idx="7">
                  <c:v>16243.841671842603</c:v>
                </c:pt>
                <c:pt idx="8">
                  <c:v>23677.401278664482</c:v>
                </c:pt>
                <c:pt idx="9">
                  <c:v>19785.976531476583</c:v>
                </c:pt>
                <c:pt idx="10">
                  <c:v>12240.631833877473</c:v>
                </c:pt>
                <c:pt idx="11">
                  <c:v>20206.177325773875</c:v>
                </c:pt>
                <c:pt idx="12">
                  <c:v>19475.393335691646</c:v>
                </c:pt>
                <c:pt idx="14">
                  <c:v>128.97378270964509</c:v>
                </c:pt>
                <c:pt idx="15">
                  <c:v>475.28729146968567</c:v>
                </c:pt>
                <c:pt idx="16">
                  <c:v>614.97939161386819</c:v>
                </c:pt>
                <c:pt idx="17">
                  <c:v>739.5497440432739</c:v>
                </c:pt>
                <c:pt idx="18">
                  <c:v>3550.38955416624</c:v>
                </c:pt>
                <c:pt idx="19">
                  <c:v>6574.2647726380183</c:v>
                </c:pt>
                <c:pt idx="20">
                  <c:v>11008.68897211667</c:v>
                </c:pt>
              </c:numCache>
            </c:numRef>
          </c:xVal>
          <c:yVal>
            <c:numRef>
              <c:f>'Ship Data'!$W$7:$W$26</c:f>
              <c:numCache>
                <c:formatCode>0</c:formatCode>
                <c:ptCount val="20"/>
                <c:pt idx="0">
                  <c:v>6040.4869008221303</c:v>
                </c:pt>
                <c:pt idx="1">
                  <c:v>4551.5327906293196</c:v>
                </c:pt>
                <c:pt idx="2">
                  <c:v>7036.7099057019896</c:v>
                </c:pt>
                <c:pt idx="3">
                  <c:v>9374.3508679769293</c:v>
                </c:pt>
                <c:pt idx="4">
                  <c:v>10720.866043702799</c:v>
                </c:pt>
                <c:pt idx="5">
                  <c:v>10338.857847687201</c:v>
                </c:pt>
                <c:pt idx="7">
                  <c:v>8449.4889197285993</c:v>
                </c:pt>
                <c:pt idx="10">
                  <c:v>7111.1859290912498</c:v>
                </c:pt>
                <c:pt idx="14">
                  <c:v>94.185267601773987</c:v>
                </c:pt>
                <c:pt idx="15">
                  <c:v>351.04259465586023</c:v>
                </c:pt>
                <c:pt idx="16">
                  <c:v>496.46906542221933</c:v>
                </c:pt>
                <c:pt idx="17">
                  <c:v>574.79632043920878</c:v>
                </c:pt>
                <c:pt idx="18">
                  <c:v>3035.1174166792052</c:v>
                </c:pt>
                <c:pt idx="19">
                  <c:v>5126.4707004666116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26-4B29-A892-1FB780ABCB06}"/>
            </c:ext>
          </c:extLst>
        </c:ser>
        <c:ser>
          <c:idx val="0"/>
          <c:order val="1"/>
          <c:tx>
            <c:v>USN FF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Data'!$V$7:$V$12</c:f>
              <c:numCache>
                <c:formatCode>0</c:formatCode>
                <c:ptCount val="6"/>
                <c:pt idx="0">
                  <c:v>6864.25401884246</c:v>
                </c:pt>
                <c:pt idx="1">
                  <c:v>5649.1338045333396</c:v>
                </c:pt>
                <c:pt idx="2">
                  <c:v>8224.0785979877292</c:v>
                </c:pt>
                <c:pt idx="3">
                  <c:v>11542.9340889462</c:v>
                </c:pt>
                <c:pt idx="4">
                  <c:v>15064.545597953</c:v>
                </c:pt>
                <c:pt idx="5">
                  <c:v>14336.2097342376</c:v>
                </c:pt>
              </c:numCache>
            </c:numRef>
          </c:xVal>
          <c:yVal>
            <c:numRef>
              <c:f>'Ship Data'!$W$7:$W$12</c:f>
              <c:numCache>
                <c:formatCode>0</c:formatCode>
                <c:ptCount val="6"/>
                <c:pt idx="0">
                  <c:v>6040.4869008221303</c:v>
                </c:pt>
                <c:pt idx="1">
                  <c:v>4551.5327906293196</c:v>
                </c:pt>
                <c:pt idx="2">
                  <c:v>7036.7099057019896</c:v>
                </c:pt>
                <c:pt idx="3">
                  <c:v>9374.3508679769293</c:v>
                </c:pt>
                <c:pt idx="4">
                  <c:v>10720.866043702799</c:v>
                </c:pt>
                <c:pt idx="5">
                  <c:v>10338.857847687201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A7-4138-AE68-4F3FB8E1E76A}"/>
            </c:ext>
          </c:extLst>
        </c:ser>
        <c:ser>
          <c:idx val="1"/>
          <c:order val="2"/>
          <c:tx>
            <c:v>Other FF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Data'!$V$14:$V$19</c:f>
              <c:numCache>
                <c:formatCode>0</c:formatCode>
                <c:ptCount val="6"/>
                <c:pt idx="0">
                  <c:v>16243.841671842603</c:v>
                </c:pt>
                <c:pt idx="1">
                  <c:v>23677.401278664482</c:v>
                </c:pt>
                <c:pt idx="2">
                  <c:v>19785.976531476583</c:v>
                </c:pt>
                <c:pt idx="3">
                  <c:v>12240.631833877473</c:v>
                </c:pt>
                <c:pt idx="4">
                  <c:v>20206.177325773875</c:v>
                </c:pt>
                <c:pt idx="5">
                  <c:v>19475.393335691646</c:v>
                </c:pt>
              </c:numCache>
            </c:numRef>
          </c:xVal>
          <c:yVal>
            <c:numRef>
              <c:f>'Ship Data'!$W$14:$W$19</c:f>
              <c:numCache>
                <c:formatCode>0</c:formatCode>
                <c:ptCount val="6"/>
                <c:pt idx="0">
                  <c:v>8449.4889197285993</c:v>
                </c:pt>
                <c:pt idx="3">
                  <c:v>7111.1859290912498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A7-4138-AE68-4F3FB8E1E76A}"/>
            </c:ext>
          </c:extLst>
        </c:ser>
        <c:ser>
          <c:idx val="2"/>
          <c:order val="3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Data'!$V$21:$V$27</c:f>
              <c:numCache>
                <c:formatCode>0</c:formatCode>
                <c:ptCount val="7"/>
                <c:pt idx="0">
                  <c:v>128.97378270964509</c:v>
                </c:pt>
                <c:pt idx="1">
                  <c:v>475.28729146968567</c:v>
                </c:pt>
                <c:pt idx="2">
                  <c:v>614.97939161386819</c:v>
                </c:pt>
                <c:pt idx="3">
                  <c:v>739.5497440432739</c:v>
                </c:pt>
                <c:pt idx="4">
                  <c:v>3550.38955416624</c:v>
                </c:pt>
                <c:pt idx="5">
                  <c:v>6574.2647726380183</c:v>
                </c:pt>
                <c:pt idx="6">
                  <c:v>11008.68897211667</c:v>
                </c:pt>
              </c:numCache>
            </c:numRef>
          </c:xVal>
          <c:yVal>
            <c:numRef>
              <c:f>'Ship Data'!$W$21:$W$26</c:f>
              <c:numCache>
                <c:formatCode>0</c:formatCode>
                <c:ptCount val="6"/>
                <c:pt idx="0">
                  <c:v>94.185267601773987</c:v>
                </c:pt>
                <c:pt idx="1">
                  <c:v>351.04259465586023</c:v>
                </c:pt>
                <c:pt idx="2">
                  <c:v>496.46906542221933</c:v>
                </c:pt>
                <c:pt idx="3">
                  <c:v>574.79632043920878</c:v>
                </c:pt>
                <c:pt idx="4">
                  <c:v>3035.1174166792052</c:v>
                </c:pt>
                <c:pt idx="5">
                  <c:v>5126.4707004666116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A7-4138-AE68-4F3FB8E1E76A}"/>
            </c:ext>
          </c:extLst>
        </c:ser>
        <c:ser>
          <c:idx val="4"/>
          <c:order val="4"/>
          <c:tx>
            <c:v>USN DD&amp;CG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'Ship Data'!$V$29:$V$33</c:f>
              <c:numCache>
                <c:formatCode>0</c:formatCode>
                <c:ptCount val="5"/>
                <c:pt idx="0">
                  <c:v>32861.757577193996</c:v>
                </c:pt>
                <c:pt idx="1">
                  <c:v>29616.141124547477</c:v>
                </c:pt>
                <c:pt idx="2">
                  <c:v>28586.781386477731</c:v>
                </c:pt>
                <c:pt idx="3">
                  <c:v>28424.31123350708</c:v>
                </c:pt>
              </c:numCache>
            </c:numRef>
          </c:xVal>
          <c:yVal>
            <c:numRef>
              <c:f>'Ship Data'!$W$29:$W$33</c:f>
              <c:numCache>
                <c:formatCode>0</c:formatCode>
                <c:ptCount val="5"/>
                <c:pt idx="0">
                  <c:v>27085.83</c:v>
                </c:pt>
                <c:pt idx="1">
                  <c:v>23440.464666440057</c:v>
                </c:pt>
                <c:pt idx="2">
                  <c:v>19968.820339193931</c:v>
                </c:pt>
                <c:pt idx="3">
                  <c:v>19828.454556693694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E26-4B29-A892-1FB780ABC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07398"/>
        <c:axId val="307980689"/>
      </c:scatterChart>
      <c:valAx>
        <c:axId val="41800739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  <a:r>
                  <a:rPr lang="en-US" baseline="0"/>
                  <a:t> Volume (m3)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980689"/>
        <c:crosses val="autoZero"/>
        <c:crossBetween val="midCat"/>
      </c:valAx>
      <c:valAx>
        <c:axId val="30798068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0739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V1.0 - Mission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dot"/>
            <c:size val="2"/>
            <c:spPr>
              <a:noFill/>
              <a:ln w="9525">
                <a:solidFill>
                  <a:srgbClr val="000000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dash"/>
              </a:ln>
              <a:effectLst/>
            </c:spPr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7.4638627848684372E-2"/>
                  <c:y val="0.194578260996244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Data'!$K$7:$K$27</c:f>
              <c:numCache>
                <c:formatCode>0_ </c:formatCode>
                <c:ptCount val="21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  <c:pt idx="7" formatCode="0.0_ ">
                  <c:v>3101.8</c:v>
                </c:pt>
                <c:pt idx="9" formatCode="0.0_ ">
                  <c:v>4160.2</c:v>
                </c:pt>
                <c:pt idx="10" formatCode="0.0_ ">
                  <c:v>2506</c:v>
                </c:pt>
                <c:pt idx="11" formatCode="0.0_ ">
                  <c:v>4141.4496960899896</c:v>
                </c:pt>
                <c:pt idx="12" formatCode="0.0_ ">
                  <c:v>3600.9071940488102</c:v>
                </c:pt>
                <c:pt idx="14" formatCode="0.0_ ">
                  <c:v>18.868184704708298</c:v>
                </c:pt>
                <c:pt idx="15" formatCode="0.0_ ">
                  <c:v>92.4612174544135</c:v>
                </c:pt>
                <c:pt idx="16" formatCode="0.0_ ">
                  <c:v>157.48888687290199</c:v>
                </c:pt>
                <c:pt idx="17" formatCode="0.0_ ">
                  <c:v>166.12537421754499</c:v>
                </c:pt>
                <c:pt idx="18" formatCode="0.0_ ">
                  <c:v>1087.18134809036</c:v>
                </c:pt>
                <c:pt idx="19" formatCode="0.0_ ">
                  <c:v>1651.49959176268</c:v>
                </c:pt>
                <c:pt idx="20" formatCode="0.0_ ">
                  <c:v>3000.4173092624501</c:v>
                </c:pt>
              </c:numCache>
            </c:numRef>
          </c:xVal>
          <c:yVal>
            <c:numRef>
              <c:f>'Ship Data'!$Y$7:$Y$27</c:f>
              <c:numCache>
                <c:formatCode>0</c:formatCode>
                <c:ptCount val="21"/>
                <c:pt idx="0">
                  <c:v>681</c:v>
                </c:pt>
                <c:pt idx="1">
                  <c:v>900</c:v>
                </c:pt>
                <c:pt idx="2">
                  <c:v>1427</c:v>
                </c:pt>
                <c:pt idx="3">
                  <c:v>2445</c:v>
                </c:pt>
                <c:pt idx="4">
                  <c:v>3013</c:v>
                </c:pt>
                <c:pt idx="5">
                  <c:v>3165</c:v>
                </c:pt>
                <c:pt idx="7">
                  <c:v>2182.8230690046071</c:v>
                </c:pt>
                <c:pt idx="8">
                  <c:v>2703.9007633042752</c:v>
                </c:pt>
                <c:pt idx="9">
                  <c:v>2740.4399628083929</c:v>
                </c:pt>
                <c:pt idx="10">
                  <c:v>1571.185578676811</c:v>
                </c:pt>
                <c:pt idx="11">
                  <c:v>3087.5623580974529</c:v>
                </c:pt>
                <c:pt idx="12">
                  <c:v>2539.474365535777</c:v>
                </c:pt>
                <c:pt idx="14">
                  <c:v>16.282780779019856</c:v>
                </c:pt>
                <c:pt idx="15">
                  <c:v>19.043774041549312</c:v>
                </c:pt>
                <c:pt idx="16">
                  <c:v>34.618607830176998</c:v>
                </c:pt>
                <c:pt idx="17">
                  <c:v>41.740554553522202</c:v>
                </c:pt>
                <c:pt idx="18">
                  <c:v>216.39815655317386</c:v>
                </c:pt>
                <c:pt idx="19">
                  <c:v>1031.4504471217726</c:v>
                </c:pt>
                <c:pt idx="20">
                  <c:v>1476.8057398376775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AD-475E-AA76-2F6955138B86}"/>
            </c:ext>
          </c:extLst>
        </c:ser>
        <c:ser>
          <c:idx val="0"/>
          <c:order val="1"/>
          <c:tx>
            <c:v>USN FF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Data'!$Y$7:$Y$12</c:f>
              <c:numCache>
                <c:formatCode>0</c:formatCode>
                <c:ptCount val="6"/>
                <c:pt idx="0">
                  <c:v>681</c:v>
                </c:pt>
                <c:pt idx="1">
                  <c:v>900</c:v>
                </c:pt>
                <c:pt idx="2">
                  <c:v>1427</c:v>
                </c:pt>
                <c:pt idx="3">
                  <c:v>2445</c:v>
                </c:pt>
                <c:pt idx="4">
                  <c:v>3013</c:v>
                </c:pt>
                <c:pt idx="5">
                  <c:v>3165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6E-4245-94A0-557BEE29CE42}"/>
            </c:ext>
          </c:extLst>
        </c:ser>
        <c:ser>
          <c:idx val="2"/>
          <c:order val="2"/>
          <c:tx>
            <c:v>Other FF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Data'!$Y$14:$Y$19</c:f>
              <c:numCache>
                <c:formatCode>0</c:formatCode>
                <c:ptCount val="6"/>
                <c:pt idx="0">
                  <c:v>2182.8230690046071</c:v>
                </c:pt>
                <c:pt idx="1">
                  <c:v>2703.9007633042752</c:v>
                </c:pt>
                <c:pt idx="2">
                  <c:v>2740.4399628083929</c:v>
                </c:pt>
                <c:pt idx="3">
                  <c:v>1571.185578676811</c:v>
                </c:pt>
                <c:pt idx="4">
                  <c:v>3087.5623580974529</c:v>
                </c:pt>
                <c:pt idx="5">
                  <c:v>2539.474365535777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6E-4245-94A0-557BEE29CE42}"/>
            </c:ext>
          </c:extLst>
        </c:ser>
        <c:ser>
          <c:idx val="1"/>
          <c:order val="3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Data'!$Y$21:$Y$27</c:f>
              <c:numCache>
                <c:formatCode>0</c:formatCode>
                <c:ptCount val="7"/>
                <c:pt idx="0">
                  <c:v>16.282780779019856</c:v>
                </c:pt>
                <c:pt idx="1">
                  <c:v>19.043774041549312</c:v>
                </c:pt>
                <c:pt idx="2">
                  <c:v>34.618607830176998</c:v>
                </c:pt>
                <c:pt idx="3">
                  <c:v>41.740554553522202</c:v>
                </c:pt>
                <c:pt idx="4">
                  <c:v>216.39815655317386</c:v>
                </c:pt>
                <c:pt idx="5">
                  <c:v>1031.4504471217726</c:v>
                </c:pt>
                <c:pt idx="6">
                  <c:v>1476.8057398376775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6E-4245-94A0-557BEE29CE42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Data'!$Y$29:$Y$33</c:f>
              <c:numCache>
                <c:formatCode>0</c:formatCode>
                <c:ptCount val="5"/>
                <c:pt idx="0">
                  <c:v>6737.6500000000005</c:v>
                </c:pt>
                <c:pt idx="1">
                  <c:v>7014.9334562775266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A4-48A7-BE38-8BD9160DC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V1.0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delete val="1"/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V1.1 - Electronics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1"/>
                </a:solidFill>
                <a:prstDash val="dash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2.1211906950434799E-2"/>
                  <c:y val="-4.094386380777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Data'!$Z$7:$Z$12</c:f>
              <c:numCache>
                <c:formatCode>0</c:formatCode>
                <c:ptCount val="6"/>
                <c:pt idx="0">
                  <c:v>358</c:v>
                </c:pt>
                <c:pt idx="1">
                  <c:v>334</c:v>
                </c:pt>
                <c:pt idx="2">
                  <c:v>672</c:v>
                </c:pt>
                <c:pt idx="3">
                  <c:v>938</c:v>
                </c:pt>
                <c:pt idx="4">
                  <c:v>1020</c:v>
                </c:pt>
                <c:pt idx="5">
                  <c:v>1531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29-4C85-A2C7-DFF8ECCFF20C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Data'!$Z$21:$Z$27</c:f>
              <c:numCache>
                <c:formatCode>0</c:formatCode>
                <c:ptCount val="7"/>
                <c:pt idx="1">
                  <c:v>18.222555532694397</c:v>
                </c:pt>
                <c:pt idx="2">
                  <c:v>25.316184376423916</c:v>
                </c:pt>
                <c:pt idx="3">
                  <c:v>29.22405176338868</c:v>
                </c:pt>
                <c:pt idx="4">
                  <c:v>110.21318746425266</c:v>
                </c:pt>
                <c:pt idx="5">
                  <c:v>559.15777142144577</c:v>
                </c:pt>
                <c:pt idx="6">
                  <c:v>577.99624083578135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29-4C85-A2C7-DFF8ECCFF20C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Data'!$Z$14:$Z$19</c:f>
              <c:numCache>
                <c:formatCode>0</c:formatCode>
                <c:ptCount val="6"/>
                <c:pt idx="0">
                  <c:v>1255.12326467765</c:v>
                </c:pt>
                <c:pt idx="1">
                  <c:v>1552.9159789247501</c:v>
                </c:pt>
                <c:pt idx="2">
                  <c:v>1315.4111821480301</c:v>
                </c:pt>
                <c:pt idx="3">
                  <c:v>365.391995041119</c:v>
                </c:pt>
                <c:pt idx="4">
                  <c:v>1260.6023828918601</c:v>
                </c:pt>
                <c:pt idx="5">
                  <c:v>1132.7151846274701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29-4C85-A2C7-DFF8ECCFF20C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Data'!$Z$29:$Z$33</c:f>
              <c:numCache>
                <c:formatCode>0</c:formatCode>
                <c:ptCount val="5"/>
                <c:pt idx="0">
                  <c:v>3439.9</c:v>
                </c:pt>
                <c:pt idx="1">
                  <c:v>3817.0802649168741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F0-44F6-9EA5-C467701A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V1.1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V1.2 - Weapons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1"/>
                </a:solidFill>
                <a:prstDash val="dash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6.3635720851304506E-2"/>
                  <c:y val="0.1249865316237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Data'!$AA$7:$AA$12</c:f>
              <c:numCache>
                <c:formatCode>0</c:formatCode>
                <c:ptCount val="6"/>
                <c:pt idx="0">
                  <c:v>272</c:v>
                </c:pt>
                <c:pt idx="1">
                  <c:v>566</c:v>
                </c:pt>
                <c:pt idx="2">
                  <c:v>315</c:v>
                </c:pt>
                <c:pt idx="3">
                  <c:v>1095</c:v>
                </c:pt>
                <c:pt idx="4">
                  <c:v>498</c:v>
                </c:pt>
                <c:pt idx="5">
                  <c:v>1090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29-452F-B706-A3DD57FBA7BB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0.15696811143321801"/>
                  <c:y val="3.016916280573209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Data'!$AA$21:$AA$27</c:f>
              <c:numCache>
                <c:formatCode>0</c:formatCode>
                <c:ptCount val="7"/>
                <c:pt idx="1">
                  <c:v>0.82121850885491443</c:v>
                </c:pt>
                <c:pt idx="2">
                  <c:v>9.3024234537530823</c:v>
                </c:pt>
                <c:pt idx="3">
                  <c:v>12.516502790133524</c:v>
                </c:pt>
                <c:pt idx="4">
                  <c:v>88.288069171807223</c:v>
                </c:pt>
                <c:pt idx="5">
                  <c:v>114.29096212891154</c:v>
                </c:pt>
                <c:pt idx="6">
                  <c:v>307.16404019135371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29-452F-B706-A3DD57FBA7BB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Data'!$AA$14:$AA$19</c:f>
              <c:numCache>
                <c:formatCode>0</c:formatCode>
                <c:ptCount val="6"/>
                <c:pt idx="0">
                  <c:v>381.99403707580598</c:v>
                </c:pt>
                <c:pt idx="1">
                  <c:v>584.62719206579004</c:v>
                </c:pt>
                <c:pt idx="2">
                  <c:v>876.94078809868495</c:v>
                </c:pt>
                <c:pt idx="3">
                  <c:v>712.51439033018198</c:v>
                </c:pt>
                <c:pt idx="4">
                  <c:v>895.21038785074097</c:v>
                </c:pt>
                <c:pt idx="5">
                  <c:v>511.548793057566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29-452F-B706-A3DD57FBA7BB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Data'!$AA$29:$AA$33</c:f>
              <c:numCache>
                <c:formatCode>0</c:formatCode>
                <c:ptCount val="5"/>
                <c:pt idx="0">
                  <c:v>1383.7</c:v>
                </c:pt>
                <c:pt idx="1">
                  <c:v>1462.023806678289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F-499A-8D09-CB4D1A21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V1.2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V1.3 - Aircraft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Data'!$AB$7:$AB$12</c:f>
              <c:numCache>
                <c:formatCode>0</c:formatCode>
                <c:ptCount val="6"/>
                <c:pt idx="2">
                  <c:v>356</c:v>
                </c:pt>
                <c:pt idx="3">
                  <c:v>321</c:v>
                </c:pt>
                <c:pt idx="4">
                  <c:v>1495</c:v>
                </c:pt>
                <c:pt idx="5">
                  <c:v>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73-4B8F-B2F5-709F7BD69B55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Data'!$AB$21:$AB$27</c:f>
              <c:numCache>
                <c:formatCode>0</c:formatCode>
                <c:ptCount val="7"/>
                <c:pt idx="4">
                  <c:v>17.896899917113998</c:v>
                </c:pt>
                <c:pt idx="5">
                  <c:v>322.32118525564999</c:v>
                </c:pt>
                <c:pt idx="6">
                  <c:v>132.6975838791079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73-4B8F-B2F5-709F7BD69B55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Data'!$AB$7:$AB$12</c:f>
              <c:numCache>
                <c:formatCode>0</c:formatCode>
                <c:ptCount val="6"/>
                <c:pt idx="2">
                  <c:v>356</c:v>
                </c:pt>
                <c:pt idx="3">
                  <c:v>321</c:v>
                </c:pt>
                <c:pt idx="4">
                  <c:v>1495</c:v>
                </c:pt>
                <c:pt idx="5">
                  <c:v>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73-4B8F-B2F5-709F7BD69B55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Data'!$AB$29:$AB$33</c:f>
              <c:numCache>
                <c:formatCode>0</c:formatCode>
                <c:ptCount val="5"/>
                <c:pt idx="0">
                  <c:v>1835.13</c:v>
                </c:pt>
                <c:pt idx="1">
                  <c:v>1613.6094162610598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56-4BF4-A961-E128880BE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V1.3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V1.6 - Flag Facilities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1"/>
                </a:solidFill>
                <a:prstDash val="dash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8.9090009191826303E-2"/>
                  <c:y val="0.161620515030708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Data'!$AF$7:$AF$12</c:f>
              <c:numCache>
                <c:formatCode>0</c:formatCode>
                <c:ptCount val="6"/>
                <c:pt idx="0">
                  <c:v>51</c:v>
                </c:pt>
                <c:pt idx="2">
                  <c:v>84</c:v>
                </c:pt>
                <c:pt idx="3">
                  <c:v>91</c:v>
                </c:pt>
                <c:pt idx="5">
                  <c:v>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BF-449B-B946-B43336275104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Data'!$AF$21:$AF$27</c:f>
              <c:numCache>
                <c:formatCode>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BF-449B-B946-B43336275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V1.6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V1.6 - Flag Facilities</a:t>
            </a:r>
          </a:p>
        </c:rich>
      </c:tx>
      <c:layout>
        <c:manualLayout>
          <c:xMode val="edge"/>
          <c:yMode val="edge"/>
          <c:x val="0.44930354238846099"/>
          <c:y val="1.25247886441916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1"/>
                </a:solidFill>
                <a:prstDash val="dash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2.1211906950434799E-2"/>
                  <c:y val="-4.094386380777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Data'!$M$7:$M$12</c:f>
              <c:numCache>
                <c:formatCode>0_ </c:formatCode>
                <c:ptCount val="6"/>
              </c:numCache>
            </c:numRef>
          </c:xVal>
          <c:yVal>
            <c:numRef>
              <c:f>'Ship Data'!$AF$7:$AF$12</c:f>
              <c:numCache>
                <c:formatCode>0</c:formatCode>
                <c:ptCount val="6"/>
                <c:pt idx="0">
                  <c:v>51</c:v>
                </c:pt>
                <c:pt idx="2">
                  <c:v>84</c:v>
                </c:pt>
                <c:pt idx="3">
                  <c:v>91</c:v>
                </c:pt>
                <c:pt idx="5">
                  <c:v>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2A-430B-8461-CB46DD899746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Data'!$M$21:$M$27</c:f>
              <c:numCache>
                <c:formatCode>0_ </c:formatCode>
                <c:ptCount val="7"/>
              </c:numCache>
            </c:numRef>
          </c:xVal>
          <c:yVal>
            <c:numRef>
              <c:f>'Ship Data'!$AF$21:$AF$27</c:f>
              <c:numCache>
                <c:formatCode>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A-430B-8461-CB46DD899746}"/>
            </c:ext>
          </c:extLst>
        </c:ser>
        <c:ser>
          <c:idx val="2"/>
          <c:order val="2"/>
          <c:tx>
            <c:v>Eqn 1</c:v>
          </c:tx>
          <c:spPr>
            <a:ln w="28575" cap="rnd" cmpd="sng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Eqns!$T$2:$AB$2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xVal>
          <c:yVal>
            <c:numRef>
              <c:f>Eqns!$T$25:$AB$25</c:f>
              <c:numCache>
                <c:formatCode>0.0_ </c:formatCode>
                <c:ptCount val="9"/>
                <c:pt idx="0">
                  <c:v>0</c:v>
                </c:pt>
                <c:pt idx="1">
                  <c:v>67.956764281341975</c:v>
                </c:pt>
                <c:pt idx="2">
                  <c:v>125.98823915708523</c:v>
                </c:pt>
                <c:pt idx="3">
                  <c:v>180.78270548021771</c:v>
                </c:pt>
                <c:pt idx="4">
                  <c:v>233.57551781288905</c:v>
                </c:pt>
                <c:pt idx="5">
                  <c:v>284.92816286661395</c:v>
                </c:pt>
                <c:pt idx="6">
                  <c:v>335.16155417894163</c:v>
                </c:pt>
                <c:pt idx="7">
                  <c:v>384.4828798912144</c:v>
                </c:pt>
                <c:pt idx="8">
                  <c:v>433.03663013764015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2A-430B-8461-CB46DD899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Full Load Displacementl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 V1.6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V2.0 - Personnel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Data'!$AJ$7:$AJ$12</c:f>
              <c:numCache>
                <c:formatCode>0</c:formatCode>
                <c:ptCount val="6"/>
                <c:pt idx="0">
                  <c:v>2112</c:v>
                </c:pt>
                <c:pt idx="1">
                  <c:v>1584</c:v>
                </c:pt>
                <c:pt idx="2">
                  <c:v>2155</c:v>
                </c:pt>
                <c:pt idx="3">
                  <c:v>2762</c:v>
                </c:pt>
                <c:pt idx="4">
                  <c:v>2986</c:v>
                </c:pt>
                <c:pt idx="5">
                  <c:v>3059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B0-4B03-9B96-AF64F78610B7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Data'!$AJ$21:$AJ$27</c:f>
              <c:numCache>
                <c:formatCode>0</c:formatCode>
                <c:ptCount val="7"/>
                <c:pt idx="0">
                  <c:v>32.254064882267159</c:v>
                </c:pt>
                <c:pt idx="1">
                  <c:v>151.51481488373173</c:v>
                </c:pt>
                <c:pt idx="2">
                  <c:v>181.97069441040276</c:v>
                </c:pt>
                <c:pt idx="3">
                  <c:v>227.1801892168466</c:v>
                </c:pt>
                <c:pt idx="4">
                  <c:v>1298.2615088607727</c:v>
                </c:pt>
                <c:pt idx="5">
                  <c:v>1846.9699827040299</c:v>
                </c:pt>
                <c:pt idx="6">
                  <c:v>2963.4094660223823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B0-4B03-9B96-AF64F78610B7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Data'!$AJ$14:$AJ$19</c:f>
              <c:numCache>
                <c:formatCode>0</c:formatCode>
                <c:ptCount val="6"/>
                <c:pt idx="0">
                  <c:v>2837.6699897059898</c:v>
                </c:pt>
                <c:pt idx="1">
                  <c:v>3781.8071486755798</c:v>
                </c:pt>
                <c:pt idx="2">
                  <c:v>3873.1551474358598</c:v>
                </c:pt>
                <c:pt idx="3">
                  <c:v>2375.0479677672702</c:v>
                </c:pt>
                <c:pt idx="4">
                  <c:v>4384.7039404934303</c:v>
                </c:pt>
                <c:pt idx="5">
                  <c:v>3306.7975551221198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B0-4B03-9B96-AF64F78610B7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Data'!$AJ$29:$AJ$33</c:f>
              <c:numCache>
                <c:formatCode>0</c:formatCode>
                <c:ptCount val="5"/>
                <c:pt idx="0">
                  <c:v>8252.01</c:v>
                </c:pt>
                <c:pt idx="1">
                  <c:v>4433.3056432338317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93-475C-BBD7-7DE5270CB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V2.0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V2.0 - Personnel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413985717316001"/>
                  <c:y val="3.016916280573209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Data'!$L$7:$L$12</c:f>
              <c:numCache>
                <c:formatCode>0_ </c:formatCode>
                <c:ptCount val="6"/>
                <c:pt idx="0">
                  <c:v>176</c:v>
                </c:pt>
                <c:pt idx="1">
                  <c:v>170</c:v>
                </c:pt>
                <c:pt idx="2">
                  <c:v>195</c:v>
                </c:pt>
                <c:pt idx="3">
                  <c:v>247</c:v>
                </c:pt>
                <c:pt idx="4">
                  <c:v>185</c:v>
                </c:pt>
                <c:pt idx="5">
                  <c:v>244</c:v>
                </c:pt>
              </c:numCache>
            </c:numRef>
          </c:xVal>
          <c:yVal>
            <c:numRef>
              <c:f>'Ship Data'!$AJ$7:$AJ$12</c:f>
              <c:numCache>
                <c:formatCode>0</c:formatCode>
                <c:ptCount val="6"/>
                <c:pt idx="0">
                  <c:v>2112</c:v>
                </c:pt>
                <c:pt idx="1">
                  <c:v>1584</c:v>
                </c:pt>
                <c:pt idx="2">
                  <c:v>2155</c:v>
                </c:pt>
                <c:pt idx="3">
                  <c:v>2762</c:v>
                </c:pt>
                <c:pt idx="4">
                  <c:v>2986</c:v>
                </c:pt>
                <c:pt idx="5">
                  <c:v>3059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78-4CD4-BB09-CDD1E5190B79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0605246411652398E-2"/>
                  <c:y val="2.58592824049133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Data'!$L$21:$L$27</c:f>
              <c:numCache>
                <c:formatCode>0_ 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3">
                  <c:v>18</c:v>
                </c:pt>
                <c:pt idx="4">
                  <c:v>86</c:v>
                </c:pt>
                <c:pt idx="5">
                  <c:v>109</c:v>
                </c:pt>
                <c:pt idx="6">
                  <c:v>186</c:v>
                </c:pt>
              </c:numCache>
            </c:numRef>
          </c:xVal>
          <c:yVal>
            <c:numRef>
              <c:f>'Ship Data'!$AJ$21:$AJ$27</c:f>
              <c:numCache>
                <c:formatCode>0</c:formatCode>
                <c:ptCount val="7"/>
                <c:pt idx="0">
                  <c:v>32.254064882267159</c:v>
                </c:pt>
                <c:pt idx="1">
                  <c:v>151.51481488373173</c:v>
                </c:pt>
                <c:pt idx="2">
                  <c:v>181.97069441040276</c:v>
                </c:pt>
                <c:pt idx="3">
                  <c:v>227.1801892168466</c:v>
                </c:pt>
                <c:pt idx="4">
                  <c:v>1298.2615088607727</c:v>
                </c:pt>
                <c:pt idx="5">
                  <c:v>1846.9699827040299</c:v>
                </c:pt>
                <c:pt idx="6">
                  <c:v>2963.4094660223823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78-4CD4-BB09-CDD1E5190B79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C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8383652690376898E-2"/>
                  <c:y val="-4.956362460941710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Data'!$L$14:$L$19</c:f>
              <c:numCache>
                <c:formatCode>General</c:formatCode>
                <c:ptCount val="6"/>
                <c:pt idx="0" formatCode="0_ ">
                  <c:v>192</c:v>
                </c:pt>
                <c:pt idx="2" formatCode="0_ ">
                  <c:v>309</c:v>
                </c:pt>
                <c:pt idx="4" formatCode="0_ ">
                  <c:v>235</c:v>
                </c:pt>
                <c:pt idx="5" formatCode="0_ ">
                  <c:v>165</c:v>
                </c:pt>
              </c:numCache>
            </c:numRef>
          </c:xVal>
          <c:yVal>
            <c:numRef>
              <c:f>'Ship Data'!$AJ$14:$AJ$19</c:f>
              <c:numCache>
                <c:formatCode>0</c:formatCode>
                <c:ptCount val="6"/>
                <c:pt idx="0">
                  <c:v>2837.6699897059898</c:v>
                </c:pt>
                <c:pt idx="1">
                  <c:v>3781.8071486755798</c:v>
                </c:pt>
                <c:pt idx="2">
                  <c:v>3873.1551474358598</c:v>
                </c:pt>
                <c:pt idx="3">
                  <c:v>2375.0479677672702</c:v>
                </c:pt>
                <c:pt idx="4">
                  <c:v>4384.7039404934303</c:v>
                </c:pt>
                <c:pt idx="5">
                  <c:v>3306.7975551221198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78-4CD4-BB09-CDD1E5190B79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'Ship Data'!$L$29:$L$33</c:f>
              <c:numCache>
                <c:formatCode>0_ </c:formatCode>
                <c:ptCount val="5"/>
                <c:pt idx="0">
                  <c:v>380</c:v>
                </c:pt>
                <c:pt idx="1">
                  <c:v>314</c:v>
                </c:pt>
                <c:pt idx="2">
                  <c:v>372</c:v>
                </c:pt>
              </c:numCache>
            </c:numRef>
          </c:xVal>
          <c:yVal>
            <c:numRef>
              <c:f>'Ship Data'!$AJ$29:$AJ$33</c:f>
              <c:numCache>
                <c:formatCode>0</c:formatCode>
                <c:ptCount val="5"/>
                <c:pt idx="0">
                  <c:v>8252.01</c:v>
                </c:pt>
                <c:pt idx="1">
                  <c:v>4433.3056432338317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3E-4676-9931-EB0BDB19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Total Accommodations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V2.0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V2.1 - Living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EE-48E9-B73F-110B19AAB956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1918263451884294E-2"/>
                  <c:y val="0.168085335631936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EE-48E9-B73F-110B19AAB956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Data'!$AK$29:$AK$33</c:f>
              <c:numCache>
                <c:formatCode>0</c:formatCode>
                <c:ptCount val="5"/>
                <c:pt idx="0">
                  <c:v>6241.6</c:v>
                </c:pt>
                <c:pt idx="1">
                  <c:v>3115.8446119936239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D9-41ED-A974-1E0358C39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V2.1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V2.1 - Living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Data'!$L$7:$L$12</c:f>
              <c:numCache>
                <c:formatCode>0_ </c:formatCode>
                <c:ptCount val="6"/>
                <c:pt idx="0">
                  <c:v>176</c:v>
                </c:pt>
                <c:pt idx="1">
                  <c:v>170</c:v>
                </c:pt>
                <c:pt idx="2">
                  <c:v>195</c:v>
                </c:pt>
                <c:pt idx="3">
                  <c:v>247</c:v>
                </c:pt>
                <c:pt idx="4">
                  <c:v>185</c:v>
                </c:pt>
                <c:pt idx="5">
                  <c:v>244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C0-43B3-A7C6-A1854D511AA7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9696669730608801E-2"/>
                  <c:y val="-1.7239521603275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Data'!$L$21:$L$27</c:f>
              <c:numCache>
                <c:formatCode>0_ 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3">
                  <c:v>18</c:v>
                </c:pt>
                <c:pt idx="4">
                  <c:v>86</c:v>
                </c:pt>
                <c:pt idx="5">
                  <c:v>109</c:v>
                </c:pt>
                <c:pt idx="6">
                  <c:v>186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C0-43B3-A7C6-A1854D511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Total 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 V2.1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Superstructurel Volume vs Total Volume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dot"/>
            <c:size val="2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dash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8.3813102906742529E-2"/>
                  <c:y val="0.279751866990531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Data'!$V$7:$V$27</c:f>
              <c:numCache>
                <c:formatCode>0</c:formatCode>
                <c:ptCount val="21"/>
                <c:pt idx="0">
                  <c:v>6864.25401884246</c:v>
                </c:pt>
                <c:pt idx="1">
                  <c:v>5649.1338045333396</c:v>
                </c:pt>
                <c:pt idx="2">
                  <c:v>8224.0785979877292</c:v>
                </c:pt>
                <c:pt idx="3">
                  <c:v>11542.9340889462</c:v>
                </c:pt>
                <c:pt idx="4">
                  <c:v>15064.545597953</c:v>
                </c:pt>
                <c:pt idx="5">
                  <c:v>14336.2097342376</c:v>
                </c:pt>
                <c:pt idx="7">
                  <c:v>16243.841671842603</c:v>
                </c:pt>
                <c:pt idx="8">
                  <c:v>23677.401278664482</c:v>
                </c:pt>
                <c:pt idx="9">
                  <c:v>19785.976531476583</c:v>
                </c:pt>
                <c:pt idx="10">
                  <c:v>12240.631833877473</c:v>
                </c:pt>
                <c:pt idx="11">
                  <c:v>20206.177325773875</c:v>
                </c:pt>
                <c:pt idx="12">
                  <c:v>19475.393335691646</c:v>
                </c:pt>
                <c:pt idx="14">
                  <c:v>128.97378270964509</c:v>
                </c:pt>
                <c:pt idx="15">
                  <c:v>475.28729146968567</c:v>
                </c:pt>
                <c:pt idx="16">
                  <c:v>614.97939161386819</c:v>
                </c:pt>
                <c:pt idx="17">
                  <c:v>739.5497440432739</c:v>
                </c:pt>
                <c:pt idx="18">
                  <c:v>3550.38955416624</c:v>
                </c:pt>
                <c:pt idx="19">
                  <c:v>6574.2647726380183</c:v>
                </c:pt>
                <c:pt idx="20">
                  <c:v>11008.68897211667</c:v>
                </c:pt>
              </c:numCache>
            </c:numRef>
          </c:xVal>
          <c:yVal>
            <c:numRef>
              <c:f>'Ship Data'!$X$7:$X$26</c:f>
              <c:numCache>
                <c:formatCode>0</c:formatCode>
                <c:ptCount val="20"/>
                <c:pt idx="0">
                  <c:v>823.76711802032605</c:v>
                </c:pt>
                <c:pt idx="1">
                  <c:v>1097.60101390402</c:v>
                </c:pt>
                <c:pt idx="2">
                  <c:v>1187.3686922857401</c:v>
                </c:pt>
                <c:pt idx="3">
                  <c:v>2168.5832209692899</c:v>
                </c:pt>
                <c:pt idx="4">
                  <c:v>4343.6795542501804</c:v>
                </c:pt>
                <c:pt idx="5">
                  <c:v>3997.3518865503402</c:v>
                </c:pt>
                <c:pt idx="7">
                  <c:v>4283.6456494649301</c:v>
                </c:pt>
                <c:pt idx="10">
                  <c:v>2406.1702309449001</c:v>
                </c:pt>
                <c:pt idx="14">
                  <c:v>34.78851510787112</c:v>
                </c:pt>
                <c:pt idx="15">
                  <c:v>124.24469681382543</c:v>
                </c:pt>
                <c:pt idx="16">
                  <c:v>118.51032619164887</c:v>
                </c:pt>
                <c:pt idx="17">
                  <c:v>164.75342360406526</c:v>
                </c:pt>
                <c:pt idx="18">
                  <c:v>515.27213748703525</c:v>
                </c:pt>
                <c:pt idx="19">
                  <c:v>1447.7940721714065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BA-4528-8F79-C3964FD03EA1}"/>
            </c:ext>
          </c:extLst>
        </c:ser>
        <c:ser>
          <c:idx val="0"/>
          <c:order val="1"/>
          <c:tx>
            <c:v>USN FF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Data'!$V$7:$V$12</c:f>
              <c:numCache>
                <c:formatCode>0</c:formatCode>
                <c:ptCount val="6"/>
                <c:pt idx="0">
                  <c:v>6864.25401884246</c:v>
                </c:pt>
                <c:pt idx="1">
                  <c:v>5649.1338045333396</c:v>
                </c:pt>
                <c:pt idx="2">
                  <c:v>8224.0785979877292</c:v>
                </c:pt>
                <c:pt idx="3">
                  <c:v>11542.9340889462</c:v>
                </c:pt>
                <c:pt idx="4">
                  <c:v>15064.545597953</c:v>
                </c:pt>
                <c:pt idx="5">
                  <c:v>14336.2097342376</c:v>
                </c:pt>
              </c:numCache>
            </c:numRef>
          </c:xVal>
          <c:yVal>
            <c:numRef>
              <c:f>'Ship Data'!$X$7:$X$12</c:f>
              <c:numCache>
                <c:formatCode>0</c:formatCode>
                <c:ptCount val="6"/>
                <c:pt idx="0">
                  <c:v>823.76711802032605</c:v>
                </c:pt>
                <c:pt idx="1">
                  <c:v>1097.60101390402</c:v>
                </c:pt>
                <c:pt idx="2">
                  <c:v>1187.3686922857401</c:v>
                </c:pt>
                <c:pt idx="3">
                  <c:v>2168.5832209692899</c:v>
                </c:pt>
                <c:pt idx="4">
                  <c:v>4343.6795542501804</c:v>
                </c:pt>
                <c:pt idx="5">
                  <c:v>3997.3518865503402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BA-4528-8F79-C3964FD03EA1}"/>
            </c:ext>
          </c:extLst>
        </c:ser>
        <c:ser>
          <c:idx val="1"/>
          <c:order val="2"/>
          <c:tx>
            <c:v>Other FF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Data'!$V$14:$V$19</c:f>
              <c:numCache>
                <c:formatCode>0</c:formatCode>
                <c:ptCount val="6"/>
                <c:pt idx="0">
                  <c:v>16243.841671842603</c:v>
                </c:pt>
                <c:pt idx="1">
                  <c:v>23677.401278664482</c:v>
                </c:pt>
                <c:pt idx="2">
                  <c:v>19785.976531476583</c:v>
                </c:pt>
                <c:pt idx="3">
                  <c:v>12240.631833877473</c:v>
                </c:pt>
                <c:pt idx="4">
                  <c:v>20206.177325773875</c:v>
                </c:pt>
                <c:pt idx="5">
                  <c:v>19475.393335691646</c:v>
                </c:pt>
              </c:numCache>
            </c:numRef>
          </c:xVal>
          <c:yVal>
            <c:numRef>
              <c:f>'Ship Data'!$X$14:$X$19</c:f>
              <c:numCache>
                <c:formatCode>0</c:formatCode>
                <c:ptCount val="6"/>
                <c:pt idx="0">
                  <c:v>4283.6456494649301</c:v>
                </c:pt>
                <c:pt idx="3">
                  <c:v>2406.1702309449001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BA-4528-8F79-C3964FD03EA1}"/>
            </c:ext>
          </c:extLst>
        </c:ser>
        <c:ser>
          <c:idx val="2"/>
          <c:order val="3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Data'!$V$21:$V$27</c:f>
              <c:numCache>
                <c:formatCode>0</c:formatCode>
                <c:ptCount val="7"/>
                <c:pt idx="0">
                  <c:v>128.97378270964509</c:v>
                </c:pt>
                <c:pt idx="1">
                  <c:v>475.28729146968567</c:v>
                </c:pt>
                <c:pt idx="2">
                  <c:v>614.97939161386819</c:v>
                </c:pt>
                <c:pt idx="3">
                  <c:v>739.5497440432739</c:v>
                </c:pt>
                <c:pt idx="4">
                  <c:v>3550.38955416624</c:v>
                </c:pt>
                <c:pt idx="5">
                  <c:v>6574.2647726380183</c:v>
                </c:pt>
                <c:pt idx="6">
                  <c:v>11008.68897211667</c:v>
                </c:pt>
              </c:numCache>
            </c:numRef>
          </c:xVal>
          <c:yVal>
            <c:numRef>
              <c:f>'Ship Data'!$X$21:$X$26</c:f>
              <c:numCache>
                <c:formatCode>0</c:formatCode>
                <c:ptCount val="6"/>
                <c:pt idx="0">
                  <c:v>34.78851510787112</c:v>
                </c:pt>
                <c:pt idx="1">
                  <c:v>124.24469681382543</c:v>
                </c:pt>
                <c:pt idx="2">
                  <c:v>118.51032619164887</c:v>
                </c:pt>
                <c:pt idx="3">
                  <c:v>164.75342360406526</c:v>
                </c:pt>
                <c:pt idx="4">
                  <c:v>515.27213748703525</c:v>
                </c:pt>
                <c:pt idx="5">
                  <c:v>1447.7940721714065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6BA-4528-8F79-C3964FD03EA1}"/>
            </c:ext>
          </c:extLst>
        </c:ser>
        <c:ser>
          <c:idx val="4"/>
          <c:order val="4"/>
          <c:tx>
            <c:v>USN DD&amp;CG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'Ship Data'!$V$29:$V$33</c:f>
              <c:numCache>
                <c:formatCode>0</c:formatCode>
                <c:ptCount val="5"/>
                <c:pt idx="0">
                  <c:v>32861.757577193996</c:v>
                </c:pt>
                <c:pt idx="1">
                  <c:v>29616.141124547477</c:v>
                </c:pt>
                <c:pt idx="2">
                  <c:v>28586.781386477731</c:v>
                </c:pt>
                <c:pt idx="3">
                  <c:v>28424.31123350708</c:v>
                </c:pt>
              </c:numCache>
            </c:numRef>
          </c:xVal>
          <c:yVal>
            <c:numRef>
              <c:f>'Ship Data'!$X$29:$X$33</c:f>
              <c:numCache>
                <c:formatCode>0</c:formatCode>
                <c:ptCount val="5"/>
                <c:pt idx="0">
                  <c:v>5775.93</c:v>
                </c:pt>
                <c:pt idx="1">
                  <c:v>6175.6764581074194</c:v>
                </c:pt>
                <c:pt idx="2">
                  <c:v>8617.9610472837976</c:v>
                </c:pt>
                <c:pt idx="3">
                  <c:v>8595.8566768133842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6BA-4528-8F79-C3964FD03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07398"/>
        <c:axId val="307980689"/>
      </c:scatterChart>
      <c:valAx>
        <c:axId val="41800739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  <a:r>
                  <a:rPr lang="en-US" baseline="0"/>
                  <a:t> Volume (m3)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980689"/>
        <c:crosses val="autoZero"/>
        <c:crossBetween val="midCat"/>
      </c:valAx>
      <c:valAx>
        <c:axId val="30798068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0739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V2.11 - Officer Spaces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V2.11</c:v>
          </c:tx>
          <c:spPr>
            <a:ln w="28575" cap="rnd" cmpd="sng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Eqns!$T$3:$AC$3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Eqns!$T$27:$AC$27</c:f>
              <c:numCache>
                <c:formatCode>General</c:formatCode>
                <c:ptCount val="10"/>
                <c:pt idx="0">
                  <c:v>-110.62549579145706</c:v>
                </c:pt>
                <c:pt idx="1">
                  <c:v>57.430588402977818</c:v>
                </c:pt>
                <c:pt idx="2">
                  <c:v>204.9657696939054</c:v>
                </c:pt>
                <c:pt idx="3">
                  <c:v>347.67169557559714</c:v>
                </c:pt>
                <c:pt idx="4">
                  <c:v>487.64955034048234</c:v>
                </c:pt>
                <c:pt idx="5">
                  <c:v>625.77813471284662</c:v>
                </c:pt>
                <c:pt idx="6">
                  <c:v>762.53242753393079</c:v>
                </c:pt>
                <c:pt idx="7">
                  <c:v>898.20629169755443</c:v>
                </c:pt>
                <c:pt idx="8">
                  <c:v>1032.9977009324978</c:v>
                </c:pt>
                <c:pt idx="9">
                  <c:v>1167.0481400315964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D8-45F2-8E50-E32FD2FE9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Officer 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 V2.11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V2.111 - Officer Berthing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V2.111</c:v>
          </c:tx>
          <c:spPr>
            <a:ln w="28575" cap="rnd" cmpd="sng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Eqns!$T$3:$AC$3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Eqns!$T$28:$AC$28</c:f>
              <c:numCache>
                <c:formatCode>General</c:formatCode>
                <c:ptCount val="10"/>
                <c:pt idx="0">
                  <c:v>-110.62549579145706</c:v>
                </c:pt>
                <c:pt idx="1">
                  <c:v>-0.50150964799381259</c:v>
                </c:pt>
                <c:pt idx="2">
                  <c:v>109.62247649546943</c:v>
                </c:pt>
                <c:pt idx="3">
                  <c:v>219.74646263893268</c:v>
                </c:pt>
                <c:pt idx="4">
                  <c:v>329.87044878239595</c:v>
                </c:pt>
                <c:pt idx="5">
                  <c:v>439.9944349258592</c:v>
                </c:pt>
                <c:pt idx="6">
                  <c:v>550.11842106932238</c:v>
                </c:pt>
                <c:pt idx="7">
                  <c:v>660.24240721278568</c:v>
                </c:pt>
                <c:pt idx="8">
                  <c:v>770.36639335624886</c:v>
                </c:pt>
                <c:pt idx="9">
                  <c:v>880.49037949971216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05-46E8-BBCB-DB02E25D2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Officer 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V2.111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V2.112 - Officer Messing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V2.112</c:v>
          </c:tx>
          <c:spPr>
            <a:ln w="28575" cap="rnd" cmpd="sng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Eqns!$T$3:$AC$3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Eqns!$T$29:$AC$29</c:f>
              <c:numCache>
                <c:formatCode>General</c:formatCode>
                <c:ptCount val="10"/>
                <c:pt idx="0">
                  <c:v>0</c:v>
                </c:pt>
                <c:pt idx="1">
                  <c:v>42.69414616841167</c:v>
                </c:pt>
                <c:pt idx="2">
                  <c:v>67.147713504374437</c:v>
                </c:pt>
                <c:pt idx="3">
                  <c:v>87.512813876876621</c:v>
                </c:pt>
                <c:pt idx="4">
                  <c:v>105.60734511658902</c:v>
                </c:pt>
                <c:pt idx="5">
                  <c:v>122.18149545979229</c:v>
                </c:pt>
                <c:pt idx="6">
                  <c:v>137.63679289864504</c:v>
                </c:pt>
                <c:pt idx="7">
                  <c:v>152.21970717474736</c:v>
                </c:pt>
                <c:pt idx="8">
                  <c:v>166.09517674563506</c:v>
                </c:pt>
                <c:pt idx="9">
                  <c:v>179.38039005251679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11-42C8-BA3B-D263D3553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Officer 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V2.112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V2.113 - Officer Sanitary Spaces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V2.113</c:v>
          </c:tx>
          <c:spPr>
            <a:ln w="19050" cap="rnd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Eqns!$T$3:$AC$3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Eqns!$T$30:$AC$30</c:f>
              <c:numCache>
                <c:formatCode>General</c:formatCode>
                <c:ptCount val="10"/>
                <c:pt idx="0">
                  <c:v>0</c:v>
                </c:pt>
                <c:pt idx="1">
                  <c:v>15.237951882559958</c:v>
                </c:pt>
                <c:pt idx="2">
                  <c:v>28.195579694061539</c:v>
                </c:pt>
                <c:pt idx="3">
                  <c:v>40.412419059787837</c:v>
                </c:pt>
                <c:pt idx="4">
                  <c:v>52.171756441497394</c:v>
                </c:pt>
                <c:pt idx="5">
                  <c:v>63.602204327195189</c:v>
                </c:pt>
                <c:pt idx="6">
                  <c:v>74.777213565963351</c:v>
                </c:pt>
                <c:pt idx="7">
                  <c:v>85.744177310021428</c:v>
                </c:pt>
                <c:pt idx="8">
                  <c:v>96.536130830613928</c:v>
                </c:pt>
                <c:pt idx="9">
                  <c:v>107.17737047936744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0F-423A-8C17-D502DB30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Officer Accommodations</a:t>
                </a:r>
              </a:p>
            </c:rich>
          </c:tx>
          <c:layout>
            <c:manualLayout>
              <c:xMode val="edge"/>
              <c:yMode val="edge"/>
              <c:x val="0.45727803073420598"/>
              <c:y val="0.94246309664906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V2.113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V2.12 - CPO Spaces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V2.12</c:v>
          </c:tx>
          <c:spPr>
            <a:ln w="28575" cap="rnd" cmpd="sng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Eqns!$T$3:$AC$3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Eqns!$T$31:$AC$31</c:f>
              <c:numCache>
                <c:formatCode>General</c:formatCode>
                <c:ptCount val="10"/>
                <c:pt idx="0">
                  <c:v>47.032883074897896</c:v>
                </c:pt>
                <c:pt idx="1">
                  <c:v>103.50439860450032</c:v>
                </c:pt>
                <c:pt idx="2">
                  <c:v>159.97591413410271</c:v>
                </c:pt>
                <c:pt idx="3">
                  <c:v>216.44742966370518</c:v>
                </c:pt>
                <c:pt idx="4">
                  <c:v>272.91894519330759</c:v>
                </c:pt>
                <c:pt idx="5">
                  <c:v>329.39046072291006</c:v>
                </c:pt>
                <c:pt idx="6">
                  <c:v>385.86197625251248</c:v>
                </c:pt>
                <c:pt idx="7">
                  <c:v>442.33349178211489</c:v>
                </c:pt>
                <c:pt idx="8">
                  <c:v>498.8050073117173</c:v>
                </c:pt>
                <c:pt idx="9">
                  <c:v>555.27652284131977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2-4317-ABF3-26B3D717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CPO 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V2.12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V2.121 - CPO Berthing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V2.121</c:v>
          </c:tx>
          <c:spPr>
            <a:ln w="28575" cap="rnd" cmpd="sng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Eqns!$T$3:$AC$3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Eqns!$T$32:$AC$32</c:f>
              <c:numCache>
                <c:formatCode>General</c:formatCode>
                <c:ptCount val="10"/>
                <c:pt idx="0">
                  <c:v>13.821957040416683</c:v>
                </c:pt>
                <c:pt idx="1">
                  <c:v>49.948491960128997</c:v>
                </c:pt>
                <c:pt idx="2">
                  <c:v>86.075026879841303</c:v>
                </c:pt>
                <c:pt idx="3">
                  <c:v>122.20156179955363</c:v>
                </c:pt>
                <c:pt idx="4">
                  <c:v>158.32809671926594</c:v>
                </c:pt>
                <c:pt idx="5">
                  <c:v>194.45463163897827</c:v>
                </c:pt>
                <c:pt idx="6">
                  <c:v>230.5811665586906</c:v>
                </c:pt>
                <c:pt idx="7">
                  <c:v>266.7077014784029</c:v>
                </c:pt>
                <c:pt idx="8">
                  <c:v>302.83423639811519</c:v>
                </c:pt>
                <c:pt idx="9">
                  <c:v>338.96077131782755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78-48C4-AF16-5FDA0B786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CPO 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V2.121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V2.122 - CPO Messing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V2.122</c:v>
          </c:tx>
          <c:spPr>
            <a:ln w="28575" cap="rnd" cmpd="sng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Eqns!$T$3:$AC$3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Eqns!$T$33:$AC$33</c:f>
              <c:numCache>
                <c:formatCode>General</c:formatCode>
                <c:ptCount val="10"/>
                <c:pt idx="0">
                  <c:v>16.558880105272802</c:v>
                </c:pt>
                <c:pt idx="1">
                  <c:v>29.289182886504758</c:v>
                </c:pt>
                <c:pt idx="2">
                  <c:v>42.019485667736717</c:v>
                </c:pt>
                <c:pt idx="3">
                  <c:v>54.749788448968673</c:v>
                </c:pt>
                <c:pt idx="4">
                  <c:v>67.480091230200628</c:v>
                </c:pt>
                <c:pt idx="5">
                  <c:v>80.210394011432598</c:v>
                </c:pt>
                <c:pt idx="6">
                  <c:v>92.940696792664539</c:v>
                </c:pt>
                <c:pt idx="7">
                  <c:v>105.67099957389651</c:v>
                </c:pt>
                <c:pt idx="8">
                  <c:v>118.40130235512846</c:v>
                </c:pt>
                <c:pt idx="9">
                  <c:v>131.13160513636043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69-4C3E-8D50-95DFCEC17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CPO 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V2.122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V2.113 - CPO Sanitary Spaces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V2.123</c:v>
          </c:tx>
          <c:spPr>
            <a:ln w="19050" cap="rnd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Eqns!$T$3:$AC$3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Eqns!$T$34:$AC$34</c:f>
              <c:numCache>
                <c:formatCode>General</c:formatCode>
                <c:ptCount val="10"/>
                <c:pt idx="0">
                  <c:v>16.652045929208409</c:v>
                </c:pt>
                <c:pt idx="1">
                  <c:v>24.266723757866565</c:v>
                </c:pt>
                <c:pt idx="2">
                  <c:v>31.881401586524717</c:v>
                </c:pt>
                <c:pt idx="3">
                  <c:v>39.496079415182876</c:v>
                </c:pt>
                <c:pt idx="4">
                  <c:v>47.110757243841029</c:v>
                </c:pt>
                <c:pt idx="5">
                  <c:v>54.725435072499188</c:v>
                </c:pt>
                <c:pt idx="6">
                  <c:v>62.34011290115734</c:v>
                </c:pt>
                <c:pt idx="7">
                  <c:v>69.9547907298155</c:v>
                </c:pt>
                <c:pt idx="8">
                  <c:v>77.569468558473645</c:v>
                </c:pt>
                <c:pt idx="9">
                  <c:v>85.184146387131804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4-4C71-AF0C-BD4883EA5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CPO Accommodations</a:t>
                </a:r>
              </a:p>
            </c:rich>
          </c:tx>
          <c:layout>
            <c:manualLayout>
              <c:xMode val="edge"/>
              <c:yMode val="edge"/>
              <c:x val="0.45727803073420598"/>
              <c:y val="0.94246309664906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 V2.123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V2.12 - Enlisted Spaces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V2.13</c:v>
          </c:tx>
          <c:spPr>
            <a:ln w="28575" cap="rnd" cmpd="sng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Eqns!$T$5:$AD$5</c:f>
              <c:numCache>
                <c:formatCode>General</c:formatCode>
                <c:ptCount val="1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</c:numCache>
            </c:numRef>
          </c:xVal>
          <c:yVal>
            <c:numRef>
              <c:f>Eqns!$T$35:$AD$35</c:f>
              <c:numCache>
                <c:formatCode>General</c:formatCode>
                <c:ptCount val="11"/>
                <c:pt idx="0">
                  <c:v>420.00654277792285</c:v>
                </c:pt>
                <c:pt idx="1">
                  <c:v>673.28165806062475</c:v>
                </c:pt>
                <c:pt idx="2">
                  <c:v>926.55677334332665</c:v>
                </c:pt>
                <c:pt idx="3">
                  <c:v>1179.8318886260286</c:v>
                </c:pt>
                <c:pt idx="4">
                  <c:v>1433.1070039087306</c:v>
                </c:pt>
                <c:pt idx="5">
                  <c:v>1686.3821191914321</c:v>
                </c:pt>
                <c:pt idx="6">
                  <c:v>1939.6572344741344</c:v>
                </c:pt>
                <c:pt idx="7">
                  <c:v>2192.9323497568362</c:v>
                </c:pt>
                <c:pt idx="8">
                  <c:v>2446.2074650395375</c:v>
                </c:pt>
                <c:pt idx="9">
                  <c:v>2699.4825803222398</c:v>
                </c:pt>
                <c:pt idx="10">
                  <c:v>2952.7576956049415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3E-446C-8ABF-2DE1AF4F1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CPO 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 V2.13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V2.2 - Personnel Support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AB-4ED1-868A-3AFD60657C4C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1918263451884294E-2"/>
                  <c:y val="0.168085335631936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AB-4ED1-868A-3AFD60657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Full Load Displacementl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 V2.2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Superstructurel Volume vs Total Volume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dot"/>
            <c:size val="2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dash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8.0024735032765956E-2"/>
                  <c:y val="0.230706296848029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Data'!$W$7:$W$27</c:f>
              <c:numCache>
                <c:formatCode>0</c:formatCode>
                <c:ptCount val="21"/>
                <c:pt idx="0">
                  <c:v>6040.4869008221303</c:v>
                </c:pt>
                <c:pt idx="1">
                  <c:v>4551.5327906293196</c:v>
                </c:pt>
                <c:pt idx="2">
                  <c:v>7036.7099057019896</c:v>
                </c:pt>
                <c:pt idx="3">
                  <c:v>9374.3508679769293</c:v>
                </c:pt>
                <c:pt idx="4">
                  <c:v>10720.866043702799</c:v>
                </c:pt>
                <c:pt idx="5">
                  <c:v>10338.857847687201</c:v>
                </c:pt>
                <c:pt idx="7">
                  <c:v>8449.4889197285993</c:v>
                </c:pt>
                <c:pt idx="10">
                  <c:v>7111.1859290912498</c:v>
                </c:pt>
                <c:pt idx="14">
                  <c:v>94.185267601773987</c:v>
                </c:pt>
                <c:pt idx="15">
                  <c:v>351.04259465586023</c:v>
                </c:pt>
                <c:pt idx="16">
                  <c:v>496.46906542221933</c:v>
                </c:pt>
                <c:pt idx="17">
                  <c:v>574.79632043920878</c:v>
                </c:pt>
                <c:pt idx="18">
                  <c:v>3035.1174166792052</c:v>
                </c:pt>
                <c:pt idx="19">
                  <c:v>5126.4707004666116</c:v>
                </c:pt>
                <c:pt idx="20">
                  <c:v>7652.1707012693241</c:v>
                </c:pt>
              </c:numCache>
            </c:numRef>
          </c:xVal>
          <c:yVal>
            <c:numRef>
              <c:f>'Ship Data'!$X$7:$X$26</c:f>
              <c:numCache>
                <c:formatCode>0</c:formatCode>
                <c:ptCount val="20"/>
                <c:pt idx="0">
                  <c:v>823.76711802032605</c:v>
                </c:pt>
                <c:pt idx="1">
                  <c:v>1097.60101390402</c:v>
                </c:pt>
                <c:pt idx="2">
                  <c:v>1187.3686922857401</c:v>
                </c:pt>
                <c:pt idx="3">
                  <c:v>2168.5832209692899</c:v>
                </c:pt>
                <c:pt idx="4">
                  <c:v>4343.6795542501804</c:v>
                </c:pt>
                <c:pt idx="5">
                  <c:v>3997.3518865503402</c:v>
                </c:pt>
                <c:pt idx="7">
                  <c:v>4283.6456494649301</c:v>
                </c:pt>
                <c:pt idx="10">
                  <c:v>2406.1702309449001</c:v>
                </c:pt>
                <c:pt idx="14">
                  <c:v>34.78851510787112</c:v>
                </c:pt>
                <c:pt idx="15">
                  <c:v>124.24469681382543</c:v>
                </c:pt>
                <c:pt idx="16">
                  <c:v>118.51032619164887</c:v>
                </c:pt>
                <c:pt idx="17">
                  <c:v>164.75342360406526</c:v>
                </c:pt>
                <c:pt idx="18">
                  <c:v>515.27213748703525</c:v>
                </c:pt>
                <c:pt idx="19">
                  <c:v>1447.7940721714065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79-4DF9-93A4-C6F39C7AA89A}"/>
            </c:ext>
          </c:extLst>
        </c:ser>
        <c:ser>
          <c:idx val="0"/>
          <c:order val="1"/>
          <c:tx>
            <c:v>USN FF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Data'!$W$7:$W$12</c:f>
              <c:numCache>
                <c:formatCode>0</c:formatCode>
                <c:ptCount val="6"/>
                <c:pt idx="0">
                  <c:v>6040.4869008221303</c:v>
                </c:pt>
                <c:pt idx="1">
                  <c:v>4551.5327906293196</c:v>
                </c:pt>
                <c:pt idx="2">
                  <c:v>7036.7099057019896</c:v>
                </c:pt>
                <c:pt idx="3">
                  <c:v>9374.3508679769293</c:v>
                </c:pt>
                <c:pt idx="4">
                  <c:v>10720.866043702799</c:v>
                </c:pt>
                <c:pt idx="5">
                  <c:v>10338.857847687201</c:v>
                </c:pt>
              </c:numCache>
            </c:numRef>
          </c:xVal>
          <c:yVal>
            <c:numRef>
              <c:f>'Ship Data'!$X$7:$X$12</c:f>
              <c:numCache>
                <c:formatCode>0</c:formatCode>
                <c:ptCount val="6"/>
                <c:pt idx="0">
                  <c:v>823.76711802032605</c:v>
                </c:pt>
                <c:pt idx="1">
                  <c:v>1097.60101390402</c:v>
                </c:pt>
                <c:pt idx="2">
                  <c:v>1187.3686922857401</c:v>
                </c:pt>
                <c:pt idx="3">
                  <c:v>2168.5832209692899</c:v>
                </c:pt>
                <c:pt idx="4">
                  <c:v>4343.6795542501804</c:v>
                </c:pt>
                <c:pt idx="5">
                  <c:v>3997.3518865503402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F79-4DF9-93A4-C6F39C7AA89A}"/>
            </c:ext>
          </c:extLst>
        </c:ser>
        <c:ser>
          <c:idx val="1"/>
          <c:order val="2"/>
          <c:tx>
            <c:v>Other FF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Data'!$W$14:$W$19</c:f>
              <c:numCache>
                <c:formatCode>0</c:formatCode>
                <c:ptCount val="6"/>
                <c:pt idx="0">
                  <c:v>8449.4889197285993</c:v>
                </c:pt>
                <c:pt idx="3">
                  <c:v>7111.1859290912498</c:v>
                </c:pt>
              </c:numCache>
            </c:numRef>
          </c:xVal>
          <c:yVal>
            <c:numRef>
              <c:f>'Ship Data'!$X$14:$X$19</c:f>
              <c:numCache>
                <c:formatCode>0</c:formatCode>
                <c:ptCount val="6"/>
                <c:pt idx="0">
                  <c:v>4283.6456494649301</c:v>
                </c:pt>
                <c:pt idx="3">
                  <c:v>2406.1702309449001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F79-4DF9-93A4-C6F39C7AA89A}"/>
            </c:ext>
          </c:extLst>
        </c:ser>
        <c:ser>
          <c:idx val="2"/>
          <c:order val="3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Data'!$W$21:$W$27</c:f>
              <c:numCache>
                <c:formatCode>0</c:formatCode>
                <c:ptCount val="7"/>
                <c:pt idx="0">
                  <c:v>94.185267601773987</c:v>
                </c:pt>
                <c:pt idx="1">
                  <c:v>351.04259465586023</c:v>
                </c:pt>
                <c:pt idx="2">
                  <c:v>496.46906542221933</c:v>
                </c:pt>
                <c:pt idx="3">
                  <c:v>574.79632043920878</c:v>
                </c:pt>
                <c:pt idx="4">
                  <c:v>3035.1174166792052</c:v>
                </c:pt>
                <c:pt idx="5">
                  <c:v>5126.4707004666116</c:v>
                </c:pt>
                <c:pt idx="6">
                  <c:v>7652.1707012693241</c:v>
                </c:pt>
              </c:numCache>
            </c:numRef>
          </c:xVal>
          <c:yVal>
            <c:numRef>
              <c:f>'Ship Data'!$X$21:$X$26</c:f>
              <c:numCache>
                <c:formatCode>0</c:formatCode>
                <c:ptCount val="6"/>
                <c:pt idx="0">
                  <c:v>34.78851510787112</c:v>
                </c:pt>
                <c:pt idx="1">
                  <c:v>124.24469681382543</c:v>
                </c:pt>
                <c:pt idx="2">
                  <c:v>118.51032619164887</c:v>
                </c:pt>
                <c:pt idx="3">
                  <c:v>164.75342360406526</c:v>
                </c:pt>
                <c:pt idx="4">
                  <c:v>515.27213748703525</c:v>
                </c:pt>
                <c:pt idx="5">
                  <c:v>1447.7940721714065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F79-4DF9-93A4-C6F39C7AA89A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'Ship Data'!$W$29:$W$33</c:f>
              <c:numCache>
                <c:formatCode>0</c:formatCode>
                <c:ptCount val="5"/>
                <c:pt idx="0">
                  <c:v>27085.83</c:v>
                </c:pt>
                <c:pt idx="1">
                  <c:v>23440.464666440057</c:v>
                </c:pt>
                <c:pt idx="2">
                  <c:v>19968.820339193931</c:v>
                </c:pt>
                <c:pt idx="3">
                  <c:v>19828.454556693694</c:v>
                </c:pt>
              </c:numCache>
            </c:numRef>
          </c:xVal>
          <c:yVal>
            <c:numRef>
              <c:f>'Ship Data'!$X$29:$X$33</c:f>
              <c:numCache>
                <c:formatCode>0</c:formatCode>
                <c:ptCount val="5"/>
                <c:pt idx="0">
                  <c:v>5775.93</c:v>
                </c:pt>
                <c:pt idx="1">
                  <c:v>6175.6764581074194</c:v>
                </c:pt>
                <c:pt idx="2">
                  <c:v>8617.9610472837976</c:v>
                </c:pt>
                <c:pt idx="3">
                  <c:v>8595.8566768133842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40-42A2-B0A8-73A7B685D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07398"/>
        <c:axId val="307980689"/>
      </c:scatterChart>
      <c:valAx>
        <c:axId val="41800739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Hull</a:t>
                </a:r>
                <a:r>
                  <a:rPr lang="en-US" baseline="0"/>
                  <a:t> Volume (m3)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980689"/>
        <c:crosses val="autoZero"/>
        <c:crossBetween val="midCat"/>
      </c:valAx>
      <c:valAx>
        <c:axId val="30798068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0739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V2.2 - Personnel Support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Data'!$L$7:$L$12</c:f>
              <c:numCache>
                <c:formatCode>0_ </c:formatCode>
                <c:ptCount val="6"/>
                <c:pt idx="0">
                  <c:v>176</c:v>
                </c:pt>
                <c:pt idx="1">
                  <c:v>170</c:v>
                </c:pt>
                <c:pt idx="2">
                  <c:v>195</c:v>
                </c:pt>
                <c:pt idx="3">
                  <c:v>247</c:v>
                </c:pt>
                <c:pt idx="4">
                  <c:v>185</c:v>
                </c:pt>
                <c:pt idx="5">
                  <c:v>244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41-41ED-89FB-F33AAE2B075C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9696669730608801E-2"/>
                  <c:y val="-1.7239521603275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Data'!$L$21:$L$27</c:f>
              <c:numCache>
                <c:formatCode>0_ 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3">
                  <c:v>18</c:v>
                </c:pt>
                <c:pt idx="4">
                  <c:v>86</c:v>
                </c:pt>
                <c:pt idx="5">
                  <c:v>109</c:v>
                </c:pt>
                <c:pt idx="6">
                  <c:v>186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41-41ED-89FB-F33AAE2B075C}"/>
            </c:ext>
          </c:extLst>
        </c:ser>
        <c:ser>
          <c:idx val="2"/>
          <c:order val="2"/>
          <c:tx>
            <c:v>Eqn 1</c:v>
          </c:tx>
          <c:spPr>
            <a:ln w="19050" cap="rnd">
              <a:solidFill>
                <a:srgbClr val="92D050"/>
              </a:solidFill>
              <a:prstDash val="lgDashDot"/>
              <a:round/>
            </a:ln>
            <a:effectLst/>
          </c:spPr>
          <c:marker>
            <c:symbol val="none"/>
          </c:marker>
          <c:xVal>
            <c:numRef>
              <c:f>Eqns!$T$1:$AF$1</c:f>
              <c:numCache>
                <c:formatCode>General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Eqns!$T$39:$AF$39</c:f>
              <c:numCache>
                <c:formatCode>General</c:formatCode>
                <c:ptCount val="13"/>
                <c:pt idx="0">
                  <c:v>18.830823586839358</c:v>
                </c:pt>
                <c:pt idx="1">
                  <c:v>146.00037863448074</c:v>
                </c:pt>
                <c:pt idx="2">
                  <c:v>255.94186426930196</c:v>
                </c:pt>
                <c:pt idx="3">
                  <c:v>361.13413638112513</c:v>
                </c:pt>
                <c:pt idx="4">
                  <c:v>463.54643641663853</c:v>
                </c:pt>
                <c:pt idx="5">
                  <c:v>564.03259045384971</c:v>
                </c:pt>
                <c:pt idx="6">
                  <c:v>663.0648919078817</c:v>
                </c:pt>
                <c:pt idx="7">
                  <c:v>760.94057265944798</c:v>
                </c:pt>
                <c:pt idx="8">
                  <c:v>857.86258578669833</c:v>
                </c:pt>
                <c:pt idx="9">
                  <c:v>953.97758203659873</c:v>
                </c:pt>
                <c:pt idx="10">
                  <c:v>1049.396046267886</c:v>
                </c:pt>
                <c:pt idx="11">
                  <c:v>1144.2039328038747</c:v>
                </c:pt>
                <c:pt idx="12">
                  <c:v>1238.4698388107004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41-41ED-89FB-F33AAE2B0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Total 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 V2.2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V2.3 - Personnel Stowage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87-4AD9-A48E-7D035AA6058D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1918263451884294E-2"/>
                  <c:y val="0.168085335631936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87-4AD9-A48E-7D035AA60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Full Load Displacementl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 V2.3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V2.3 - Personnel Stowage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Data'!$L$7:$L$12</c:f>
              <c:numCache>
                <c:formatCode>0_ </c:formatCode>
                <c:ptCount val="6"/>
                <c:pt idx="0">
                  <c:v>176</c:v>
                </c:pt>
                <c:pt idx="1">
                  <c:v>170</c:v>
                </c:pt>
                <c:pt idx="2">
                  <c:v>195</c:v>
                </c:pt>
                <c:pt idx="3">
                  <c:v>247</c:v>
                </c:pt>
                <c:pt idx="4">
                  <c:v>185</c:v>
                </c:pt>
                <c:pt idx="5">
                  <c:v>244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6E-4D48-A9BD-EEB5EAF529CF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Data'!$L$21:$L$27</c:f>
              <c:numCache>
                <c:formatCode>0_ 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3">
                  <c:v>18</c:v>
                </c:pt>
                <c:pt idx="4">
                  <c:v>86</c:v>
                </c:pt>
                <c:pt idx="5">
                  <c:v>109</c:v>
                </c:pt>
                <c:pt idx="6">
                  <c:v>186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6E-4D48-A9BD-EEB5EAF529CF}"/>
            </c:ext>
          </c:extLst>
        </c:ser>
        <c:ser>
          <c:idx val="2"/>
          <c:order val="2"/>
          <c:tx>
            <c:strRef>
              <c:f>Eqns!$S$51</c:f>
              <c:strCache>
                <c:ptCount val="1"/>
                <c:pt idx="0">
                  <c:v>15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Eqns!$T$1:$AF$1</c:f>
              <c:numCache>
                <c:formatCode>General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Eqns!$T$46:$AF$46</c:f>
              <c:numCache>
                <c:formatCode>General</c:formatCode>
                <c:ptCount val="13"/>
                <c:pt idx="0">
                  <c:v>4.824800328920702</c:v>
                </c:pt>
                <c:pt idx="1">
                  <c:v>89.210408566578906</c:v>
                </c:pt>
                <c:pt idx="2">
                  <c:v>137.60727137212203</c:v>
                </c:pt>
                <c:pt idx="3">
                  <c:v>185.75239704474322</c:v>
                </c:pt>
                <c:pt idx="4">
                  <c:v>233.73657932820169</c:v>
                </c:pt>
                <c:pt idx="5">
                  <c:v>281.60233888131961</c:v>
                </c:pt>
                <c:pt idx="6">
                  <c:v>329.37448041008429</c:v>
                </c:pt>
                <c:pt idx="7">
                  <c:v>377.06927298369584</c:v>
                </c:pt>
                <c:pt idx="8">
                  <c:v>424.69820977294739</c:v>
                </c:pt>
                <c:pt idx="9">
                  <c:v>472.26984012771663</c:v>
                </c:pt>
                <c:pt idx="10">
                  <c:v>519.79077044379005</c:v>
                </c:pt>
                <c:pt idx="11">
                  <c:v>567.26625752978418</c:v>
                </c:pt>
                <c:pt idx="12">
                  <c:v>614.70058278433294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B6E-4D48-A9BD-EEB5EAF529CF}"/>
            </c:ext>
          </c:extLst>
        </c:ser>
        <c:ser>
          <c:idx val="3"/>
          <c:order val="3"/>
          <c:tx>
            <c:strRef>
              <c:f>Eqns!$S$47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solidFill>
                <a:srgbClr val="FFC00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Eqns!$T$1:$AF$1</c:f>
              <c:numCache>
                <c:formatCode>General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Eqns!$T$47:$AF$47</c:f>
              <c:numCache>
                <c:formatCode>General</c:formatCode>
                <c:ptCount val="13"/>
                <c:pt idx="0">
                  <c:v>4.824800328920702</c:v>
                </c:pt>
                <c:pt idx="1">
                  <c:v>98.485953193035982</c:v>
                </c:pt>
                <c:pt idx="2">
                  <c:v>155.71372367996068</c:v>
                </c:pt>
                <c:pt idx="3">
                  <c:v>212.52936692273661</c:v>
                </c:pt>
                <c:pt idx="4">
                  <c:v>269.08152438306286</c:v>
                </c:pt>
                <c:pt idx="5">
                  <c:v>325.43980804760292</c:v>
                </c:pt>
                <c:pt idx="6">
                  <c:v>381.644826526624</c:v>
                </c:pt>
                <c:pt idx="7">
                  <c:v>437.72321445513774</c:v>
                </c:pt>
                <c:pt idx="8">
                  <c:v>493.69378768581737</c:v>
                </c:pt>
                <c:pt idx="9">
                  <c:v>549.5705426440752</c:v>
                </c:pt>
                <c:pt idx="10">
                  <c:v>605.36429488047179</c:v>
                </c:pt>
                <c:pt idx="11">
                  <c:v>661.0836504914671</c:v>
                </c:pt>
                <c:pt idx="12">
                  <c:v>716.73561869735056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B6E-4D48-A9BD-EEB5EAF529CF}"/>
            </c:ext>
          </c:extLst>
        </c:ser>
        <c:ser>
          <c:idx val="4"/>
          <c:order val="4"/>
          <c:tx>
            <c:strRef>
              <c:f>Eqns!$S$48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Eqns!$T$1:$AF$1</c:f>
              <c:numCache>
                <c:formatCode>General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Eqns!$T$48:$AF$48</c:f>
              <c:numCache>
                <c:formatCode>General</c:formatCode>
                <c:ptCount val="13"/>
                <c:pt idx="0">
                  <c:v>4.824800328920702</c:v>
                </c:pt>
                <c:pt idx="1">
                  <c:v>107.62882390802963</c:v>
                </c:pt>
                <c:pt idx="2">
                  <c:v>173.56118808497001</c:v>
                </c:pt>
                <c:pt idx="3">
                  <c:v>238.92332906652985</c:v>
                </c:pt>
                <c:pt idx="4">
                  <c:v>303.92090860028713</c:v>
                </c:pt>
                <c:pt idx="5">
                  <c:v>368.65024249655471</c:v>
                </c:pt>
                <c:pt idx="6">
                  <c:v>433.16751721675894</c:v>
                </c:pt>
                <c:pt idx="7">
                  <c:v>497.50958469655836</c:v>
                </c:pt>
                <c:pt idx="8">
                  <c:v>561.70247872961102</c:v>
                </c:pt>
                <c:pt idx="9">
                  <c:v>625.76556490393864</c:v>
                </c:pt>
                <c:pt idx="10">
                  <c:v>689.71380771870395</c:v>
                </c:pt>
                <c:pt idx="11">
                  <c:v>753.5591146512528</c:v>
                </c:pt>
                <c:pt idx="12">
                  <c:v>817.31118372579294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6E-4D48-A9BD-EEB5EAF529CF}"/>
            </c:ext>
          </c:extLst>
        </c:ser>
        <c:ser>
          <c:idx val="5"/>
          <c:order val="5"/>
          <c:tx>
            <c:strRef>
              <c:f>Eqns!$S$49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Eqns!$T$1:$AF$1</c:f>
              <c:numCache>
                <c:formatCode>General</c:formatCode>
                <c:ptCount val="1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</c:numCache>
            </c:numRef>
          </c:xVal>
          <c:yVal>
            <c:numRef>
              <c:f>Eqns!$T$49:$AF$49</c:f>
              <c:numCache>
                <c:formatCode>General</c:formatCode>
                <c:ptCount val="13"/>
                <c:pt idx="0">
                  <c:v>4.824800328920702</c:v>
                </c:pt>
                <c:pt idx="1">
                  <c:v>116.67942508616019</c:v>
                </c:pt>
                <c:pt idx="2">
                  <c:v>191.22853649291824</c:v>
                </c:pt>
                <c:pt idx="3">
                  <c:v>265.05092425196761</c:v>
                </c:pt>
                <c:pt idx="4">
                  <c:v>338.40869495000095</c:v>
                </c:pt>
                <c:pt idx="5">
                  <c:v>411.42459872690915</c:v>
                </c:pt>
                <c:pt idx="6">
                  <c:v>484.17024268414178</c:v>
                </c:pt>
                <c:pt idx="7">
                  <c:v>556.6925929453555</c:v>
                </c:pt>
                <c:pt idx="8">
                  <c:v>629.02482840198172</c:v>
                </c:pt>
                <c:pt idx="9">
                  <c:v>701.19162961924667</c:v>
                </c:pt>
                <c:pt idx="10">
                  <c:v>773.2120681738686</c:v>
                </c:pt>
                <c:pt idx="11">
                  <c:v>845.10131960665819</c:v>
                </c:pt>
                <c:pt idx="12">
                  <c:v>916.87174361042526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6E-4D48-A9BD-EEB5EAF52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Total 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 V2.3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V2.4 - Personnel Protection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7E-45BC-B2C2-7CE0336DDA5E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5150958071130601E-2"/>
                  <c:y val="-6.464820601228339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7E-45BC-B2C2-7CE0336DD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Full Load Displacementl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 V2.4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V2.4 - Personnel Protection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Data'!$L$7:$L$12</c:f>
              <c:numCache>
                <c:formatCode>0_ </c:formatCode>
                <c:ptCount val="6"/>
                <c:pt idx="0">
                  <c:v>176</c:v>
                </c:pt>
                <c:pt idx="1">
                  <c:v>170</c:v>
                </c:pt>
                <c:pt idx="2">
                  <c:v>195</c:v>
                </c:pt>
                <c:pt idx="3">
                  <c:v>247</c:v>
                </c:pt>
                <c:pt idx="4">
                  <c:v>185</c:v>
                </c:pt>
                <c:pt idx="5">
                  <c:v>244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96-4F5B-8C1F-95BEF9055C7F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9696669730608801E-2"/>
                  <c:y val="-1.7239521603275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Data'!$L$21:$L$27</c:f>
              <c:numCache>
                <c:formatCode>0_ 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3">
                  <c:v>18</c:v>
                </c:pt>
                <c:pt idx="4">
                  <c:v>86</c:v>
                </c:pt>
                <c:pt idx="5">
                  <c:v>109</c:v>
                </c:pt>
                <c:pt idx="6">
                  <c:v>186</c:v>
                </c:pt>
              </c:numCache>
            </c:numRef>
          </c:xVal>
          <c:yVal>
            <c:numRef>
              <c:f>'Ship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96-4F5B-8C1F-95BEF9055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Total 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/>
                  <a:t> V2.4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V3.0 - Operations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3534610761507496E-2"/>
                  <c:y val="0.1055920698200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Data'!$AQ$7:$AQ$12</c:f>
              <c:numCache>
                <c:formatCode>0</c:formatCode>
                <c:ptCount val="6"/>
                <c:pt idx="0">
                  <c:v>4069</c:v>
                </c:pt>
                <c:pt idx="1">
                  <c:v>3163</c:v>
                </c:pt>
                <c:pt idx="2">
                  <c:v>4643</c:v>
                </c:pt>
                <c:pt idx="3">
                  <c:v>6336</c:v>
                </c:pt>
                <c:pt idx="4">
                  <c:v>9050</c:v>
                </c:pt>
                <c:pt idx="5">
                  <c:v>8030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38-4B2D-A958-4172FD863CA9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524923990666799"/>
                  <c:y val="0.439607800883525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Data'!$AQ$21:$AQ$27</c:f>
              <c:numCache>
                <c:formatCode>0</c:formatCode>
                <c:ptCount val="7"/>
                <c:pt idx="0">
                  <c:v>80.436937048358089</c:v>
                </c:pt>
                <c:pt idx="1">
                  <c:v>304.72870254440465</c:v>
                </c:pt>
                <c:pt idx="2">
                  <c:v>398.39008937328845</c:v>
                </c:pt>
                <c:pt idx="3">
                  <c:v>470.62900027290516</c:v>
                </c:pt>
                <c:pt idx="4">
                  <c:v>2035.7298887522934</c:v>
                </c:pt>
                <c:pt idx="5">
                  <c:v>3695.844342812215</c:v>
                </c:pt>
                <c:pt idx="6">
                  <c:v>6568.4737662566095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38-4B2D-A958-4172FD863CA9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Data'!$AQ$14:$AQ$19</c:f>
              <c:numCache>
                <c:formatCode>0</c:formatCode>
                <c:ptCount val="6"/>
                <c:pt idx="0">
                  <c:v>7712.6415104829321</c:v>
                </c:pt>
                <c:pt idx="1">
                  <c:v>10139.62786239104</c:v>
                </c:pt>
                <c:pt idx="2">
                  <c:v>7819.3886938799405</c:v>
                </c:pt>
                <c:pt idx="3">
                  <c:v>5572.2279243770563</c:v>
                </c:pt>
                <c:pt idx="4">
                  <c:v>8422.2854856977847</c:v>
                </c:pt>
                <c:pt idx="5">
                  <c:v>9061.7214770197552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38-4B2D-A958-4172FD863CA9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Data'!$AQ$29:$AQ$33</c:f>
              <c:numCache>
                <c:formatCode>0</c:formatCode>
                <c:ptCount val="5"/>
                <c:pt idx="1">
                  <c:v>9101.6213693982481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03-4468-823D-83F288C3F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V3.0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V3.1 - Ship Control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5344514005673694E-2"/>
                  <c:y val="-0.1314513522249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Data'!$AR$7:$AR$12</c:f>
              <c:numCache>
                <c:formatCode>0</c:formatCode>
                <c:ptCount val="6"/>
                <c:pt idx="0">
                  <c:v>300</c:v>
                </c:pt>
                <c:pt idx="1">
                  <c:v>136</c:v>
                </c:pt>
                <c:pt idx="2">
                  <c:v>266</c:v>
                </c:pt>
                <c:pt idx="3">
                  <c:v>389</c:v>
                </c:pt>
                <c:pt idx="4">
                  <c:v>840</c:v>
                </c:pt>
                <c:pt idx="5">
                  <c:v>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E1-47FB-9551-6634974025E8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3339282392850494E-2"/>
                  <c:y val="-2.777816405236029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Data'!$AR$21:$AR$27</c:f>
              <c:numCache>
                <c:formatCode>0</c:formatCode>
                <c:ptCount val="7"/>
                <c:pt idx="0">
                  <c:v>14.22973450688257</c:v>
                </c:pt>
                <c:pt idx="1">
                  <c:v>43.836077645083023</c:v>
                </c:pt>
                <c:pt idx="2">
                  <c:v>28.742647809922008</c:v>
                </c:pt>
                <c:pt idx="3">
                  <c:v>45.959918616259522</c:v>
                </c:pt>
                <c:pt idx="4">
                  <c:v>143.76987480884139</c:v>
                </c:pt>
                <c:pt idx="5">
                  <c:v>251.00968491344696</c:v>
                </c:pt>
                <c:pt idx="6">
                  <c:v>405.22885730047676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E1-47FB-9551-6634974025E8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Data'!$AR$14:$AR$19</c:f>
              <c:numCache>
                <c:formatCode>0</c:formatCode>
                <c:ptCount val="6"/>
                <c:pt idx="0">
                  <c:v>618.466536217971</c:v>
                </c:pt>
                <c:pt idx="3">
                  <c:v>749.05358983429301</c:v>
                </c:pt>
                <c:pt idx="4">
                  <c:v>602.89679181784697</c:v>
                </c:pt>
                <c:pt idx="5">
                  <c:v>566.35759231373504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E1-47FB-9551-6634974025E8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Data'!$AR$29:$AR$33</c:f>
              <c:numCache>
                <c:formatCode>0</c:formatCode>
                <c:ptCount val="5"/>
                <c:pt idx="0">
                  <c:v>286.95</c:v>
                </c:pt>
                <c:pt idx="1">
                  <c:v>286.86012050690636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B3-4874-A390-0500C3B7C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V3.1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V3.2 - Machinery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7692265855417603E-2"/>
                  <c:y val="0.132528822325180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Data'!$BA$7:$BA$12</c:f>
              <c:numCache>
                <c:formatCode>General</c:formatCode>
                <c:ptCount val="6"/>
                <c:pt idx="0">
                  <c:v>2347</c:v>
                </c:pt>
                <c:pt idx="1">
                  <c:v>1420</c:v>
                </c:pt>
                <c:pt idx="2">
                  <c:v>2017</c:v>
                </c:pt>
                <c:pt idx="3">
                  <c:v>2252</c:v>
                </c:pt>
                <c:pt idx="4">
                  <c:v>3075</c:v>
                </c:pt>
                <c:pt idx="5">
                  <c:v>3139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15-4AB5-B6F3-FA28C29F05B3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163227917815303"/>
                  <c:y val="0.222793853345183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Data'!$BA$21:$BA$27</c:f>
              <c:numCache>
                <c:formatCode>0</c:formatCode>
                <c:ptCount val="7"/>
                <c:pt idx="0">
                  <c:v>31.772660928800484</c:v>
                </c:pt>
                <c:pt idx="1">
                  <c:v>121.66776976879794</c:v>
                </c:pt>
                <c:pt idx="2">
                  <c:v>200.70297177617954</c:v>
                </c:pt>
                <c:pt idx="3">
                  <c:v>121.75272340764499</c:v>
                </c:pt>
                <c:pt idx="4">
                  <c:v>509.95545558919014</c:v>
                </c:pt>
                <c:pt idx="5">
                  <c:v>1050.8906714779414</c:v>
                </c:pt>
                <c:pt idx="6">
                  <c:v>1776.7770386066468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15-4AB5-B6F3-FA28C29F05B3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Data'!$BA$14:$BA$19</c:f>
              <c:numCache>
                <c:formatCode>0</c:formatCode>
                <c:ptCount val="6"/>
                <c:pt idx="0">
                  <c:v>2182.8230690045998</c:v>
                </c:pt>
                <c:pt idx="1">
                  <c:v>3087.5623580974502</c:v>
                </c:pt>
                <c:pt idx="2">
                  <c:v>2466.3959665275502</c:v>
                </c:pt>
                <c:pt idx="3">
                  <c:v>2228.8911697508202</c:v>
                </c:pt>
                <c:pt idx="4">
                  <c:v>3087.5623580974502</c:v>
                </c:pt>
                <c:pt idx="5">
                  <c:v>3526.0327521467998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15-4AB5-B6F3-FA28C29F05B3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Data'!$AS$29:$AS$33</c:f>
              <c:numCache>
                <c:formatCode>0</c:formatCode>
                <c:ptCount val="5"/>
                <c:pt idx="0">
                  <c:v>455.79</c:v>
                </c:pt>
                <c:pt idx="1">
                  <c:v>484.12246990977991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A5-4F44-8E60-2E4A5E0E1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V3.2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V3.3 - Auxiliaries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7692265855417603E-2"/>
                  <c:y val="0.132528822325180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Data'!$BC$7:$BC$12</c:f>
              <c:numCache>
                <c:formatCode>0</c:formatCode>
                <c:ptCount val="6"/>
                <c:pt idx="0">
                  <c:v>331</c:v>
                </c:pt>
                <c:pt idx="1">
                  <c:v>384</c:v>
                </c:pt>
                <c:pt idx="2">
                  <c:v>526</c:v>
                </c:pt>
                <c:pt idx="3">
                  <c:v>1194</c:v>
                </c:pt>
                <c:pt idx="4">
                  <c:v>908</c:v>
                </c:pt>
                <c:pt idx="5">
                  <c:v>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7A-4B91-9AB9-434064CA8A7A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163227917815303"/>
                  <c:y val="0.222793853345183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Data'!$BC$21:$BC$27</c:f>
              <c:numCache>
                <c:formatCode>0</c:formatCode>
                <c:ptCount val="7"/>
                <c:pt idx="0">
                  <c:v>19.411906476553238</c:v>
                </c:pt>
                <c:pt idx="1">
                  <c:v>50.9155475490047</c:v>
                </c:pt>
                <c:pt idx="2">
                  <c:v>58.179083670428341</c:v>
                </c:pt>
                <c:pt idx="3">
                  <c:v>182.46625730367728</c:v>
                </c:pt>
                <c:pt idx="4">
                  <c:v>540.97769270817491</c:v>
                </c:pt>
                <c:pt idx="5">
                  <c:v>996.69024989351715</c:v>
                </c:pt>
                <c:pt idx="6">
                  <c:v>1366.4226450957306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7A-4B91-9AB9-434064CA8A7A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Data'!$BC$14:$BC$19</c:f>
              <c:numCache>
                <c:formatCode>0</c:formatCode>
                <c:ptCount val="6"/>
                <c:pt idx="0">
                  <c:v>2019.1113388292599</c:v>
                </c:pt>
                <c:pt idx="3">
                  <c:v>621.16639156990198</c:v>
                </c:pt>
                <c:pt idx="4">
                  <c:v>1023.09758611513</c:v>
                </c:pt>
                <c:pt idx="5">
                  <c:v>968.28878685896404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7A-4B91-9AB9-434064CA8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V3.3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V3.4 - Maintenance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7692265855417603E-2"/>
                  <c:y val="0.132528822325180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Data'!$AV$7:$AV$12</c:f>
              <c:numCache>
                <c:formatCode>0</c:formatCode>
                <c:ptCount val="6"/>
                <c:pt idx="0">
                  <c:v>135</c:v>
                </c:pt>
                <c:pt idx="1">
                  <c:v>77</c:v>
                </c:pt>
                <c:pt idx="2">
                  <c:v>101</c:v>
                </c:pt>
                <c:pt idx="3">
                  <c:v>121</c:v>
                </c:pt>
                <c:pt idx="4">
                  <c:v>185</c:v>
                </c:pt>
                <c:pt idx="5">
                  <c:v>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39-4827-9BDF-36F813D990CE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6455974523710202E-2"/>
                  <c:y val="-3.730742884423619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Data'!$AV$21:$AV$27</c:f>
              <c:numCache>
                <c:formatCode>0</c:formatCode>
                <c:ptCount val="7"/>
                <c:pt idx="4">
                  <c:v>62.978964265287232</c:v>
                </c:pt>
                <c:pt idx="5">
                  <c:v>132.86749115680203</c:v>
                </c:pt>
                <c:pt idx="6">
                  <c:v>207.96650789760318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39-4827-9BDF-36F813D990CE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Data'!$AV$14:$AV$19</c:f>
              <c:numCache>
                <c:formatCode>0</c:formatCode>
                <c:ptCount val="6"/>
                <c:pt idx="0">
                  <c:v>163.71173017534599</c:v>
                </c:pt>
                <c:pt idx="3">
                  <c:v>109.61759851233499</c:v>
                </c:pt>
                <c:pt idx="4">
                  <c:v>182.69599752056101</c:v>
                </c:pt>
                <c:pt idx="5">
                  <c:v>328.85279553700599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39-4827-9BDF-36F813D990CE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Data'!$AU$29:$AU$33</c:f>
              <c:numCache>
                <c:formatCode>0</c:formatCode>
                <c:ptCount val="5"/>
                <c:pt idx="1">
                  <c:v>232.1782949690153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96-4085-A450-A306D72A5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V3.4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Hull Volume vs Cubic Number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dot"/>
            <c:size val="2"/>
            <c:spPr>
              <a:noFill/>
              <a:ln w="9525">
                <a:solidFill>
                  <a:srgbClr val="000000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dash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4.3523190974125131E-2"/>
                  <c:y val="0.114532724415971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Data'!$I$7:$I$27</c:f>
              <c:numCache>
                <c:formatCode>0_ </c:formatCode>
                <c:ptCount val="21"/>
                <c:pt idx="0">
                  <c:v>7008.000672990016</c:v>
                </c:pt>
                <c:pt idx="1">
                  <c:v>6508.2869449213949</c:v>
                </c:pt>
                <c:pt idx="2">
                  <c:v>11275.046947781806</c:v>
                </c:pt>
                <c:pt idx="3">
                  <c:v>14544.912507005158</c:v>
                </c:pt>
                <c:pt idx="4">
                  <c:v>15666.810261619541</c:v>
                </c:pt>
                <c:pt idx="5">
                  <c:v>15232.1336413066</c:v>
                </c:pt>
                <c:pt idx="7">
                  <c:v>17001.463057790752</c:v>
                </c:pt>
                <c:pt idx="9">
                  <c:v>15721.42</c:v>
                </c:pt>
                <c:pt idx="14">
                  <c:v>130.54371519474446</c:v>
                </c:pt>
                <c:pt idx="15">
                  <c:v>495.65351048928704</c:v>
                </c:pt>
                <c:pt idx="16">
                  <c:v>679.43670233818773</c:v>
                </c:pt>
                <c:pt idx="17">
                  <c:v>844.77898469516595</c:v>
                </c:pt>
                <c:pt idx="18">
                  <c:v>3754.9508370400631</c:v>
                </c:pt>
                <c:pt idx="19">
                  <c:v>6585.6060834241207</c:v>
                </c:pt>
                <c:pt idx="20">
                  <c:v>11447.502834641258</c:v>
                </c:pt>
              </c:numCache>
            </c:numRef>
          </c:xVal>
          <c:yVal>
            <c:numRef>
              <c:f>'Ship Data'!$W$7:$W$27</c:f>
              <c:numCache>
                <c:formatCode>0</c:formatCode>
                <c:ptCount val="21"/>
                <c:pt idx="0">
                  <c:v>6040.4869008221303</c:v>
                </c:pt>
                <c:pt idx="1">
                  <c:v>4551.5327906293196</c:v>
                </c:pt>
                <c:pt idx="2">
                  <c:v>7036.7099057019896</c:v>
                </c:pt>
                <c:pt idx="3">
                  <c:v>9374.3508679769293</c:v>
                </c:pt>
                <c:pt idx="4">
                  <c:v>10720.866043702799</c:v>
                </c:pt>
                <c:pt idx="5">
                  <c:v>10338.857847687201</c:v>
                </c:pt>
                <c:pt idx="7">
                  <c:v>8449.4889197285993</c:v>
                </c:pt>
                <c:pt idx="10">
                  <c:v>7111.1859290912498</c:v>
                </c:pt>
                <c:pt idx="14">
                  <c:v>94.185267601773987</c:v>
                </c:pt>
                <c:pt idx="15">
                  <c:v>351.04259465586023</c:v>
                </c:pt>
                <c:pt idx="16">
                  <c:v>496.46906542221933</c:v>
                </c:pt>
                <c:pt idx="17">
                  <c:v>574.79632043920878</c:v>
                </c:pt>
                <c:pt idx="18">
                  <c:v>3035.1174166792052</c:v>
                </c:pt>
                <c:pt idx="19">
                  <c:v>5126.4707004666116</c:v>
                </c:pt>
                <c:pt idx="20">
                  <c:v>7652.1707012693241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0B-49D1-ADE3-2FAE4FBE6AE4}"/>
            </c:ext>
          </c:extLst>
        </c:ser>
        <c:ser>
          <c:idx val="0"/>
          <c:order val="1"/>
          <c:tx>
            <c:v>USN FF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Data'!$I$7:$I$12</c:f>
              <c:numCache>
                <c:formatCode>0_ </c:formatCode>
                <c:ptCount val="6"/>
                <c:pt idx="0">
                  <c:v>7008.000672990016</c:v>
                </c:pt>
                <c:pt idx="1">
                  <c:v>6508.2869449213949</c:v>
                </c:pt>
                <c:pt idx="2">
                  <c:v>11275.046947781806</c:v>
                </c:pt>
                <c:pt idx="3">
                  <c:v>14544.912507005158</c:v>
                </c:pt>
                <c:pt idx="4">
                  <c:v>15666.810261619541</c:v>
                </c:pt>
                <c:pt idx="5">
                  <c:v>15232.1336413066</c:v>
                </c:pt>
              </c:numCache>
            </c:numRef>
          </c:xVal>
          <c:yVal>
            <c:numRef>
              <c:f>'Ship Data'!$W$7:$W$12</c:f>
              <c:numCache>
                <c:formatCode>0</c:formatCode>
                <c:ptCount val="6"/>
                <c:pt idx="0">
                  <c:v>6040.4869008221303</c:v>
                </c:pt>
                <c:pt idx="1">
                  <c:v>4551.5327906293196</c:v>
                </c:pt>
                <c:pt idx="2">
                  <c:v>7036.7099057019896</c:v>
                </c:pt>
                <c:pt idx="3">
                  <c:v>9374.3508679769293</c:v>
                </c:pt>
                <c:pt idx="4">
                  <c:v>10720.866043702799</c:v>
                </c:pt>
                <c:pt idx="5">
                  <c:v>10338.857847687201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A4-446D-B72A-D2E4DF00CDA7}"/>
            </c:ext>
          </c:extLst>
        </c:ser>
        <c:ser>
          <c:idx val="1"/>
          <c:order val="2"/>
          <c:tx>
            <c:v>Other FF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dash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3.3501281942441903E-2"/>
                  <c:y val="7.919405236504689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Data'!$I$14:$I$19</c:f>
              <c:numCache>
                <c:formatCode>0_ </c:formatCode>
                <c:ptCount val="6"/>
                <c:pt idx="0">
                  <c:v>17001.463057790752</c:v>
                </c:pt>
                <c:pt idx="2">
                  <c:v>15721.42</c:v>
                </c:pt>
              </c:numCache>
            </c:numRef>
          </c:xVal>
          <c:yVal>
            <c:numRef>
              <c:f>'Ship Data'!$W$14:$W$19</c:f>
              <c:numCache>
                <c:formatCode>0</c:formatCode>
                <c:ptCount val="6"/>
                <c:pt idx="0">
                  <c:v>8449.4889197285993</c:v>
                </c:pt>
                <c:pt idx="3">
                  <c:v>7111.1859290912498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A4-446D-B72A-D2E4DF00CDA7}"/>
            </c:ext>
          </c:extLst>
        </c:ser>
        <c:ser>
          <c:idx val="2"/>
          <c:order val="3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Data'!$I$21:$I$27</c:f>
              <c:numCache>
                <c:formatCode>0_ </c:formatCode>
                <c:ptCount val="7"/>
                <c:pt idx="0">
                  <c:v>130.54371519474446</c:v>
                </c:pt>
                <c:pt idx="1">
                  <c:v>495.65351048928704</c:v>
                </c:pt>
                <c:pt idx="2">
                  <c:v>679.43670233818773</c:v>
                </c:pt>
                <c:pt idx="3">
                  <c:v>844.77898469516595</c:v>
                </c:pt>
                <c:pt idx="4">
                  <c:v>3754.9508370400631</c:v>
                </c:pt>
                <c:pt idx="5">
                  <c:v>6585.6060834241207</c:v>
                </c:pt>
                <c:pt idx="6">
                  <c:v>11447.502834641258</c:v>
                </c:pt>
              </c:numCache>
            </c:numRef>
          </c:xVal>
          <c:yVal>
            <c:numRef>
              <c:f>'Ship Data'!$W$21:$W$27</c:f>
              <c:numCache>
                <c:formatCode>0</c:formatCode>
                <c:ptCount val="7"/>
                <c:pt idx="0">
                  <c:v>94.185267601773987</c:v>
                </c:pt>
                <c:pt idx="1">
                  <c:v>351.04259465586023</c:v>
                </c:pt>
                <c:pt idx="2">
                  <c:v>496.46906542221933</c:v>
                </c:pt>
                <c:pt idx="3">
                  <c:v>574.79632043920878</c:v>
                </c:pt>
                <c:pt idx="4">
                  <c:v>3035.1174166792052</c:v>
                </c:pt>
                <c:pt idx="5">
                  <c:v>5126.4707004666116</c:v>
                </c:pt>
                <c:pt idx="6">
                  <c:v>7652.1707012693241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EA4-446D-B72A-D2E4DF00CDA7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'Ship Data'!$I$29:$I$33</c:f>
              <c:numCache>
                <c:formatCode>0_ </c:formatCode>
                <c:ptCount val="5"/>
                <c:pt idx="0">
                  <c:v>32910.412199999999</c:v>
                </c:pt>
                <c:pt idx="1">
                  <c:v>32910.412199999999</c:v>
                </c:pt>
                <c:pt idx="2">
                  <c:v>34604.16571157299</c:v>
                </c:pt>
                <c:pt idx="3">
                  <c:v>34604.16571157299</c:v>
                </c:pt>
              </c:numCache>
            </c:numRef>
          </c:xVal>
          <c:yVal>
            <c:numRef>
              <c:f>'Ship Data'!$W$29:$W$33</c:f>
              <c:numCache>
                <c:formatCode>0</c:formatCode>
                <c:ptCount val="5"/>
                <c:pt idx="0">
                  <c:v>27085.83</c:v>
                </c:pt>
                <c:pt idx="1">
                  <c:v>23440.464666440057</c:v>
                </c:pt>
                <c:pt idx="2">
                  <c:v>19968.820339193931</c:v>
                </c:pt>
                <c:pt idx="3">
                  <c:v>19828.454556693694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2E-4C69-8D63-68316950E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07398"/>
        <c:axId val="307980689"/>
      </c:scatterChart>
      <c:valAx>
        <c:axId val="41800739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- LBD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980689"/>
        <c:crosses val="autoZero"/>
        <c:crossBetween val="midCat"/>
      </c:valAx>
      <c:valAx>
        <c:axId val="30798068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0739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V3.5 - Stowage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7692265855417603E-2"/>
                  <c:y val="0.132528822325180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Data'!$AW$7:$AW$12</c:f>
              <c:numCache>
                <c:formatCode>0</c:formatCode>
                <c:ptCount val="6"/>
                <c:pt idx="0">
                  <c:v>525</c:v>
                </c:pt>
                <c:pt idx="1">
                  <c:v>745</c:v>
                </c:pt>
                <c:pt idx="2">
                  <c:v>909</c:v>
                </c:pt>
                <c:pt idx="3">
                  <c:v>1229</c:v>
                </c:pt>
                <c:pt idx="4">
                  <c:v>1660</c:v>
                </c:pt>
                <c:pt idx="5">
                  <c:v>1421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F0-4CDB-8AC9-30E57D34BB06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7436832246388504E-2"/>
                  <c:y val="6.11733383144750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Data'!$AW$21:$AW$27</c:f>
              <c:numCache>
                <c:formatCode>0</c:formatCode>
                <c:ptCount val="7"/>
                <c:pt idx="0">
                  <c:v>4.2759998219686928</c:v>
                </c:pt>
                <c:pt idx="1">
                  <c:v>9.84046316645113</c:v>
                </c:pt>
                <c:pt idx="2">
                  <c:v>27.383389588369045</c:v>
                </c:pt>
                <c:pt idx="3">
                  <c:v>8.0422778108550244</c:v>
                </c:pt>
                <c:pt idx="4">
                  <c:v>287.36984233998868</c:v>
                </c:pt>
                <c:pt idx="5">
                  <c:v>274.78254485081595</c:v>
                </c:pt>
                <c:pt idx="6">
                  <c:v>659.94818444357873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F0-4CDB-8AC9-30E57D34BB06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Data'!$AW$14:$AW$19</c:f>
              <c:numCache>
                <c:formatCode>0</c:formatCode>
                <c:ptCount val="6"/>
                <c:pt idx="0">
                  <c:v>1255.12326467765</c:v>
                </c:pt>
                <c:pt idx="1">
                  <c:v>3672.1895501632398</c:v>
                </c:pt>
                <c:pt idx="2">
                  <c:v>2649.0919640481102</c:v>
                </c:pt>
                <c:pt idx="3">
                  <c:v>438.47039404934299</c:v>
                </c:pt>
                <c:pt idx="4">
                  <c:v>383.66159479317298</c:v>
                </c:pt>
                <c:pt idx="5">
                  <c:v>1004.82798636308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F0-4CDB-8AC9-30E57D34BB06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Data'!$AV$29:$AV$33</c:f>
              <c:numCache>
                <c:formatCode>0</c:formatCode>
                <c:ptCount val="5"/>
                <c:pt idx="1">
                  <c:v>319.79381449994997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A6-4F1D-BD79-9CF131B95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V3.5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V3.6 - Tankage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8367268896756599E-2"/>
                  <c:y val="-0.134683762525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Data'!$AY$7:$AY$12</c:f>
              <c:numCache>
                <c:formatCode>0</c:formatCode>
                <c:ptCount val="6"/>
                <c:pt idx="0">
                  <c:v>59</c:v>
                </c:pt>
                <c:pt idx="1">
                  <c:v>158</c:v>
                </c:pt>
                <c:pt idx="2">
                  <c:v>236</c:v>
                </c:pt>
                <c:pt idx="3">
                  <c:v>167</c:v>
                </c:pt>
                <c:pt idx="4">
                  <c:v>356</c:v>
                </c:pt>
                <c:pt idx="5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12-4582-B877-0CC42EEEECE7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22167779950934499"/>
                  <c:y val="4.824369711201850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Data'!$AY$21:$AY$27</c:f>
              <c:numCache>
                <c:formatCode>0</c:formatCode>
                <c:ptCount val="7"/>
                <c:pt idx="0">
                  <c:v>10.746635314153105</c:v>
                </c:pt>
                <c:pt idx="1">
                  <c:v>42.335230025451622</c:v>
                </c:pt>
                <c:pt idx="2">
                  <c:v>46.172302713377171</c:v>
                </c:pt>
                <c:pt idx="3">
                  <c:v>80.904182062016915</c:v>
                </c:pt>
                <c:pt idx="4">
                  <c:v>264.81465122609421</c:v>
                </c:pt>
                <c:pt idx="5">
                  <c:v>432.83878992577132</c:v>
                </c:pt>
                <c:pt idx="6">
                  <c:v>1430.7325497029551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12-4582-B877-0CC42EEEECE7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Data'!$AY$14:$AY$19</c:f>
              <c:numCache>
                <c:formatCode>0</c:formatCode>
                <c:ptCount val="6"/>
                <c:pt idx="0">
                  <c:v>381.99403707580598</c:v>
                </c:pt>
                <c:pt idx="1">
                  <c:v>1406.7591809083101</c:v>
                </c:pt>
                <c:pt idx="2">
                  <c:v>1224.0631833877501</c:v>
                </c:pt>
                <c:pt idx="3">
                  <c:v>511.548793057566</c:v>
                </c:pt>
                <c:pt idx="4">
                  <c:v>475.00959355345498</c:v>
                </c:pt>
                <c:pt idx="5">
                  <c:v>1096.1759851233601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12-4582-B877-0CC42EEEECE7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Data'!$AY$29:$AY$33</c:f>
              <c:numCache>
                <c:formatCode>0</c:formatCode>
                <c:ptCount val="5"/>
                <c:pt idx="1">
                  <c:v>2487.7540421176927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D1-4924-A469-18E2717A7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V3.6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V3.7 - Passages &amp; Access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73128735349006E-2"/>
                  <c:y val="0.130373882124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Data'!$AX$7:$AX$12</c:f>
              <c:numCache>
                <c:formatCode>0</c:formatCode>
                <c:ptCount val="6"/>
                <c:pt idx="0">
                  <c:v>372</c:v>
                </c:pt>
                <c:pt idx="1">
                  <c:v>243</c:v>
                </c:pt>
                <c:pt idx="2">
                  <c:v>588</c:v>
                </c:pt>
                <c:pt idx="3">
                  <c:v>920</c:v>
                </c:pt>
                <c:pt idx="4">
                  <c:v>2026</c:v>
                </c:pt>
                <c:pt idx="5">
                  <c:v>1755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E3-4B30-BA0A-BBFC969E0A80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798115750593"/>
                  <c:y val="0.138104703469092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Data'!$AX$21:$AX$27</c:f>
              <c:numCache>
                <c:formatCode>0</c:formatCode>
                <c:ptCount val="7"/>
                <c:pt idx="1">
                  <c:v>36.133614389616234</c:v>
                </c:pt>
                <c:pt idx="2">
                  <c:v>37.209693815012329</c:v>
                </c:pt>
                <c:pt idx="3">
                  <c:v>31.503641072451462</c:v>
                </c:pt>
                <c:pt idx="4">
                  <c:v>225.86340781471716</c:v>
                </c:pt>
                <c:pt idx="5">
                  <c:v>544.97051373398676</c:v>
                </c:pt>
                <c:pt idx="6">
                  <c:v>721.39798320961881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E3-4B30-BA0A-BBFC969E0A80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Data'!$AX$14:$AX$19</c:f>
              <c:numCache>
                <c:formatCode>0</c:formatCode>
                <c:ptCount val="6"/>
                <c:pt idx="0">
                  <c:v>1091.4115345022999</c:v>
                </c:pt>
                <c:pt idx="1">
                  <c:v>1973.1167732220399</c:v>
                </c:pt>
                <c:pt idx="2">
                  <c:v>1479.8375799165301</c:v>
                </c:pt>
                <c:pt idx="3">
                  <c:v>913.479987602797</c:v>
                </c:pt>
                <c:pt idx="4">
                  <c:v>2667.3615638001702</c:v>
                </c:pt>
                <c:pt idx="5">
                  <c:v>1571.1855786768101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E3-4B30-BA0A-BBFC969E0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V3.7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V3.7 - Passages &amp; Access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73128735349006E-2"/>
                  <c:y val="0.130373882124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Data'!$BF$7:$BF$12</c:f>
              <c:numCache>
                <c:formatCode>0</c:formatCode>
                <c:ptCount val="6"/>
                <c:pt idx="0">
                  <c:v>6492.25401884246</c:v>
                </c:pt>
                <c:pt idx="1">
                  <c:v>5406.1338045333396</c:v>
                </c:pt>
                <c:pt idx="2">
                  <c:v>7636.0785979877292</c:v>
                </c:pt>
                <c:pt idx="3">
                  <c:v>10622.9340889462</c:v>
                </c:pt>
                <c:pt idx="4">
                  <c:v>13038.545597953</c:v>
                </c:pt>
                <c:pt idx="5">
                  <c:v>12581.2097342376</c:v>
                </c:pt>
              </c:numCache>
            </c:numRef>
          </c:xVal>
          <c:yVal>
            <c:numRef>
              <c:f>'Ship Data'!$AX$7:$AX$12</c:f>
              <c:numCache>
                <c:formatCode>0</c:formatCode>
                <c:ptCount val="6"/>
                <c:pt idx="0">
                  <c:v>372</c:v>
                </c:pt>
                <c:pt idx="1">
                  <c:v>243</c:v>
                </c:pt>
                <c:pt idx="2">
                  <c:v>588</c:v>
                </c:pt>
                <c:pt idx="3">
                  <c:v>920</c:v>
                </c:pt>
                <c:pt idx="4">
                  <c:v>2026</c:v>
                </c:pt>
                <c:pt idx="5">
                  <c:v>1755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8-4CD3-8B68-63A64F44650C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495068306627801"/>
                  <c:y val="1.09632316449351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Data'!$BF$21:$BF$27</c:f>
              <c:numCache>
                <c:formatCode>0</c:formatCode>
                <c:ptCount val="7"/>
                <c:pt idx="0">
                  <c:v>128.97378270964509</c:v>
                </c:pt>
                <c:pt idx="1">
                  <c:v>439.15367708006943</c:v>
                </c:pt>
                <c:pt idx="2">
                  <c:v>577.76969779885587</c:v>
                </c:pt>
                <c:pt idx="3">
                  <c:v>708.0461029708224</c:v>
                </c:pt>
                <c:pt idx="4">
                  <c:v>3324.526146351523</c:v>
                </c:pt>
                <c:pt idx="5">
                  <c:v>6029.2942589040313</c:v>
                </c:pt>
                <c:pt idx="6">
                  <c:v>10287.290988907051</c:v>
                </c:pt>
              </c:numCache>
            </c:numRef>
          </c:xVal>
          <c:yVal>
            <c:numRef>
              <c:f>'Ship Data'!$AX$21:$AX$27</c:f>
              <c:numCache>
                <c:formatCode>0</c:formatCode>
                <c:ptCount val="7"/>
                <c:pt idx="1">
                  <c:v>36.133614389616234</c:v>
                </c:pt>
                <c:pt idx="2">
                  <c:v>37.209693815012329</c:v>
                </c:pt>
                <c:pt idx="3">
                  <c:v>31.503641072451462</c:v>
                </c:pt>
                <c:pt idx="4">
                  <c:v>225.86340781471716</c:v>
                </c:pt>
                <c:pt idx="5">
                  <c:v>544.97051373398676</c:v>
                </c:pt>
                <c:pt idx="6">
                  <c:v>721.39798320961881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8-4CD3-8B68-63A64F44650C}"/>
            </c:ext>
          </c:extLst>
        </c:ser>
        <c:ser>
          <c:idx val="2"/>
          <c:order val="2"/>
          <c:tx>
            <c:v>Other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Data'!$BF$14:$BF$19</c:f>
              <c:numCache>
                <c:formatCode>0</c:formatCode>
                <c:ptCount val="6"/>
                <c:pt idx="0">
                  <c:v>15152.430137340303</c:v>
                </c:pt>
                <c:pt idx="1">
                  <c:v>21704.284505442443</c:v>
                </c:pt>
                <c:pt idx="2">
                  <c:v>18306.138951560053</c:v>
                </c:pt>
                <c:pt idx="3">
                  <c:v>11327.151846274675</c:v>
                </c:pt>
                <c:pt idx="4">
                  <c:v>17538.815761973703</c:v>
                </c:pt>
                <c:pt idx="5">
                  <c:v>17904.207757014836</c:v>
                </c:pt>
              </c:numCache>
            </c:numRef>
          </c:xVal>
          <c:yVal>
            <c:numRef>
              <c:f>'Ship Data'!$AX$14:$AX$19</c:f>
              <c:numCache>
                <c:formatCode>0</c:formatCode>
                <c:ptCount val="6"/>
                <c:pt idx="0">
                  <c:v>1091.4115345022999</c:v>
                </c:pt>
                <c:pt idx="1">
                  <c:v>1973.1167732220399</c:v>
                </c:pt>
                <c:pt idx="2">
                  <c:v>1479.8375799165301</c:v>
                </c:pt>
                <c:pt idx="3">
                  <c:v>913.479987602797</c:v>
                </c:pt>
                <c:pt idx="4">
                  <c:v>2667.3615638001702</c:v>
                </c:pt>
                <c:pt idx="5">
                  <c:v>1571.1855786768101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8-4CD3-8B68-63A64F44650C}"/>
            </c:ext>
          </c:extLst>
        </c:ser>
        <c:ser>
          <c:idx val="3"/>
          <c:order val="3"/>
          <c:tx>
            <c:v>Eqn (1)  CL Passage</c:v>
          </c:tx>
          <c:spPr>
            <a:ln w="28575" cap="rnd" cmpd="sng">
              <a:solidFill>
                <a:srgbClr val="92D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Eqns!$T$18:$AD$18</c:f>
              <c:numCache>
                <c:formatCode>General</c:formatCode>
                <c:ptCount val="11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</c:numCache>
            </c:numRef>
          </c:xVal>
          <c:yVal>
            <c:numRef>
              <c:f>Eqns!$T$92:$AD$92</c:f>
              <c:numCache>
                <c:formatCode>0.0_ </c:formatCode>
                <c:ptCount val="11"/>
                <c:pt idx="0">
                  <c:v>0</c:v>
                </c:pt>
                <c:pt idx="1">
                  <c:v>300.90954241803888</c:v>
                </c:pt>
                <c:pt idx="2">
                  <c:v>570.65937349736464</c:v>
                </c:pt>
                <c:pt idx="3">
                  <c:v>829.77818839871679</c:v>
                </c:pt>
                <c:pt idx="4">
                  <c:v>1082.2259671246743</c:v>
                </c:pt>
                <c:pt idx="5">
                  <c:v>1329.8264455122667</c:v>
                </c:pt>
                <c:pt idx="6">
                  <c:v>1573.6313887831141</c:v>
                </c:pt>
                <c:pt idx="7">
                  <c:v>1814.3245645204127</c:v>
                </c:pt>
                <c:pt idx="8">
                  <c:v>2052.3855355971705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8-4CD3-8B68-63A64F44650C}"/>
            </c:ext>
          </c:extLst>
        </c:ser>
        <c:ser>
          <c:idx val="4"/>
          <c:order val="4"/>
          <c:tx>
            <c:v>Eqn (2) P/S Passage</c:v>
          </c:tx>
          <c:spPr>
            <a:ln w="28575" cap="rnd" cmpd="sng">
              <a:solidFill>
                <a:srgbClr val="00206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Eqns!$T$18:$AD$18</c:f>
              <c:numCache>
                <c:formatCode>General</c:formatCode>
                <c:ptCount val="11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</c:numCache>
            </c:numRef>
          </c:xVal>
          <c:yVal>
            <c:numRef>
              <c:f>Eqns!$T$93:$AB$93</c:f>
              <c:numCache>
                <c:formatCode>0.0_ </c:formatCode>
                <c:ptCount val="9"/>
                <c:pt idx="0">
                  <c:v>0</c:v>
                </c:pt>
                <c:pt idx="1">
                  <c:v>101.34447842288549</c:v>
                </c:pt>
                <c:pt idx="2">
                  <c:v>142.64878789658655</c:v>
                </c:pt>
                <c:pt idx="3">
                  <c:v>174.22733542741264</c:v>
                </c:pt>
                <c:pt idx="4">
                  <c:v>200.78722595478177</c:v>
                </c:pt>
                <c:pt idx="5">
                  <c:v>224.14657029312164</c:v>
                </c:pt>
                <c:pt idx="6">
                  <c:v>245.23603657483648</c:v>
                </c:pt>
                <c:pt idx="7">
                  <c:v>264.60768011583622</c:v>
                </c:pt>
                <c:pt idx="8">
                  <c:v>282.62076882029521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8-4CD3-8B68-63A64F446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  <c:max val="3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V3.7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V3.8 - Unassigned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Data'!$BD$7:$BD$12</c:f>
              <c:numCache>
                <c:formatCode>0</c:formatCode>
                <c:ptCount val="6"/>
                <c:pt idx="3">
                  <c:v>64</c:v>
                </c:pt>
                <c:pt idx="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0D-474C-95A5-4ADB1F16BED2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798115750593"/>
                  <c:y val="0.138104703469092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Data'!$BD$21:$BD$27</c:f>
              <c:numCache>
                <c:formatCode>0</c:formatCode>
                <c:ptCount val="7"/>
                <c:pt idx="5">
                  <c:v>11.794396859933514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0D-474C-95A5-4ADB1F16B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Full Load Displacementl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V3.8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V3.8 - Unassigned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USN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Data'!$V$7:$V$12</c:f>
              <c:numCache>
                <c:formatCode>0</c:formatCode>
                <c:ptCount val="6"/>
                <c:pt idx="0">
                  <c:v>6864.25401884246</c:v>
                </c:pt>
                <c:pt idx="1">
                  <c:v>5649.1338045333396</c:v>
                </c:pt>
                <c:pt idx="2">
                  <c:v>8224.0785979877292</c:v>
                </c:pt>
                <c:pt idx="3">
                  <c:v>11542.9340889462</c:v>
                </c:pt>
                <c:pt idx="4">
                  <c:v>15064.545597953</c:v>
                </c:pt>
                <c:pt idx="5">
                  <c:v>14336.2097342376</c:v>
                </c:pt>
              </c:numCache>
            </c:numRef>
          </c:xVal>
          <c:yVal>
            <c:numRef>
              <c:f>'Ship Data'!$BD$7:$BD$12</c:f>
              <c:numCache>
                <c:formatCode>0</c:formatCode>
                <c:ptCount val="6"/>
                <c:pt idx="3">
                  <c:v>64</c:v>
                </c:pt>
                <c:pt idx="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FA-46CB-A7FB-C0163EA7670E}"/>
            </c:ext>
          </c:extLst>
        </c:ser>
        <c:ser>
          <c:idx val="1"/>
          <c:order val="1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798115750593"/>
                  <c:y val="0.138104703469092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Data'!$V$21:$V$27</c:f>
              <c:numCache>
                <c:formatCode>0</c:formatCode>
                <c:ptCount val="7"/>
                <c:pt idx="0">
                  <c:v>128.97378270964509</c:v>
                </c:pt>
                <c:pt idx="1">
                  <c:v>475.28729146968567</c:v>
                </c:pt>
                <c:pt idx="2">
                  <c:v>614.97939161386819</c:v>
                </c:pt>
                <c:pt idx="3">
                  <c:v>739.5497440432739</c:v>
                </c:pt>
                <c:pt idx="4">
                  <c:v>3550.38955416624</c:v>
                </c:pt>
                <c:pt idx="5">
                  <c:v>6574.2647726380183</c:v>
                </c:pt>
                <c:pt idx="6">
                  <c:v>11008.68897211667</c:v>
                </c:pt>
              </c:numCache>
            </c:numRef>
          </c:xVal>
          <c:yVal>
            <c:numRef>
              <c:f>'Ship Data'!$BD$21:$BD$27</c:f>
              <c:numCache>
                <c:formatCode>0</c:formatCode>
                <c:ptCount val="7"/>
                <c:pt idx="5">
                  <c:v>11.794396859933514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FA-46CB-A7FB-C0163EA76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35772"/>
        <c:axId val="193323241"/>
      </c:scatterChart>
      <c:valAx>
        <c:axId val="5464357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Total Enclosed Volume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23241"/>
        <c:crosses val="autoZero"/>
        <c:crossBetween val="midCat"/>
      </c:valAx>
      <c:valAx>
        <c:axId val="19332324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 V3.8 (m3)</a:t>
                </a:r>
              </a:p>
            </c:rich>
          </c:tx>
          <c:layout>
            <c:manualLayout>
              <c:xMode val="edge"/>
              <c:yMode val="edge"/>
              <c:x val="1.55553984303189E-2"/>
              <c:y val="0.4633128065963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435772"/>
        <c:crosses val="autoZero"/>
        <c:crossBetween val="midCat"/>
      </c:valAx>
      <c:spPr>
        <a:noFill/>
        <a:ln>
          <a:solidFill>
            <a:srgbClr val="000000"/>
          </a:solidFill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Superstructure Volume vs Cubic Number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dot"/>
            <c:size val="2"/>
            <c:spPr>
              <a:noFill/>
              <a:ln w="9525">
                <a:solidFill>
                  <a:srgbClr val="000000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dash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4.6688978648718835E-2"/>
                  <c:y val="7.087087087087086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Data'!$I$7:$I$27</c:f>
              <c:numCache>
                <c:formatCode>0_ </c:formatCode>
                <c:ptCount val="21"/>
                <c:pt idx="0">
                  <c:v>7008.000672990016</c:v>
                </c:pt>
                <c:pt idx="1">
                  <c:v>6508.2869449213949</c:v>
                </c:pt>
                <c:pt idx="2">
                  <c:v>11275.046947781806</c:v>
                </c:pt>
                <c:pt idx="3">
                  <c:v>14544.912507005158</c:v>
                </c:pt>
                <c:pt idx="4">
                  <c:v>15666.810261619541</c:v>
                </c:pt>
                <c:pt idx="5">
                  <c:v>15232.1336413066</c:v>
                </c:pt>
                <c:pt idx="7">
                  <c:v>17001.463057790752</c:v>
                </c:pt>
                <c:pt idx="9">
                  <c:v>15721.42</c:v>
                </c:pt>
                <c:pt idx="14">
                  <c:v>130.54371519474446</c:v>
                </c:pt>
                <c:pt idx="15">
                  <c:v>495.65351048928704</c:v>
                </c:pt>
                <c:pt idx="16">
                  <c:v>679.43670233818773</c:v>
                </c:pt>
                <c:pt idx="17">
                  <c:v>844.77898469516595</c:v>
                </c:pt>
                <c:pt idx="18">
                  <c:v>3754.9508370400631</c:v>
                </c:pt>
                <c:pt idx="19">
                  <c:v>6585.6060834241207</c:v>
                </c:pt>
                <c:pt idx="20">
                  <c:v>11447.502834641258</c:v>
                </c:pt>
              </c:numCache>
            </c:numRef>
          </c:xVal>
          <c:yVal>
            <c:numRef>
              <c:f>'Ship Data'!$X$7:$X$27</c:f>
              <c:numCache>
                <c:formatCode>0</c:formatCode>
                <c:ptCount val="21"/>
                <c:pt idx="0">
                  <c:v>823.76711802032605</c:v>
                </c:pt>
                <c:pt idx="1">
                  <c:v>1097.60101390402</c:v>
                </c:pt>
                <c:pt idx="2">
                  <c:v>1187.3686922857401</c:v>
                </c:pt>
                <c:pt idx="3">
                  <c:v>2168.5832209692899</c:v>
                </c:pt>
                <c:pt idx="4">
                  <c:v>4343.6795542501804</c:v>
                </c:pt>
                <c:pt idx="5">
                  <c:v>3997.3518865503402</c:v>
                </c:pt>
                <c:pt idx="7">
                  <c:v>4283.6456494649301</c:v>
                </c:pt>
                <c:pt idx="10">
                  <c:v>2406.1702309449001</c:v>
                </c:pt>
                <c:pt idx="14">
                  <c:v>34.78851510787112</c:v>
                </c:pt>
                <c:pt idx="15">
                  <c:v>124.24469681382543</c:v>
                </c:pt>
                <c:pt idx="16">
                  <c:v>118.51032619164887</c:v>
                </c:pt>
                <c:pt idx="17">
                  <c:v>164.75342360406526</c:v>
                </c:pt>
                <c:pt idx="18">
                  <c:v>515.27213748703525</c:v>
                </c:pt>
                <c:pt idx="19">
                  <c:v>1447.7940721714065</c:v>
                </c:pt>
                <c:pt idx="20">
                  <c:v>3356.5182708473453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3F-46EC-9AB5-E24D17A54F9F}"/>
            </c:ext>
          </c:extLst>
        </c:ser>
        <c:ser>
          <c:idx val="0"/>
          <c:order val="1"/>
          <c:tx>
            <c:v>USN FF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Data'!$I$7:$I$12</c:f>
              <c:numCache>
                <c:formatCode>0_ </c:formatCode>
                <c:ptCount val="6"/>
                <c:pt idx="0">
                  <c:v>7008.000672990016</c:v>
                </c:pt>
                <c:pt idx="1">
                  <c:v>6508.2869449213949</c:v>
                </c:pt>
                <c:pt idx="2">
                  <c:v>11275.046947781806</c:v>
                </c:pt>
                <c:pt idx="3">
                  <c:v>14544.912507005158</c:v>
                </c:pt>
                <c:pt idx="4">
                  <c:v>15666.810261619541</c:v>
                </c:pt>
                <c:pt idx="5">
                  <c:v>15232.1336413066</c:v>
                </c:pt>
              </c:numCache>
            </c:numRef>
          </c:xVal>
          <c:yVal>
            <c:numRef>
              <c:f>'Ship Data'!$X$7:$X$12</c:f>
              <c:numCache>
                <c:formatCode>0</c:formatCode>
                <c:ptCount val="6"/>
                <c:pt idx="0">
                  <c:v>823.76711802032605</c:v>
                </c:pt>
                <c:pt idx="1">
                  <c:v>1097.60101390402</c:v>
                </c:pt>
                <c:pt idx="2">
                  <c:v>1187.3686922857401</c:v>
                </c:pt>
                <c:pt idx="3">
                  <c:v>2168.5832209692899</c:v>
                </c:pt>
                <c:pt idx="4">
                  <c:v>4343.6795542501804</c:v>
                </c:pt>
                <c:pt idx="5">
                  <c:v>3997.3518865503402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3F-46EC-9AB5-E24D17A54F9F}"/>
            </c:ext>
          </c:extLst>
        </c:ser>
        <c:ser>
          <c:idx val="1"/>
          <c:order val="2"/>
          <c:tx>
            <c:v>Other FF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dash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3.3501281942441903E-2"/>
                  <c:y val="7.919405236504689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Data'!$I$14:$I$19</c:f>
              <c:numCache>
                <c:formatCode>0_ </c:formatCode>
                <c:ptCount val="6"/>
                <c:pt idx="0">
                  <c:v>17001.463057790752</c:v>
                </c:pt>
                <c:pt idx="2">
                  <c:v>15721.42</c:v>
                </c:pt>
              </c:numCache>
            </c:numRef>
          </c:xVal>
          <c:yVal>
            <c:numRef>
              <c:f>'Ship Data'!$X$14:$X$19</c:f>
              <c:numCache>
                <c:formatCode>0</c:formatCode>
                <c:ptCount val="6"/>
                <c:pt idx="0">
                  <c:v>4283.6456494649301</c:v>
                </c:pt>
                <c:pt idx="3">
                  <c:v>2406.1702309449001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3F-46EC-9AB5-E24D17A54F9F}"/>
            </c:ext>
          </c:extLst>
        </c:ser>
        <c:ser>
          <c:idx val="2"/>
          <c:order val="3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Data'!$I$21:$I$27</c:f>
              <c:numCache>
                <c:formatCode>0_ </c:formatCode>
                <c:ptCount val="7"/>
                <c:pt idx="0">
                  <c:v>130.54371519474446</c:v>
                </c:pt>
                <c:pt idx="1">
                  <c:v>495.65351048928704</c:v>
                </c:pt>
                <c:pt idx="2">
                  <c:v>679.43670233818773</c:v>
                </c:pt>
                <c:pt idx="3">
                  <c:v>844.77898469516595</c:v>
                </c:pt>
                <c:pt idx="4">
                  <c:v>3754.9508370400631</c:v>
                </c:pt>
                <c:pt idx="5">
                  <c:v>6585.6060834241207</c:v>
                </c:pt>
                <c:pt idx="6">
                  <c:v>11447.502834641258</c:v>
                </c:pt>
              </c:numCache>
            </c:numRef>
          </c:xVal>
          <c:yVal>
            <c:numRef>
              <c:f>'Ship Data'!$X$21:$X$27</c:f>
              <c:numCache>
                <c:formatCode>0</c:formatCode>
                <c:ptCount val="7"/>
                <c:pt idx="0">
                  <c:v>34.78851510787112</c:v>
                </c:pt>
                <c:pt idx="1">
                  <c:v>124.24469681382543</c:v>
                </c:pt>
                <c:pt idx="2">
                  <c:v>118.51032619164887</c:v>
                </c:pt>
                <c:pt idx="3">
                  <c:v>164.75342360406526</c:v>
                </c:pt>
                <c:pt idx="4">
                  <c:v>515.27213748703525</c:v>
                </c:pt>
                <c:pt idx="5">
                  <c:v>1447.7940721714065</c:v>
                </c:pt>
                <c:pt idx="6">
                  <c:v>3356.5182708473453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13F-46EC-9AB5-E24D17A54F9F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'Ship Data'!$I$29:$I$33</c:f>
              <c:numCache>
                <c:formatCode>0_ </c:formatCode>
                <c:ptCount val="5"/>
                <c:pt idx="0">
                  <c:v>32910.412199999999</c:v>
                </c:pt>
                <c:pt idx="1">
                  <c:v>32910.412199999999</c:v>
                </c:pt>
                <c:pt idx="2">
                  <c:v>34604.16571157299</c:v>
                </c:pt>
                <c:pt idx="3">
                  <c:v>34604.16571157299</c:v>
                </c:pt>
              </c:numCache>
            </c:numRef>
          </c:xVal>
          <c:yVal>
            <c:numRef>
              <c:f>'Ship Data'!$X$29:$X$33</c:f>
              <c:numCache>
                <c:formatCode>0</c:formatCode>
                <c:ptCount val="5"/>
                <c:pt idx="0">
                  <c:v>5775.93</c:v>
                </c:pt>
                <c:pt idx="1">
                  <c:v>6175.6764581074194</c:v>
                </c:pt>
                <c:pt idx="2">
                  <c:v>8617.9610472837976</c:v>
                </c:pt>
                <c:pt idx="3">
                  <c:v>8595.8566768133842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90-49BA-B4D9-1BF7CC1E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07398"/>
        <c:axId val="307980689"/>
      </c:scatterChart>
      <c:valAx>
        <c:axId val="41800739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- LBD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980689"/>
        <c:crosses val="autoZero"/>
        <c:crossBetween val="midCat"/>
      </c:valAx>
      <c:valAx>
        <c:axId val="30798068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0739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Volume vs Cubic Number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dot"/>
            <c:size val="2"/>
            <c:spPr>
              <a:noFill/>
              <a:ln w="9525">
                <a:solidFill>
                  <a:srgbClr val="000000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dash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4.3523190974125131E-2"/>
                  <c:y val="0.114532724415971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Data'!$I$7:$I$27</c:f>
              <c:numCache>
                <c:formatCode>0_ </c:formatCode>
                <c:ptCount val="21"/>
                <c:pt idx="0">
                  <c:v>7008.000672990016</c:v>
                </c:pt>
                <c:pt idx="1">
                  <c:v>6508.2869449213949</c:v>
                </c:pt>
                <c:pt idx="2">
                  <c:v>11275.046947781806</c:v>
                </c:pt>
                <c:pt idx="3">
                  <c:v>14544.912507005158</c:v>
                </c:pt>
                <c:pt idx="4">
                  <c:v>15666.810261619541</c:v>
                </c:pt>
                <c:pt idx="5">
                  <c:v>15232.1336413066</c:v>
                </c:pt>
                <c:pt idx="7">
                  <c:v>17001.463057790752</c:v>
                </c:pt>
                <c:pt idx="9">
                  <c:v>15721.42</c:v>
                </c:pt>
                <c:pt idx="14">
                  <c:v>130.54371519474446</c:v>
                </c:pt>
                <c:pt idx="15">
                  <c:v>495.65351048928704</c:v>
                </c:pt>
                <c:pt idx="16">
                  <c:v>679.43670233818773</c:v>
                </c:pt>
                <c:pt idx="17">
                  <c:v>844.77898469516595</c:v>
                </c:pt>
                <c:pt idx="18">
                  <c:v>3754.9508370400631</c:v>
                </c:pt>
                <c:pt idx="19">
                  <c:v>6585.6060834241207</c:v>
                </c:pt>
                <c:pt idx="20">
                  <c:v>11447.502834641258</c:v>
                </c:pt>
              </c:numCache>
            </c:numRef>
          </c:xVal>
          <c:yVal>
            <c:numRef>
              <c:f>'Ship Data'!$V$7:$V$27</c:f>
              <c:numCache>
                <c:formatCode>0</c:formatCode>
                <c:ptCount val="21"/>
                <c:pt idx="0">
                  <c:v>6864.25401884246</c:v>
                </c:pt>
                <c:pt idx="1">
                  <c:v>5649.1338045333396</c:v>
                </c:pt>
                <c:pt idx="2">
                  <c:v>8224.0785979877292</c:v>
                </c:pt>
                <c:pt idx="3">
                  <c:v>11542.9340889462</c:v>
                </c:pt>
                <c:pt idx="4">
                  <c:v>15064.545597953</c:v>
                </c:pt>
                <c:pt idx="5">
                  <c:v>14336.2097342376</c:v>
                </c:pt>
                <c:pt idx="7">
                  <c:v>16243.841671842603</c:v>
                </c:pt>
                <c:pt idx="8">
                  <c:v>23677.401278664482</c:v>
                </c:pt>
                <c:pt idx="9">
                  <c:v>19785.976531476583</c:v>
                </c:pt>
                <c:pt idx="10">
                  <c:v>12240.631833877473</c:v>
                </c:pt>
                <c:pt idx="11">
                  <c:v>20206.177325773875</c:v>
                </c:pt>
                <c:pt idx="12">
                  <c:v>19475.393335691646</c:v>
                </c:pt>
                <c:pt idx="14">
                  <c:v>128.97378270964509</c:v>
                </c:pt>
                <c:pt idx="15">
                  <c:v>475.28729146968567</c:v>
                </c:pt>
                <c:pt idx="16">
                  <c:v>614.97939161386819</c:v>
                </c:pt>
                <c:pt idx="17">
                  <c:v>739.5497440432739</c:v>
                </c:pt>
                <c:pt idx="18">
                  <c:v>3550.38955416624</c:v>
                </c:pt>
                <c:pt idx="19">
                  <c:v>6574.2647726380183</c:v>
                </c:pt>
                <c:pt idx="20">
                  <c:v>11008.68897211667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EE-490F-AE40-7203E5BA61C6}"/>
            </c:ext>
          </c:extLst>
        </c:ser>
        <c:ser>
          <c:idx val="0"/>
          <c:order val="1"/>
          <c:tx>
            <c:v>USN FF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Data'!$I$7:$I$12</c:f>
              <c:numCache>
                <c:formatCode>0_ </c:formatCode>
                <c:ptCount val="6"/>
                <c:pt idx="0">
                  <c:v>7008.000672990016</c:v>
                </c:pt>
                <c:pt idx="1">
                  <c:v>6508.2869449213949</c:v>
                </c:pt>
                <c:pt idx="2">
                  <c:v>11275.046947781806</c:v>
                </c:pt>
                <c:pt idx="3">
                  <c:v>14544.912507005158</c:v>
                </c:pt>
                <c:pt idx="4">
                  <c:v>15666.810261619541</c:v>
                </c:pt>
                <c:pt idx="5">
                  <c:v>15232.1336413066</c:v>
                </c:pt>
              </c:numCache>
            </c:numRef>
          </c:xVal>
          <c:yVal>
            <c:numRef>
              <c:f>'Ship Data'!$V$7:$V$12</c:f>
              <c:numCache>
                <c:formatCode>0</c:formatCode>
                <c:ptCount val="6"/>
                <c:pt idx="0">
                  <c:v>6864.25401884246</c:v>
                </c:pt>
                <c:pt idx="1">
                  <c:v>5649.1338045333396</c:v>
                </c:pt>
                <c:pt idx="2">
                  <c:v>8224.0785979877292</c:v>
                </c:pt>
                <c:pt idx="3">
                  <c:v>11542.9340889462</c:v>
                </c:pt>
                <c:pt idx="4">
                  <c:v>15064.545597953</c:v>
                </c:pt>
                <c:pt idx="5">
                  <c:v>14336.2097342376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EE-490F-AE40-7203E5BA61C6}"/>
            </c:ext>
          </c:extLst>
        </c:ser>
        <c:ser>
          <c:idx val="1"/>
          <c:order val="2"/>
          <c:tx>
            <c:v>Other FF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Data'!$I$14:$I$19</c:f>
              <c:numCache>
                <c:formatCode>0_ </c:formatCode>
                <c:ptCount val="6"/>
                <c:pt idx="0">
                  <c:v>17001.463057790752</c:v>
                </c:pt>
                <c:pt idx="2">
                  <c:v>15721.42</c:v>
                </c:pt>
              </c:numCache>
            </c:numRef>
          </c:xVal>
          <c:yVal>
            <c:numRef>
              <c:f>'Ship Data'!$V$14:$V$19</c:f>
              <c:numCache>
                <c:formatCode>0</c:formatCode>
                <c:ptCount val="6"/>
                <c:pt idx="0">
                  <c:v>16243.841671842603</c:v>
                </c:pt>
                <c:pt idx="1">
                  <c:v>23677.401278664482</c:v>
                </c:pt>
                <c:pt idx="2">
                  <c:v>19785.976531476583</c:v>
                </c:pt>
                <c:pt idx="3">
                  <c:v>12240.631833877473</c:v>
                </c:pt>
                <c:pt idx="4">
                  <c:v>20206.177325773875</c:v>
                </c:pt>
                <c:pt idx="5">
                  <c:v>19475.393335691646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EE-490F-AE40-7203E5BA61C6}"/>
            </c:ext>
          </c:extLst>
        </c:ser>
        <c:ser>
          <c:idx val="2"/>
          <c:order val="3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Data'!$I$21:$I$27</c:f>
              <c:numCache>
                <c:formatCode>0_ </c:formatCode>
                <c:ptCount val="7"/>
                <c:pt idx="0">
                  <c:v>130.54371519474446</c:v>
                </c:pt>
                <c:pt idx="1">
                  <c:v>495.65351048928704</c:v>
                </c:pt>
                <c:pt idx="2">
                  <c:v>679.43670233818773</c:v>
                </c:pt>
                <c:pt idx="3">
                  <c:v>844.77898469516595</c:v>
                </c:pt>
                <c:pt idx="4">
                  <c:v>3754.9508370400631</c:v>
                </c:pt>
                <c:pt idx="5">
                  <c:v>6585.6060834241207</c:v>
                </c:pt>
                <c:pt idx="6">
                  <c:v>11447.502834641258</c:v>
                </c:pt>
              </c:numCache>
            </c:numRef>
          </c:xVal>
          <c:yVal>
            <c:numRef>
              <c:f>'Ship Data'!$V$21:$V$27</c:f>
              <c:numCache>
                <c:formatCode>0</c:formatCode>
                <c:ptCount val="7"/>
                <c:pt idx="0">
                  <c:v>128.97378270964509</c:v>
                </c:pt>
                <c:pt idx="1">
                  <c:v>475.28729146968567</c:v>
                </c:pt>
                <c:pt idx="2">
                  <c:v>614.97939161386819</c:v>
                </c:pt>
                <c:pt idx="3">
                  <c:v>739.5497440432739</c:v>
                </c:pt>
                <c:pt idx="4">
                  <c:v>3550.38955416624</c:v>
                </c:pt>
                <c:pt idx="5">
                  <c:v>6574.2647726380183</c:v>
                </c:pt>
                <c:pt idx="6">
                  <c:v>11008.68897211667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8EE-490F-AE40-7203E5BA61C6}"/>
            </c:ext>
          </c:extLst>
        </c:ser>
        <c:ser>
          <c:idx val="4"/>
          <c:order val="4"/>
          <c:tx>
            <c:v>USN DD&amp;CG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'Ship Data'!$I$29:$I$33</c:f>
              <c:numCache>
                <c:formatCode>0_ </c:formatCode>
                <c:ptCount val="5"/>
                <c:pt idx="0">
                  <c:v>32910.412199999999</c:v>
                </c:pt>
                <c:pt idx="1">
                  <c:v>32910.412199999999</c:v>
                </c:pt>
                <c:pt idx="2">
                  <c:v>34604.16571157299</c:v>
                </c:pt>
                <c:pt idx="3">
                  <c:v>34604.16571157299</c:v>
                </c:pt>
              </c:numCache>
            </c:numRef>
          </c:xVal>
          <c:yVal>
            <c:numRef>
              <c:f>'Ship Data'!$V$29:$V$33</c:f>
              <c:numCache>
                <c:formatCode>0</c:formatCode>
                <c:ptCount val="5"/>
                <c:pt idx="0">
                  <c:v>32861.757577193996</c:v>
                </c:pt>
                <c:pt idx="1">
                  <c:v>29616.141124547477</c:v>
                </c:pt>
                <c:pt idx="2">
                  <c:v>28586.781386477731</c:v>
                </c:pt>
                <c:pt idx="3">
                  <c:v>28424.31123350708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8EE-490F-AE40-7203E5BA6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07398"/>
        <c:axId val="307980689"/>
      </c:scatterChart>
      <c:valAx>
        <c:axId val="41800739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- LBD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980689"/>
        <c:crosses val="autoZero"/>
        <c:crossBetween val="midCat"/>
      </c:valAx>
      <c:valAx>
        <c:axId val="30798068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0739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Hull Volume vs Full Load Displacement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dot"/>
            <c:size val="2"/>
            <c:spPr>
              <a:noFill/>
              <a:ln w="9525">
                <a:solidFill>
                  <a:srgbClr val="000000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dash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4.3523190974125131E-2"/>
                  <c:y val="0.114532724415971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Data'!$K$7:$K$27</c:f>
              <c:numCache>
                <c:formatCode>0_ </c:formatCode>
                <c:ptCount val="21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  <c:pt idx="7" formatCode="0.0_ ">
                  <c:v>3101.8</c:v>
                </c:pt>
                <c:pt idx="9" formatCode="0.0_ ">
                  <c:v>4160.2</c:v>
                </c:pt>
                <c:pt idx="10" formatCode="0.0_ ">
                  <c:v>2506</c:v>
                </c:pt>
                <c:pt idx="11" formatCode="0.0_ ">
                  <c:v>4141.4496960899896</c:v>
                </c:pt>
                <c:pt idx="12" formatCode="0.0_ ">
                  <c:v>3600.9071940488102</c:v>
                </c:pt>
                <c:pt idx="14" formatCode="0.0_ ">
                  <c:v>18.868184704708298</c:v>
                </c:pt>
                <c:pt idx="15" formatCode="0.0_ ">
                  <c:v>92.4612174544135</c:v>
                </c:pt>
                <c:pt idx="16" formatCode="0.0_ ">
                  <c:v>157.48888687290199</c:v>
                </c:pt>
                <c:pt idx="17" formatCode="0.0_ ">
                  <c:v>166.12537421754499</c:v>
                </c:pt>
                <c:pt idx="18" formatCode="0.0_ ">
                  <c:v>1087.18134809036</c:v>
                </c:pt>
                <c:pt idx="19" formatCode="0.0_ ">
                  <c:v>1651.49959176268</c:v>
                </c:pt>
                <c:pt idx="20" formatCode="0.0_ ">
                  <c:v>3000.4173092624501</c:v>
                </c:pt>
              </c:numCache>
            </c:numRef>
          </c:xVal>
          <c:yVal>
            <c:numRef>
              <c:f>'Ship Data'!$W$7:$W$27</c:f>
              <c:numCache>
                <c:formatCode>0</c:formatCode>
                <c:ptCount val="21"/>
                <c:pt idx="0">
                  <c:v>6040.4869008221303</c:v>
                </c:pt>
                <c:pt idx="1">
                  <c:v>4551.5327906293196</c:v>
                </c:pt>
                <c:pt idx="2">
                  <c:v>7036.7099057019896</c:v>
                </c:pt>
                <c:pt idx="3">
                  <c:v>9374.3508679769293</c:v>
                </c:pt>
                <c:pt idx="4">
                  <c:v>10720.866043702799</c:v>
                </c:pt>
                <c:pt idx="5">
                  <c:v>10338.857847687201</c:v>
                </c:pt>
                <c:pt idx="7">
                  <c:v>8449.4889197285993</c:v>
                </c:pt>
                <c:pt idx="10">
                  <c:v>7111.1859290912498</c:v>
                </c:pt>
                <c:pt idx="14">
                  <c:v>94.185267601773987</c:v>
                </c:pt>
                <c:pt idx="15">
                  <c:v>351.04259465586023</c:v>
                </c:pt>
                <c:pt idx="16">
                  <c:v>496.46906542221933</c:v>
                </c:pt>
                <c:pt idx="17">
                  <c:v>574.79632043920878</c:v>
                </c:pt>
                <c:pt idx="18">
                  <c:v>3035.1174166792052</c:v>
                </c:pt>
                <c:pt idx="19">
                  <c:v>5126.4707004666116</c:v>
                </c:pt>
                <c:pt idx="20">
                  <c:v>7652.1707012693241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1C-4C86-B2D7-6AAB49FF72A0}"/>
            </c:ext>
          </c:extLst>
        </c:ser>
        <c:ser>
          <c:idx val="0"/>
          <c:order val="1"/>
          <c:tx>
            <c:v>USN FF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Data'!$W$7:$W$12</c:f>
              <c:numCache>
                <c:formatCode>0</c:formatCode>
                <c:ptCount val="6"/>
                <c:pt idx="0">
                  <c:v>6040.4869008221303</c:v>
                </c:pt>
                <c:pt idx="1">
                  <c:v>4551.5327906293196</c:v>
                </c:pt>
                <c:pt idx="2">
                  <c:v>7036.7099057019896</c:v>
                </c:pt>
                <c:pt idx="3">
                  <c:v>9374.3508679769293</c:v>
                </c:pt>
                <c:pt idx="4">
                  <c:v>10720.866043702799</c:v>
                </c:pt>
                <c:pt idx="5">
                  <c:v>10338.857847687201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41C-4C86-B2D7-6AAB49FF72A0}"/>
            </c:ext>
          </c:extLst>
        </c:ser>
        <c:ser>
          <c:idx val="1"/>
          <c:order val="2"/>
          <c:tx>
            <c:v>Other FF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Data'!$W$14:$W$19</c:f>
              <c:numCache>
                <c:formatCode>0</c:formatCode>
                <c:ptCount val="6"/>
                <c:pt idx="0">
                  <c:v>8449.4889197285993</c:v>
                </c:pt>
                <c:pt idx="3">
                  <c:v>7111.1859290912498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1C-4C86-B2D7-6AAB49FF72A0}"/>
            </c:ext>
          </c:extLst>
        </c:ser>
        <c:ser>
          <c:idx val="2"/>
          <c:order val="3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Data'!$W$21:$W$27</c:f>
              <c:numCache>
                <c:formatCode>0</c:formatCode>
                <c:ptCount val="7"/>
                <c:pt idx="0">
                  <c:v>94.185267601773987</c:v>
                </c:pt>
                <c:pt idx="1">
                  <c:v>351.04259465586023</c:v>
                </c:pt>
                <c:pt idx="2">
                  <c:v>496.46906542221933</c:v>
                </c:pt>
                <c:pt idx="3">
                  <c:v>574.79632043920878</c:v>
                </c:pt>
                <c:pt idx="4">
                  <c:v>3035.1174166792052</c:v>
                </c:pt>
                <c:pt idx="5">
                  <c:v>5126.4707004666116</c:v>
                </c:pt>
                <c:pt idx="6">
                  <c:v>7652.1707012693241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41C-4C86-B2D7-6AAB49FF72A0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Data'!$W$29:$W$33</c:f>
              <c:numCache>
                <c:formatCode>0</c:formatCode>
                <c:ptCount val="5"/>
                <c:pt idx="0">
                  <c:v>27085.83</c:v>
                </c:pt>
                <c:pt idx="1">
                  <c:v>23440.464666440057</c:v>
                </c:pt>
                <c:pt idx="2">
                  <c:v>19968.820339193931</c:v>
                </c:pt>
                <c:pt idx="3">
                  <c:v>19828.454556693694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EE-4CFA-AC6A-64D2B582A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07398"/>
        <c:axId val="307980689"/>
      </c:scatterChart>
      <c:valAx>
        <c:axId val="41800739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Full Load Displacement</a:t>
                </a:r>
                <a:r>
                  <a:rPr lang="en-US" baseline="0"/>
                  <a:t> (mt)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980689"/>
        <c:crosses val="autoZero"/>
        <c:crossBetween val="midCat"/>
      </c:valAx>
      <c:valAx>
        <c:axId val="30798068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0739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Superstructure Volume vs Full Load Displacement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dot"/>
            <c:size val="2"/>
            <c:spPr>
              <a:noFill/>
              <a:ln w="9525">
                <a:solidFill>
                  <a:srgbClr val="000000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dash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7.0660363194280096E-2"/>
                  <c:y val="0.201331986344204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Data'!$K$7:$K$27</c:f>
              <c:numCache>
                <c:formatCode>0_ </c:formatCode>
                <c:ptCount val="21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  <c:pt idx="7" formatCode="0.0_ ">
                  <c:v>3101.8</c:v>
                </c:pt>
                <c:pt idx="9" formatCode="0.0_ ">
                  <c:v>4160.2</c:v>
                </c:pt>
                <c:pt idx="10" formatCode="0.0_ ">
                  <c:v>2506</c:v>
                </c:pt>
                <c:pt idx="11" formatCode="0.0_ ">
                  <c:v>4141.4496960899896</c:v>
                </c:pt>
                <c:pt idx="12" formatCode="0.0_ ">
                  <c:v>3600.9071940488102</c:v>
                </c:pt>
                <c:pt idx="14" formatCode="0.0_ ">
                  <c:v>18.868184704708298</c:v>
                </c:pt>
                <c:pt idx="15" formatCode="0.0_ ">
                  <c:v>92.4612174544135</c:v>
                </c:pt>
                <c:pt idx="16" formatCode="0.0_ ">
                  <c:v>157.48888687290199</c:v>
                </c:pt>
                <c:pt idx="17" formatCode="0.0_ ">
                  <c:v>166.12537421754499</c:v>
                </c:pt>
                <c:pt idx="18" formatCode="0.0_ ">
                  <c:v>1087.18134809036</c:v>
                </c:pt>
                <c:pt idx="19" formatCode="0.0_ ">
                  <c:v>1651.49959176268</c:v>
                </c:pt>
                <c:pt idx="20" formatCode="0.0_ ">
                  <c:v>3000.4173092624501</c:v>
                </c:pt>
              </c:numCache>
            </c:numRef>
          </c:xVal>
          <c:yVal>
            <c:numRef>
              <c:f>'Ship Data'!$X$7:$X$27</c:f>
              <c:numCache>
                <c:formatCode>0</c:formatCode>
                <c:ptCount val="21"/>
                <c:pt idx="0">
                  <c:v>823.76711802032605</c:v>
                </c:pt>
                <c:pt idx="1">
                  <c:v>1097.60101390402</c:v>
                </c:pt>
                <c:pt idx="2">
                  <c:v>1187.3686922857401</c:v>
                </c:pt>
                <c:pt idx="3">
                  <c:v>2168.5832209692899</c:v>
                </c:pt>
                <c:pt idx="4">
                  <c:v>4343.6795542501804</c:v>
                </c:pt>
                <c:pt idx="5">
                  <c:v>3997.3518865503402</c:v>
                </c:pt>
                <c:pt idx="7">
                  <c:v>4283.6456494649301</c:v>
                </c:pt>
                <c:pt idx="10">
                  <c:v>2406.1702309449001</c:v>
                </c:pt>
                <c:pt idx="14">
                  <c:v>34.78851510787112</c:v>
                </c:pt>
                <c:pt idx="15">
                  <c:v>124.24469681382543</c:v>
                </c:pt>
                <c:pt idx="16">
                  <c:v>118.51032619164887</c:v>
                </c:pt>
                <c:pt idx="17">
                  <c:v>164.75342360406526</c:v>
                </c:pt>
                <c:pt idx="18">
                  <c:v>515.27213748703525</c:v>
                </c:pt>
                <c:pt idx="19">
                  <c:v>1447.7940721714065</c:v>
                </c:pt>
                <c:pt idx="20">
                  <c:v>3356.5182708473453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E4-498E-B306-5560F40D0DB4}"/>
            </c:ext>
          </c:extLst>
        </c:ser>
        <c:ser>
          <c:idx val="0"/>
          <c:order val="1"/>
          <c:tx>
            <c:v>USN FF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Data'!$X$7:$X$12</c:f>
              <c:numCache>
                <c:formatCode>0</c:formatCode>
                <c:ptCount val="6"/>
                <c:pt idx="0">
                  <c:v>823.76711802032605</c:v>
                </c:pt>
                <c:pt idx="1">
                  <c:v>1097.60101390402</c:v>
                </c:pt>
                <c:pt idx="2">
                  <c:v>1187.3686922857401</c:v>
                </c:pt>
                <c:pt idx="3">
                  <c:v>2168.5832209692899</c:v>
                </c:pt>
                <c:pt idx="4">
                  <c:v>4343.6795542501804</c:v>
                </c:pt>
                <c:pt idx="5">
                  <c:v>3997.3518865503402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E4-498E-B306-5560F40D0DB4}"/>
            </c:ext>
          </c:extLst>
        </c:ser>
        <c:ser>
          <c:idx val="1"/>
          <c:order val="2"/>
          <c:tx>
            <c:v>Other FF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Data'!$X$14:$X$19</c:f>
              <c:numCache>
                <c:formatCode>0</c:formatCode>
                <c:ptCount val="6"/>
                <c:pt idx="0">
                  <c:v>4283.6456494649301</c:v>
                </c:pt>
                <c:pt idx="3">
                  <c:v>2406.1702309449001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E4-498E-B306-5560F40D0DB4}"/>
            </c:ext>
          </c:extLst>
        </c:ser>
        <c:ser>
          <c:idx val="2"/>
          <c:order val="3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Data'!$X$21:$X$27</c:f>
              <c:numCache>
                <c:formatCode>0</c:formatCode>
                <c:ptCount val="7"/>
                <c:pt idx="0">
                  <c:v>34.78851510787112</c:v>
                </c:pt>
                <c:pt idx="1">
                  <c:v>124.24469681382543</c:v>
                </c:pt>
                <c:pt idx="2">
                  <c:v>118.51032619164887</c:v>
                </c:pt>
                <c:pt idx="3">
                  <c:v>164.75342360406526</c:v>
                </c:pt>
                <c:pt idx="4">
                  <c:v>515.27213748703525</c:v>
                </c:pt>
                <c:pt idx="5">
                  <c:v>1447.7940721714065</c:v>
                </c:pt>
                <c:pt idx="6">
                  <c:v>3356.5182708473453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DE4-498E-B306-5560F40D0DB4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Data'!$X$29:$X$33</c:f>
              <c:numCache>
                <c:formatCode>0</c:formatCode>
                <c:ptCount val="5"/>
                <c:pt idx="0">
                  <c:v>5775.93</c:v>
                </c:pt>
                <c:pt idx="1">
                  <c:v>6175.6764581074194</c:v>
                </c:pt>
                <c:pt idx="2">
                  <c:v>8617.9610472837976</c:v>
                </c:pt>
                <c:pt idx="3">
                  <c:v>8595.8566768133842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A8-4FC5-98E9-F8AC26A3B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07398"/>
        <c:axId val="307980689"/>
      </c:scatterChart>
      <c:valAx>
        <c:axId val="41800739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Full Load Displacement</a:t>
                </a:r>
                <a:r>
                  <a:rPr lang="en-US" baseline="0"/>
                  <a:t> (mt)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980689"/>
        <c:crosses val="autoZero"/>
        <c:crossBetween val="midCat"/>
      </c:valAx>
      <c:valAx>
        <c:axId val="30798068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0739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Hull Volume vs Full Load Displacement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dot"/>
            <c:size val="2"/>
            <c:spPr>
              <a:noFill/>
              <a:ln w="9525">
                <a:solidFill>
                  <a:srgbClr val="000000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dash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4.6289009318566221E-2"/>
                  <c:y val="-0.120995826127512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'Ship Data'!$K$7:$K$27</c:f>
              <c:numCache>
                <c:formatCode>0_ </c:formatCode>
                <c:ptCount val="21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  <c:pt idx="7" formatCode="0.0_ ">
                  <c:v>3101.8</c:v>
                </c:pt>
                <c:pt idx="9" formatCode="0.0_ ">
                  <c:v>4160.2</c:v>
                </c:pt>
                <c:pt idx="10" formatCode="0.0_ ">
                  <c:v>2506</c:v>
                </c:pt>
                <c:pt idx="11" formatCode="0.0_ ">
                  <c:v>4141.4496960899896</c:v>
                </c:pt>
                <c:pt idx="12" formatCode="0.0_ ">
                  <c:v>3600.9071940488102</c:v>
                </c:pt>
                <c:pt idx="14" formatCode="0.0_ ">
                  <c:v>18.868184704708298</c:v>
                </c:pt>
                <c:pt idx="15" formatCode="0.0_ ">
                  <c:v>92.4612174544135</c:v>
                </c:pt>
                <c:pt idx="16" formatCode="0.0_ ">
                  <c:v>157.48888687290199</c:v>
                </c:pt>
                <c:pt idx="17" formatCode="0.0_ ">
                  <c:v>166.12537421754499</c:v>
                </c:pt>
                <c:pt idx="18" formatCode="0.0_ ">
                  <c:v>1087.18134809036</c:v>
                </c:pt>
                <c:pt idx="19" formatCode="0.0_ ">
                  <c:v>1651.49959176268</c:v>
                </c:pt>
                <c:pt idx="20" formatCode="0.0_ ">
                  <c:v>3000.4173092624501</c:v>
                </c:pt>
              </c:numCache>
            </c:numRef>
          </c:xVal>
          <c:yVal>
            <c:numRef>
              <c:f>'Ship Data'!$V$7:$V$27</c:f>
              <c:numCache>
                <c:formatCode>0</c:formatCode>
                <c:ptCount val="21"/>
                <c:pt idx="0">
                  <c:v>6864.25401884246</c:v>
                </c:pt>
                <c:pt idx="1">
                  <c:v>5649.1338045333396</c:v>
                </c:pt>
                <c:pt idx="2">
                  <c:v>8224.0785979877292</c:v>
                </c:pt>
                <c:pt idx="3">
                  <c:v>11542.9340889462</c:v>
                </c:pt>
                <c:pt idx="4">
                  <c:v>15064.545597953</c:v>
                </c:pt>
                <c:pt idx="5">
                  <c:v>14336.2097342376</c:v>
                </c:pt>
                <c:pt idx="7">
                  <c:v>16243.841671842603</c:v>
                </c:pt>
                <c:pt idx="8">
                  <c:v>23677.401278664482</c:v>
                </c:pt>
                <c:pt idx="9">
                  <c:v>19785.976531476583</c:v>
                </c:pt>
                <c:pt idx="10">
                  <c:v>12240.631833877473</c:v>
                </c:pt>
                <c:pt idx="11">
                  <c:v>20206.177325773875</c:v>
                </c:pt>
                <c:pt idx="12">
                  <c:v>19475.393335691646</c:v>
                </c:pt>
                <c:pt idx="14">
                  <c:v>128.97378270964509</c:v>
                </c:pt>
                <c:pt idx="15">
                  <c:v>475.28729146968567</c:v>
                </c:pt>
                <c:pt idx="16">
                  <c:v>614.97939161386819</c:v>
                </c:pt>
                <c:pt idx="17">
                  <c:v>739.5497440432739</c:v>
                </c:pt>
                <c:pt idx="18">
                  <c:v>3550.38955416624</c:v>
                </c:pt>
                <c:pt idx="19">
                  <c:v>6574.2647726380183</c:v>
                </c:pt>
                <c:pt idx="20">
                  <c:v>11008.68897211667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FCF-4DFF-B9EC-EB8CD166D7F8}"/>
            </c:ext>
          </c:extLst>
        </c:ser>
        <c:ser>
          <c:idx val="0"/>
          <c:order val="1"/>
          <c:tx>
            <c:v>USN FF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'Ship Data'!$K$7:$K$12</c:f>
              <c:numCache>
                <c:formatCode>0_ </c:formatCode>
                <c:ptCount val="6"/>
                <c:pt idx="0">
                  <c:v>1704.9442075659999</c:v>
                </c:pt>
                <c:pt idx="1">
                  <c:v>1907.1396171641099</c:v>
                </c:pt>
                <c:pt idx="2">
                  <c:v>2577.7374580422802</c:v>
                </c:pt>
                <c:pt idx="3">
                  <c:v>3524.7028939490201</c:v>
                </c:pt>
                <c:pt idx="4">
                  <c:v>3730.9625328857801</c:v>
                </c:pt>
                <c:pt idx="5">
                  <c:v>4078.4541413408301</c:v>
                </c:pt>
              </c:numCache>
            </c:numRef>
          </c:xVal>
          <c:yVal>
            <c:numRef>
              <c:f>'Ship Data'!$V$7:$V$12</c:f>
              <c:numCache>
                <c:formatCode>0</c:formatCode>
                <c:ptCount val="6"/>
                <c:pt idx="0">
                  <c:v>6864.25401884246</c:v>
                </c:pt>
                <c:pt idx="1">
                  <c:v>5649.1338045333396</c:v>
                </c:pt>
                <c:pt idx="2">
                  <c:v>8224.0785979877292</c:v>
                </c:pt>
                <c:pt idx="3">
                  <c:v>11542.9340889462</c:v>
                </c:pt>
                <c:pt idx="4">
                  <c:v>15064.545597953</c:v>
                </c:pt>
                <c:pt idx="5">
                  <c:v>14336.2097342376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FCF-4DFF-B9EC-EB8CD166D7F8}"/>
            </c:ext>
          </c:extLst>
        </c:ser>
        <c:ser>
          <c:idx val="1"/>
          <c:order val="2"/>
          <c:tx>
            <c:v>Other FF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'Ship Data'!$K$14:$K$19</c:f>
              <c:numCache>
                <c:formatCode>General</c:formatCode>
                <c:ptCount val="6"/>
                <c:pt idx="0" formatCode="0.0_ ">
                  <c:v>3101.8</c:v>
                </c:pt>
                <c:pt idx="2" formatCode="0.0_ ">
                  <c:v>4160.2</c:v>
                </c:pt>
                <c:pt idx="3" formatCode="0.0_ ">
                  <c:v>2506</c:v>
                </c:pt>
                <c:pt idx="4" formatCode="0.0_ ">
                  <c:v>4141.4496960899896</c:v>
                </c:pt>
                <c:pt idx="5" formatCode="0.0_ ">
                  <c:v>3600.9071940488102</c:v>
                </c:pt>
              </c:numCache>
            </c:numRef>
          </c:xVal>
          <c:yVal>
            <c:numRef>
              <c:f>'Ship Data'!$V$14:$V$19</c:f>
              <c:numCache>
                <c:formatCode>0</c:formatCode>
                <c:ptCount val="6"/>
                <c:pt idx="0">
                  <c:v>16243.841671842603</c:v>
                </c:pt>
                <c:pt idx="1">
                  <c:v>23677.401278664482</c:v>
                </c:pt>
                <c:pt idx="2">
                  <c:v>19785.976531476583</c:v>
                </c:pt>
                <c:pt idx="3">
                  <c:v>12240.631833877473</c:v>
                </c:pt>
                <c:pt idx="4">
                  <c:v>20206.177325773875</c:v>
                </c:pt>
                <c:pt idx="5">
                  <c:v>19475.393335691646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FCF-4DFF-B9EC-EB8CD166D7F8}"/>
            </c:ext>
          </c:extLst>
        </c:ser>
        <c:ser>
          <c:idx val="2"/>
          <c:order val="3"/>
          <c:tx>
            <c:v>USCG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'Ship Data'!$K$21:$K$27</c:f>
              <c:numCache>
                <c:formatCode>0.0_ </c:formatCode>
                <c:ptCount val="7"/>
                <c:pt idx="0">
                  <c:v>18.868184704708298</c:v>
                </c:pt>
                <c:pt idx="1">
                  <c:v>92.4612174544135</c:v>
                </c:pt>
                <c:pt idx="2">
                  <c:v>157.48888687290199</c:v>
                </c:pt>
                <c:pt idx="3">
                  <c:v>166.12537421754499</c:v>
                </c:pt>
                <c:pt idx="4">
                  <c:v>1087.18134809036</c:v>
                </c:pt>
                <c:pt idx="5">
                  <c:v>1651.49959176268</c:v>
                </c:pt>
                <c:pt idx="6">
                  <c:v>3000.4173092624501</c:v>
                </c:pt>
              </c:numCache>
            </c:numRef>
          </c:xVal>
          <c:yVal>
            <c:numRef>
              <c:f>'Ship Data'!$V$21:$V$27</c:f>
              <c:numCache>
                <c:formatCode>0</c:formatCode>
                <c:ptCount val="7"/>
                <c:pt idx="0">
                  <c:v>128.97378270964509</c:v>
                </c:pt>
                <c:pt idx="1">
                  <c:v>475.28729146968567</c:v>
                </c:pt>
                <c:pt idx="2">
                  <c:v>614.97939161386819</c:v>
                </c:pt>
                <c:pt idx="3">
                  <c:v>739.5497440432739</c:v>
                </c:pt>
                <c:pt idx="4">
                  <c:v>3550.38955416624</c:v>
                </c:pt>
                <c:pt idx="5">
                  <c:v>6574.2647726380183</c:v>
                </c:pt>
                <c:pt idx="6">
                  <c:v>11008.68897211667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FCF-4DFF-B9EC-EB8CD166D7F8}"/>
            </c:ext>
          </c:extLst>
        </c:ser>
        <c:ser>
          <c:idx val="4"/>
          <c:order val="4"/>
          <c:tx>
            <c:v>USN DD&amp;CG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'Ship Data'!$K$29:$K$33</c:f>
              <c:numCache>
                <c:formatCode>0_ </c:formatCode>
                <c:ptCount val="5"/>
                <c:pt idx="0">
                  <c:v>9395.8883847549914</c:v>
                </c:pt>
                <c:pt idx="1">
                  <c:v>9872.8959204961066</c:v>
                </c:pt>
                <c:pt idx="2">
                  <c:v>9577.9998690508401</c:v>
                </c:pt>
              </c:numCache>
            </c:numRef>
          </c:xVal>
          <c:yVal>
            <c:numRef>
              <c:f>'Ship Data'!$V$29:$V$33</c:f>
              <c:numCache>
                <c:formatCode>0</c:formatCode>
                <c:ptCount val="5"/>
                <c:pt idx="0">
                  <c:v>32861.757577193996</c:v>
                </c:pt>
                <c:pt idx="1">
                  <c:v>29616.141124547477</c:v>
                </c:pt>
                <c:pt idx="2">
                  <c:v>28586.781386477731</c:v>
                </c:pt>
                <c:pt idx="3">
                  <c:v>28424.31123350708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FCF-4DFF-B9EC-EB8CD166D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07398"/>
        <c:axId val="307980689"/>
      </c:scatterChart>
      <c:valAx>
        <c:axId val="41800739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Full Load Displacement</a:t>
                </a:r>
                <a:r>
                  <a:rPr lang="en-US" baseline="0"/>
                  <a:t> (mt)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980689"/>
        <c:crosses val="autoZero"/>
        <c:crossBetween val="midCat"/>
      </c:valAx>
      <c:valAx>
        <c:axId val="30798068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(m3)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0739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635</xdr:rowOff>
    </xdr:from>
    <xdr:to>
      <xdr:col>13</xdr:col>
      <xdr:colOff>396875</xdr:colOff>
      <xdr:row>30</xdr:row>
      <xdr:rowOff>179705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635</xdr:rowOff>
    </xdr:from>
    <xdr:to>
      <xdr:col>13</xdr:col>
      <xdr:colOff>396875</xdr:colOff>
      <xdr:row>30</xdr:row>
      <xdr:rowOff>179705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13335</xdr:rowOff>
    </xdr:from>
    <xdr:to>
      <xdr:col>13</xdr:col>
      <xdr:colOff>396875</xdr:colOff>
      <xdr:row>30</xdr:row>
      <xdr:rowOff>192405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</xdr:colOff>
      <xdr:row>0</xdr:row>
      <xdr:rowOff>635</xdr:rowOff>
    </xdr:from>
    <xdr:to>
      <xdr:col>13</xdr:col>
      <xdr:colOff>409575</xdr:colOff>
      <xdr:row>30</xdr:row>
      <xdr:rowOff>179705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635</xdr:rowOff>
    </xdr:from>
    <xdr:to>
      <xdr:col>13</xdr:col>
      <xdr:colOff>396875</xdr:colOff>
      <xdr:row>30</xdr:row>
      <xdr:rowOff>179705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635</xdr:rowOff>
    </xdr:from>
    <xdr:to>
      <xdr:col>13</xdr:col>
      <xdr:colOff>396875</xdr:colOff>
      <xdr:row>30</xdr:row>
      <xdr:rowOff>179705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2</xdr:row>
      <xdr:rowOff>171450</xdr:rowOff>
    </xdr:from>
    <xdr:to>
      <xdr:col>8</xdr:col>
      <xdr:colOff>374650</xdr:colOff>
      <xdr:row>3</xdr:row>
      <xdr:rowOff>177800</xdr:rowOff>
    </xdr:to>
    <xdr:sp macro="" textlink="">
      <xdr:nvSpPr>
        <xdr:cNvPr id="2" name="Text Box 1"/>
        <xdr:cNvSpPr txBox="1"/>
      </xdr:nvSpPr>
      <xdr:spPr>
        <a:xfrm>
          <a:off x="4438650" y="565150"/>
          <a:ext cx="121920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100"/>
            <a:t>Days Endurance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635</xdr:rowOff>
    </xdr:from>
    <xdr:to>
      <xdr:col>13</xdr:col>
      <xdr:colOff>396875</xdr:colOff>
      <xdr:row>30</xdr:row>
      <xdr:rowOff>179705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396240</xdr:colOff>
      <xdr:row>30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635</xdr:rowOff>
    </xdr:from>
    <xdr:to>
      <xdr:col>13</xdr:col>
      <xdr:colOff>396875</xdr:colOff>
      <xdr:row>30</xdr:row>
      <xdr:rowOff>179705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635</xdr:rowOff>
    </xdr:from>
    <xdr:to>
      <xdr:col>13</xdr:col>
      <xdr:colOff>396875</xdr:colOff>
      <xdr:row>30</xdr:row>
      <xdr:rowOff>179705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635</xdr:rowOff>
    </xdr:from>
    <xdr:to>
      <xdr:col>13</xdr:col>
      <xdr:colOff>396875</xdr:colOff>
      <xdr:row>30</xdr:row>
      <xdr:rowOff>179705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635</xdr:rowOff>
    </xdr:from>
    <xdr:to>
      <xdr:col>13</xdr:col>
      <xdr:colOff>396875</xdr:colOff>
      <xdr:row>30</xdr:row>
      <xdr:rowOff>179705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0</xdr:row>
      <xdr:rowOff>635</xdr:rowOff>
    </xdr:from>
    <xdr:to>
      <xdr:col>13</xdr:col>
      <xdr:colOff>396875</xdr:colOff>
      <xdr:row>30</xdr:row>
      <xdr:rowOff>179705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showGridLines="0" showRowColHeaders="0" zoomScale="64" zoomScaleNormal="64" workbookViewId="0">
      <selection activeCell="R15" sqref="R15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"/>
  <sheetViews>
    <sheetView showGridLines="0" showRowColHeaders="0" zoomScale="65" zoomScaleNormal="65" workbookViewId="0">
      <selection activeCell="S1" sqref="S1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showGridLines="0" showRowColHeaders="0" zoomScale="66" zoomScaleNormal="66" workbookViewId="0">
      <selection activeCell="U23" sqref="U23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showGridLines="0" showRowColHeaders="0" zoomScale="65" zoomScaleNormal="65" workbookViewId="0">
      <selection activeCell="T26" sqref="T26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showGridLines="0" showRowColHeaders="0" zoomScale="65" zoomScaleNormal="65" workbookViewId="0">
      <selection activeCell="Q27" sqref="Q27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showGridLines="0" showRowColHeaders="0" zoomScale="65" zoomScaleNormal="65" workbookViewId="0">
      <selection activeCell="P15" sqref="P15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showGridLines="0" showRowColHeaders="0" zoomScale="50" zoomScaleNormal="50" workbookViewId="0">
      <selection activeCell="S20" sqref="S20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"/>
  <sheetViews>
    <sheetView showGridLines="0" showRowColHeaders="0" zoomScale="65" zoomScaleNormal="65" workbookViewId="0">
      <selection activeCell="S1" sqref="S1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"/>
  <sheetViews>
    <sheetView showGridLines="0" showRowColHeaders="0" zoomScale="65" zoomScaleNormal="65" workbookViewId="0">
      <selection activeCell="U20" sqref="U20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showGridLines="0" showRowColHeaders="0" zoomScale="65" zoomScaleNormal="65" workbookViewId="0">
      <selection activeCell="R21" sqref="R21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showGridLines="0" showRowColHeaders="0" zoomScale="50" zoomScaleNormal="50" workbookViewId="0">
      <selection activeCell="J32" sqref="J32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showGridLines="0" showRowColHeaders="0" zoomScale="64" zoomScaleNormal="64" workbookViewId="0">
      <selection activeCell="R15" sqref="R15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"/>
  <sheetViews>
    <sheetView showGridLines="0" showRowColHeaders="0" zoomScale="50" zoomScaleNormal="50" workbookViewId="0">
      <selection activeCell="R22" sqref="R22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"/>
  <sheetViews>
    <sheetView showGridLines="0" showRowColHeaders="0" zoomScale="50" zoomScaleNormal="50" workbookViewId="0"/>
  </sheetViews>
  <sheetFormatPr defaultColWidth="8.6640625" defaultRowHeight="15.5"/>
  <sheetData/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"/>
  <sheetViews>
    <sheetView showGridLines="0" showRowColHeaders="0" zoomScale="50" zoomScaleNormal="50" workbookViewId="0">
      <selection activeCell="P21" sqref="P21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"/>
  <sheetViews>
    <sheetView showGridLines="0" showRowColHeaders="0" zoomScale="50" zoomScaleNormal="50" workbookViewId="0"/>
  </sheetViews>
  <sheetFormatPr defaultColWidth="8.6640625" defaultRowHeight="15.5"/>
  <sheetData/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"/>
  <sheetViews>
    <sheetView showGridLines="0" showRowColHeaders="0" zoomScale="50" zoomScaleNormal="50" workbookViewId="0">
      <selection activeCell="R16" sqref="R16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3"/>
  <sheetViews>
    <sheetView topLeftCell="A14" zoomScale="70" zoomScaleNormal="70" workbookViewId="0">
      <selection activeCell="D15" sqref="D15"/>
    </sheetView>
  </sheetViews>
  <sheetFormatPr defaultColWidth="8.6640625" defaultRowHeight="15.5"/>
  <cols>
    <col min="1" max="1" width="2.75" style="83" customWidth="1"/>
    <col min="2" max="2" width="4.4140625" style="83" customWidth="1"/>
    <col min="3" max="3" width="24.33203125" style="83" customWidth="1"/>
    <col min="4" max="4" width="12.9140625" style="85" customWidth="1"/>
    <col min="5" max="5" width="29.33203125" style="85" customWidth="1"/>
    <col min="6" max="6" width="2.4140625" style="83" customWidth="1"/>
    <col min="7" max="7" width="10.5" style="85" customWidth="1"/>
    <col min="8" max="8" width="2" style="85" customWidth="1"/>
    <col min="9" max="9" width="10.5" style="85" customWidth="1"/>
    <col min="10" max="10" width="41" style="83" customWidth="1"/>
    <col min="11" max="11" width="2.4140625" style="85" customWidth="1"/>
    <col min="12" max="12" width="8.6640625" style="83"/>
    <col min="13" max="13" width="2" style="85" customWidth="1"/>
    <col min="14" max="14" width="26.25" style="83" customWidth="1"/>
    <col min="15" max="15" width="6.1640625" style="85" customWidth="1"/>
    <col min="16" max="16" width="6.9140625" style="83" customWidth="1"/>
    <col min="17" max="17" width="2" style="83" customWidth="1"/>
    <col min="18" max="18" width="8.6640625" style="83"/>
    <col min="19" max="19" width="17" style="83" customWidth="1"/>
    <col min="20" max="20" width="5.9140625" style="83" customWidth="1"/>
    <col min="21" max="33" width="6.9140625" style="83" customWidth="1"/>
    <col min="34" max="41" width="7.9140625" style="83" customWidth="1"/>
    <col min="42" max="50" width="6.83203125" style="83" customWidth="1"/>
    <col min="51" max="69" width="12.6640625" style="83"/>
    <col min="70" max="16384" width="8.6640625" style="83"/>
  </cols>
  <sheetData>
    <row r="1" spans="19:50">
      <c r="S1" s="83" t="s">
        <v>0</v>
      </c>
      <c r="T1" s="83">
        <v>0</v>
      </c>
      <c r="U1" s="83">
        <v>50</v>
      </c>
      <c r="V1" s="83">
        <v>100</v>
      </c>
      <c r="W1" s="83">
        <v>150</v>
      </c>
      <c r="X1" s="83">
        <v>200</v>
      </c>
      <c r="Y1" s="83">
        <v>250</v>
      </c>
      <c r="Z1" s="83">
        <v>300</v>
      </c>
      <c r="AA1" s="83">
        <v>350</v>
      </c>
      <c r="AB1" s="83">
        <v>400</v>
      </c>
      <c r="AC1" s="83">
        <v>450</v>
      </c>
      <c r="AD1" s="83">
        <v>500</v>
      </c>
      <c r="AE1" s="83">
        <v>550</v>
      </c>
      <c r="AF1" s="83">
        <v>600</v>
      </c>
    </row>
    <row r="2" spans="19:50">
      <c r="S2" s="83" t="s">
        <v>1</v>
      </c>
      <c r="T2" s="97">
        <v>0</v>
      </c>
      <c r="U2" s="97">
        <v>5</v>
      </c>
      <c r="V2" s="97">
        <v>10</v>
      </c>
      <c r="W2" s="97">
        <v>15</v>
      </c>
      <c r="X2" s="97">
        <v>20</v>
      </c>
      <c r="Y2" s="97">
        <v>25</v>
      </c>
      <c r="Z2" s="97">
        <v>30</v>
      </c>
      <c r="AA2" s="97">
        <v>35</v>
      </c>
      <c r="AB2" s="97">
        <v>40</v>
      </c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</row>
    <row r="3" spans="19:50">
      <c r="S3" s="83" t="s">
        <v>2</v>
      </c>
      <c r="T3" s="83">
        <v>0</v>
      </c>
      <c r="U3" s="83">
        <v>5</v>
      </c>
      <c r="V3" s="83">
        <v>10</v>
      </c>
      <c r="W3" s="83">
        <v>15</v>
      </c>
      <c r="X3" s="83">
        <v>20</v>
      </c>
      <c r="Y3" s="83">
        <v>25</v>
      </c>
      <c r="Z3" s="83">
        <v>30</v>
      </c>
      <c r="AA3" s="83">
        <v>35</v>
      </c>
      <c r="AB3" s="83">
        <v>40</v>
      </c>
      <c r="AC3" s="83">
        <v>45</v>
      </c>
    </row>
    <row r="4" spans="19:50">
      <c r="S4" s="83" t="s">
        <v>3</v>
      </c>
      <c r="T4" s="83">
        <v>0</v>
      </c>
      <c r="U4" s="83">
        <v>5</v>
      </c>
      <c r="V4" s="83">
        <v>10</v>
      </c>
      <c r="W4" s="83">
        <v>15</v>
      </c>
      <c r="X4" s="83">
        <v>20</v>
      </c>
      <c r="Y4" s="83">
        <v>25</v>
      </c>
      <c r="Z4" s="83">
        <v>30</v>
      </c>
      <c r="AA4" s="83">
        <v>35</v>
      </c>
      <c r="AB4" s="83">
        <v>40</v>
      </c>
      <c r="AC4" s="83">
        <v>45</v>
      </c>
    </row>
    <row r="5" spans="19:50">
      <c r="S5" s="83" t="s">
        <v>4</v>
      </c>
      <c r="T5" s="83">
        <v>0</v>
      </c>
      <c r="U5" s="83">
        <v>50</v>
      </c>
      <c r="V5" s="83">
        <v>100</v>
      </c>
      <c r="W5" s="83">
        <v>150</v>
      </c>
      <c r="X5" s="83">
        <v>200</v>
      </c>
      <c r="Y5" s="83">
        <v>250</v>
      </c>
      <c r="Z5" s="83">
        <v>300</v>
      </c>
      <c r="AA5" s="83">
        <v>350</v>
      </c>
      <c r="AB5" s="83">
        <v>400</v>
      </c>
      <c r="AC5" s="83">
        <v>450</v>
      </c>
      <c r="AD5" s="83">
        <v>500</v>
      </c>
    </row>
    <row r="6" spans="19:50">
      <c r="S6" s="83" t="s">
        <v>5</v>
      </c>
      <c r="T6" s="83">
        <v>0</v>
      </c>
      <c r="U6" s="83">
        <v>2.5</v>
      </c>
      <c r="V6" s="83">
        <v>5</v>
      </c>
      <c r="W6" s="83">
        <v>7.5</v>
      </c>
      <c r="X6" s="83">
        <v>10</v>
      </c>
      <c r="Y6" s="83">
        <v>12.5</v>
      </c>
      <c r="Z6" s="83">
        <v>15</v>
      </c>
      <c r="AA6" s="83">
        <v>17.5</v>
      </c>
      <c r="AB6" s="83">
        <v>20</v>
      </c>
      <c r="AC6" s="83">
        <v>22.5</v>
      </c>
      <c r="AD6" s="83">
        <v>25</v>
      </c>
      <c r="AE6" s="83">
        <v>27.5</v>
      </c>
      <c r="AF6" s="83">
        <v>30</v>
      </c>
    </row>
    <row r="7" spans="19:50">
      <c r="S7" s="83" t="s">
        <v>6</v>
      </c>
      <c r="T7" s="98">
        <f t="shared" ref="T7:AE7" si="0">T8*3.2808</f>
        <v>295.27199999999999</v>
      </c>
      <c r="U7" s="98">
        <f t="shared" si="0"/>
        <v>328.08000000000004</v>
      </c>
      <c r="V7" s="98">
        <f t="shared" si="0"/>
        <v>360.88800000000003</v>
      </c>
      <c r="W7" s="98">
        <f t="shared" si="0"/>
        <v>393.69600000000003</v>
      </c>
      <c r="X7" s="98">
        <f t="shared" si="0"/>
        <v>426.50400000000002</v>
      </c>
      <c r="Y7" s="98">
        <f t="shared" si="0"/>
        <v>459.31200000000001</v>
      </c>
      <c r="Z7" s="98">
        <f t="shared" si="0"/>
        <v>492.12</v>
      </c>
      <c r="AA7" s="98">
        <f t="shared" si="0"/>
        <v>524.928</v>
      </c>
      <c r="AB7" s="98">
        <f t="shared" si="0"/>
        <v>557.73599999999999</v>
      </c>
      <c r="AC7" s="98">
        <f t="shared" si="0"/>
        <v>590.54399999999998</v>
      </c>
      <c r="AD7" s="98">
        <f t="shared" si="0"/>
        <v>623.35199999999998</v>
      </c>
      <c r="AE7" s="98">
        <f t="shared" si="0"/>
        <v>656.16000000000008</v>
      </c>
    </row>
    <row r="8" spans="19:50">
      <c r="T8" s="97">
        <v>90</v>
      </c>
      <c r="U8" s="97">
        <v>100</v>
      </c>
      <c r="V8" s="97">
        <v>110</v>
      </c>
      <c r="W8" s="97">
        <v>120</v>
      </c>
      <c r="X8" s="97">
        <v>130</v>
      </c>
      <c r="Y8" s="97">
        <v>140</v>
      </c>
      <c r="Z8" s="97">
        <v>150</v>
      </c>
      <c r="AA8" s="97">
        <v>160</v>
      </c>
      <c r="AB8" s="97">
        <v>170</v>
      </c>
      <c r="AC8" s="97">
        <v>180</v>
      </c>
      <c r="AD8" s="97">
        <v>190</v>
      </c>
      <c r="AE8" s="97">
        <v>200</v>
      </c>
    </row>
    <row r="9" spans="19:50">
      <c r="S9" s="83" t="s">
        <v>7</v>
      </c>
      <c r="T9" s="99">
        <f t="shared" ref="T9:AX9" si="1">T10*2204.6/2240</f>
        <v>1476.2946428571429</v>
      </c>
      <c r="U9" s="99">
        <f t="shared" si="1"/>
        <v>1968.3928571428571</v>
      </c>
      <c r="V9" s="99">
        <f t="shared" si="1"/>
        <v>2460.4910714285716</v>
      </c>
      <c r="W9" s="99">
        <f t="shared" si="1"/>
        <v>2952.5892857142858</v>
      </c>
      <c r="X9" s="99">
        <f t="shared" si="1"/>
        <v>3444.6875</v>
      </c>
      <c r="Y9" s="99">
        <f t="shared" si="1"/>
        <v>3936.7857142857142</v>
      </c>
      <c r="Z9" s="99">
        <f t="shared" si="1"/>
        <v>4428.8839285714284</v>
      </c>
      <c r="AA9" s="99">
        <f t="shared" si="1"/>
        <v>4920.9821428571431</v>
      </c>
      <c r="AB9" s="99">
        <f t="shared" si="1"/>
        <v>5413.0803571428569</v>
      </c>
      <c r="AC9" s="99">
        <f t="shared" si="1"/>
        <v>5905.1785714285716</v>
      </c>
      <c r="AD9" s="99">
        <f t="shared" si="1"/>
        <v>6397.2767857142853</v>
      </c>
      <c r="AE9" s="99">
        <f t="shared" si="1"/>
        <v>6889.375</v>
      </c>
      <c r="AF9" s="99">
        <f t="shared" si="1"/>
        <v>7381.4732142857147</v>
      </c>
      <c r="AG9" s="99">
        <f t="shared" si="1"/>
        <v>7873.5714285714284</v>
      </c>
      <c r="AH9" s="99">
        <f t="shared" si="1"/>
        <v>8365.6696428571431</v>
      </c>
      <c r="AI9" s="99">
        <f t="shared" si="1"/>
        <v>8857.7678571428569</v>
      </c>
      <c r="AJ9" s="99">
        <f t="shared" si="1"/>
        <v>9349.8660714285706</v>
      </c>
      <c r="AK9" s="99">
        <f t="shared" si="1"/>
        <v>9841.9642857142862</v>
      </c>
      <c r="AL9" s="99">
        <f t="shared" si="1"/>
        <v>10334.0625</v>
      </c>
      <c r="AM9" s="99">
        <f t="shared" si="1"/>
        <v>10826.160714285714</v>
      </c>
      <c r="AN9" s="99">
        <f t="shared" si="1"/>
        <v>11318.258928571429</v>
      </c>
      <c r="AO9" s="99">
        <f t="shared" si="1"/>
        <v>11810.357142857143</v>
      </c>
      <c r="AP9" s="99">
        <f t="shared" si="1"/>
        <v>12302.455357142857</v>
      </c>
      <c r="AQ9" s="99">
        <f t="shared" si="1"/>
        <v>12794.553571428571</v>
      </c>
      <c r="AR9" s="99">
        <f t="shared" si="1"/>
        <v>13286.651785714286</v>
      </c>
      <c r="AS9" s="99">
        <f t="shared" si="1"/>
        <v>13778.75</v>
      </c>
      <c r="AT9" s="99">
        <f t="shared" si="1"/>
        <v>14270.848214285714</v>
      </c>
      <c r="AU9" s="99">
        <f t="shared" si="1"/>
        <v>14762.946428571429</v>
      </c>
      <c r="AV9" s="99">
        <f t="shared" si="1"/>
        <v>15255.044642857143</v>
      </c>
      <c r="AW9" s="99">
        <f t="shared" si="1"/>
        <v>15747.142857142857</v>
      </c>
      <c r="AX9" s="99">
        <f t="shared" si="1"/>
        <v>16239.241071428571</v>
      </c>
    </row>
    <row r="10" spans="19:50">
      <c r="T10" s="99">
        <v>1500</v>
      </c>
      <c r="U10" s="99">
        <v>2000</v>
      </c>
      <c r="V10" s="99">
        <v>2500</v>
      </c>
      <c r="W10" s="99">
        <v>3000</v>
      </c>
      <c r="X10" s="99">
        <v>3500</v>
      </c>
      <c r="Y10" s="99">
        <v>4000</v>
      </c>
      <c r="Z10" s="99">
        <v>4500</v>
      </c>
      <c r="AA10" s="99">
        <v>5000</v>
      </c>
      <c r="AB10" s="99">
        <v>5500</v>
      </c>
      <c r="AC10" s="99">
        <v>6000</v>
      </c>
      <c r="AD10" s="99">
        <v>6500</v>
      </c>
      <c r="AE10" s="99">
        <v>7000</v>
      </c>
      <c r="AF10" s="99">
        <v>7500</v>
      </c>
      <c r="AG10" s="99">
        <v>8000</v>
      </c>
      <c r="AH10" s="99">
        <v>8500</v>
      </c>
      <c r="AI10" s="99">
        <v>9000</v>
      </c>
      <c r="AJ10" s="99">
        <v>9500</v>
      </c>
      <c r="AK10" s="99">
        <v>10000</v>
      </c>
      <c r="AL10" s="99">
        <v>10500</v>
      </c>
      <c r="AM10" s="99">
        <v>11000</v>
      </c>
      <c r="AN10" s="99">
        <v>11500</v>
      </c>
      <c r="AO10" s="99">
        <v>12000</v>
      </c>
      <c r="AP10" s="99">
        <v>12500</v>
      </c>
      <c r="AQ10" s="99">
        <v>13000</v>
      </c>
      <c r="AR10" s="99">
        <v>13500</v>
      </c>
      <c r="AS10" s="99">
        <v>14000</v>
      </c>
      <c r="AT10" s="99">
        <v>14500</v>
      </c>
      <c r="AU10" s="99">
        <v>15000</v>
      </c>
      <c r="AV10" s="99">
        <v>15500</v>
      </c>
      <c r="AW10" s="99">
        <v>16000</v>
      </c>
      <c r="AX10" s="99">
        <v>16500</v>
      </c>
    </row>
    <row r="11" spans="19:50">
      <c r="S11" s="83" t="s">
        <v>8</v>
      </c>
      <c r="T11" s="98">
        <f t="shared" ref="T11:AB11" si="2">T12*2204.6/2240</f>
        <v>29.525892857142857</v>
      </c>
      <c r="U11" s="98">
        <f t="shared" si="2"/>
        <v>39.36785714285714</v>
      </c>
      <c r="V11" s="98">
        <f t="shared" si="2"/>
        <v>49.209821428571431</v>
      </c>
      <c r="W11" s="98">
        <f t="shared" si="2"/>
        <v>59.051785714285714</v>
      </c>
      <c r="X11" s="98">
        <f t="shared" si="2"/>
        <v>68.893749999999997</v>
      </c>
      <c r="Y11" s="98">
        <f t="shared" si="2"/>
        <v>78.73571428571428</v>
      </c>
      <c r="Z11" s="98">
        <f t="shared" si="2"/>
        <v>88.577678571428578</v>
      </c>
      <c r="AA11" s="98">
        <f t="shared" si="2"/>
        <v>98.419642857142861</v>
      </c>
      <c r="AB11" s="98">
        <f t="shared" si="2"/>
        <v>108.26160714285714</v>
      </c>
      <c r="AC11" s="97"/>
      <c r="AD11" s="97"/>
      <c r="AE11" s="97"/>
      <c r="AF11" s="97"/>
      <c r="AG11" s="97"/>
      <c r="AH11" s="99"/>
      <c r="AI11" s="99"/>
      <c r="AJ11" s="99"/>
      <c r="AK11" s="99"/>
      <c r="AL11" s="99"/>
      <c r="AM11" s="99"/>
      <c r="AN11" s="99"/>
      <c r="AO11" s="99"/>
      <c r="AP11" s="102"/>
      <c r="AQ11" s="102"/>
      <c r="AR11" s="102"/>
      <c r="AS11" s="102"/>
      <c r="AT11" s="102"/>
      <c r="AU11" s="102"/>
      <c r="AV11" s="102"/>
      <c r="AW11" s="102"/>
      <c r="AX11" s="102"/>
    </row>
    <row r="12" spans="19:50">
      <c r="T12" s="98">
        <v>30</v>
      </c>
      <c r="U12" s="98">
        <v>40</v>
      </c>
      <c r="V12" s="98">
        <v>50</v>
      </c>
      <c r="W12" s="98">
        <v>60</v>
      </c>
      <c r="X12" s="98">
        <v>70</v>
      </c>
      <c r="Y12" s="98">
        <v>80</v>
      </c>
      <c r="Z12" s="98">
        <v>90</v>
      </c>
      <c r="AA12" s="98">
        <v>100</v>
      </c>
      <c r="AB12" s="98">
        <v>110</v>
      </c>
      <c r="AC12" s="98"/>
      <c r="AD12" s="98"/>
      <c r="AE12" s="98"/>
      <c r="AF12" s="98"/>
      <c r="AG12" s="98"/>
      <c r="AH12" s="99"/>
      <c r="AI12" s="99"/>
      <c r="AJ12" s="99"/>
      <c r="AK12" s="99"/>
      <c r="AL12" s="99"/>
      <c r="AM12" s="99"/>
      <c r="AN12" s="99"/>
      <c r="AO12" s="99"/>
      <c r="AP12" s="102"/>
      <c r="AQ12" s="102"/>
      <c r="AR12" s="102"/>
      <c r="AS12" s="102"/>
      <c r="AT12" s="102"/>
      <c r="AU12" s="102"/>
      <c r="AV12" s="102"/>
      <c r="AW12" s="102"/>
      <c r="AX12" s="102"/>
    </row>
    <row r="13" spans="19:50">
      <c r="S13" s="83" t="s">
        <v>9</v>
      </c>
      <c r="T13" s="100">
        <f t="shared" ref="T13:AO13" si="3">T14/0.7457</f>
        <v>6705.1092932814799</v>
      </c>
      <c r="U13" s="100">
        <f t="shared" si="3"/>
        <v>13410.21858656296</v>
      </c>
      <c r="V13" s="100">
        <f t="shared" si="3"/>
        <v>20115.327879844441</v>
      </c>
      <c r="W13" s="100">
        <f t="shared" si="3"/>
        <v>26820.43717312592</v>
      </c>
      <c r="X13" s="100">
        <f t="shared" si="3"/>
        <v>33525.546466407402</v>
      </c>
      <c r="Y13" s="100">
        <f t="shared" si="3"/>
        <v>40230.655759688882</v>
      </c>
      <c r="Z13" s="100">
        <f t="shared" si="3"/>
        <v>46935.765052970361</v>
      </c>
      <c r="AA13" s="100">
        <f t="shared" si="3"/>
        <v>53640.87434625184</v>
      </c>
      <c r="AB13" s="100">
        <f t="shared" si="3"/>
        <v>60345.983639533319</v>
      </c>
      <c r="AC13" s="100">
        <f t="shared" si="3"/>
        <v>67051.092932814805</v>
      </c>
      <c r="AD13" s="100">
        <f t="shared" si="3"/>
        <v>73756.202226096284</v>
      </c>
      <c r="AE13" s="100">
        <f t="shared" si="3"/>
        <v>80461.311519377763</v>
      </c>
      <c r="AF13" s="100">
        <f t="shared" si="3"/>
        <v>87166.420812659242</v>
      </c>
      <c r="AG13" s="100">
        <f t="shared" si="3"/>
        <v>93871.530105940721</v>
      </c>
      <c r="AH13" s="100">
        <f t="shared" si="3"/>
        <v>100576.6393992222</v>
      </c>
      <c r="AI13" s="100">
        <f t="shared" si="3"/>
        <v>107281.74869250368</v>
      </c>
      <c r="AJ13" s="100">
        <f t="shared" si="3"/>
        <v>113986.85798578516</v>
      </c>
      <c r="AK13" s="100">
        <f t="shared" si="3"/>
        <v>120691.96727906664</v>
      </c>
      <c r="AL13" s="100">
        <f t="shared" si="3"/>
        <v>127397.07657234813</v>
      </c>
      <c r="AM13" s="100">
        <f t="shared" si="3"/>
        <v>134102.18586562961</v>
      </c>
      <c r="AN13" s="100">
        <f t="shared" si="3"/>
        <v>140807.29515891109</v>
      </c>
      <c r="AO13" s="100">
        <f t="shared" si="3"/>
        <v>147512.40445219257</v>
      </c>
    </row>
    <row r="14" spans="19:50">
      <c r="T14" s="100">
        <v>5000</v>
      </c>
      <c r="U14" s="100">
        <v>10000</v>
      </c>
      <c r="V14" s="100">
        <v>15000</v>
      </c>
      <c r="W14" s="100">
        <v>20000</v>
      </c>
      <c r="X14" s="100">
        <v>25000</v>
      </c>
      <c r="Y14" s="100">
        <v>30000</v>
      </c>
      <c r="Z14" s="100">
        <v>35000</v>
      </c>
      <c r="AA14" s="100">
        <v>40000</v>
      </c>
      <c r="AB14" s="100">
        <v>45000</v>
      </c>
      <c r="AC14" s="100">
        <v>50000</v>
      </c>
      <c r="AD14" s="100">
        <v>55000</v>
      </c>
      <c r="AE14" s="100">
        <v>60000</v>
      </c>
      <c r="AF14" s="100">
        <v>65000</v>
      </c>
      <c r="AG14" s="100">
        <v>70000</v>
      </c>
      <c r="AH14" s="100">
        <v>75000</v>
      </c>
      <c r="AI14" s="100">
        <v>80000</v>
      </c>
      <c r="AJ14" s="100">
        <v>85000</v>
      </c>
      <c r="AK14" s="100">
        <v>90000</v>
      </c>
      <c r="AL14" s="100">
        <v>95000</v>
      </c>
      <c r="AM14" s="100">
        <v>100000</v>
      </c>
      <c r="AN14" s="100">
        <v>105000</v>
      </c>
      <c r="AO14" s="100">
        <v>110000</v>
      </c>
    </row>
    <row r="15" spans="19:50">
      <c r="S15" s="83" t="s">
        <v>10</v>
      </c>
      <c r="T15" s="83">
        <v>0</v>
      </c>
      <c r="U15" s="83">
        <v>1000</v>
      </c>
      <c r="V15" s="83">
        <v>2000</v>
      </c>
      <c r="W15" s="83">
        <v>3000</v>
      </c>
      <c r="X15" s="83">
        <v>4000</v>
      </c>
      <c r="Y15" s="83">
        <v>5000</v>
      </c>
      <c r="Z15" s="83">
        <v>6000</v>
      </c>
      <c r="AA15" s="83">
        <v>7000</v>
      </c>
      <c r="AB15" s="83">
        <v>8000</v>
      </c>
      <c r="AC15" s="83">
        <v>9000</v>
      </c>
      <c r="AD15" s="83">
        <v>10000</v>
      </c>
      <c r="AE15" s="83">
        <v>11000</v>
      </c>
      <c r="AF15" s="83">
        <v>12000</v>
      </c>
      <c r="AG15" s="83">
        <v>13000</v>
      </c>
      <c r="AH15" s="83">
        <v>14000</v>
      </c>
      <c r="AI15" s="83">
        <v>15000</v>
      </c>
      <c r="AJ15" s="83">
        <v>16000</v>
      </c>
      <c r="AK15" s="83">
        <v>17000</v>
      </c>
      <c r="AL15" s="83">
        <v>18000</v>
      </c>
      <c r="AM15" s="83">
        <v>19000</v>
      </c>
      <c r="AN15" s="83">
        <v>20000</v>
      </c>
    </row>
    <row r="16" spans="19:50">
      <c r="S16" s="83" t="s">
        <v>11</v>
      </c>
      <c r="T16" s="83">
        <v>0</v>
      </c>
      <c r="U16" s="83">
        <v>5000</v>
      </c>
      <c r="V16" s="83">
        <v>10000</v>
      </c>
      <c r="W16" s="83">
        <v>15000</v>
      </c>
      <c r="X16" s="83">
        <v>20000</v>
      </c>
      <c r="Y16" s="83">
        <v>25000</v>
      </c>
      <c r="Z16" s="83">
        <v>30000</v>
      </c>
      <c r="AA16" s="83">
        <v>35000</v>
      </c>
      <c r="AB16" s="83">
        <v>40000</v>
      </c>
      <c r="AC16" s="83">
        <v>45000</v>
      </c>
      <c r="AD16" s="83">
        <v>50000</v>
      </c>
    </row>
    <row r="17" spans="1:30">
      <c r="S17" s="83" t="s">
        <v>12</v>
      </c>
      <c r="T17" s="83">
        <f>T18*3.2808^3</f>
        <v>0</v>
      </c>
      <c r="U17" s="83">
        <f t="shared" ref="U17:AD17" si="4">U18*3.2808^3</f>
        <v>176566.89229056003</v>
      </c>
      <c r="V17" s="83">
        <f t="shared" si="4"/>
        <v>353133.78458112007</v>
      </c>
      <c r="W17" s="83">
        <f t="shared" si="4"/>
        <v>529700.67687168007</v>
      </c>
      <c r="X17" s="83">
        <f t="shared" si="4"/>
        <v>706267.56916224014</v>
      </c>
      <c r="Y17" s="83">
        <f t="shared" si="4"/>
        <v>882834.46145280008</v>
      </c>
      <c r="Z17" s="83">
        <f t="shared" si="4"/>
        <v>1059401.3537433601</v>
      </c>
      <c r="AA17" s="83">
        <f t="shared" si="4"/>
        <v>1235968.2460339202</v>
      </c>
      <c r="AB17" s="83">
        <f t="shared" si="4"/>
        <v>1412535.1383244803</v>
      </c>
      <c r="AC17" s="83">
        <f t="shared" si="4"/>
        <v>1589102.0306150403</v>
      </c>
      <c r="AD17" s="83">
        <f t="shared" si="4"/>
        <v>1765668.9229056002</v>
      </c>
    </row>
    <row r="18" spans="1:30">
      <c r="T18" s="83">
        <f>T16</f>
        <v>0</v>
      </c>
      <c r="U18" s="83">
        <f t="shared" ref="U18:AD18" si="5">U16</f>
        <v>5000</v>
      </c>
      <c r="V18" s="83">
        <f t="shared" si="5"/>
        <v>10000</v>
      </c>
      <c r="W18" s="83">
        <f t="shared" si="5"/>
        <v>15000</v>
      </c>
      <c r="X18" s="83">
        <f t="shared" si="5"/>
        <v>20000</v>
      </c>
      <c r="Y18" s="83">
        <f t="shared" si="5"/>
        <v>25000</v>
      </c>
      <c r="Z18" s="83">
        <f t="shared" si="5"/>
        <v>30000</v>
      </c>
      <c r="AA18" s="83">
        <f t="shared" si="5"/>
        <v>35000</v>
      </c>
      <c r="AB18" s="83">
        <f t="shared" si="5"/>
        <v>40000</v>
      </c>
      <c r="AC18" s="83">
        <f t="shared" si="5"/>
        <v>45000</v>
      </c>
      <c r="AD18" s="83">
        <f t="shared" si="5"/>
        <v>50000</v>
      </c>
    </row>
    <row r="21" spans="1:30">
      <c r="D21" s="85" t="s">
        <v>13</v>
      </c>
      <c r="E21" s="85" t="s">
        <v>14</v>
      </c>
      <c r="O21" s="85" t="s">
        <v>15</v>
      </c>
      <c r="P21" s="147" t="s">
        <v>16</v>
      </c>
      <c r="Q21" s="147"/>
      <c r="R21" s="147"/>
    </row>
    <row r="22" spans="1:30">
      <c r="P22" s="83" t="s">
        <v>17</v>
      </c>
      <c r="R22" s="83" t="s">
        <v>18</v>
      </c>
    </row>
    <row r="23" spans="1:30">
      <c r="A23" s="83" t="s">
        <v>19</v>
      </c>
      <c r="B23" s="83">
        <v>127</v>
      </c>
      <c r="C23" s="83" t="s">
        <v>20</v>
      </c>
      <c r="D23" s="85">
        <v>1.28</v>
      </c>
      <c r="E23" s="85" t="s">
        <v>21</v>
      </c>
      <c r="F23" s="85" t="s">
        <v>22</v>
      </c>
      <c r="I23" s="90">
        <v>0.35770000000000002</v>
      </c>
      <c r="J23" s="91" t="s">
        <v>23</v>
      </c>
      <c r="K23" s="90" t="s">
        <v>24</v>
      </c>
      <c r="L23" s="91">
        <v>0.89580000000000004</v>
      </c>
      <c r="M23" s="90"/>
      <c r="N23" s="91"/>
    </row>
    <row r="24" spans="1:30">
      <c r="B24" s="83">
        <v>140</v>
      </c>
      <c r="C24" s="83" t="s">
        <v>25</v>
      </c>
      <c r="D24" s="86">
        <v>1.4</v>
      </c>
      <c r="E24" s="85" t="s">
        <v>26</v>
      </c>
      <c r="F24" s="85" t="s">
        <v>22</v>
      </c>
      <c r="H24" s="85" t="s">
        <v>27</v>
      </c>
      <c r="I24" s="92">
        <v>572.36</v>
      </c>
      <c r="J24" s="93" t="s">
        <v>28</v>
      </c>
      <c r="K24" s="92" t="s">
        <v>24</v>
      </c>
      <c r="L24" s="93">
        <v>0.89059999999999995</v>
      </c>
      <c r="M24" s="85" t="s">
        <v>29</v>
      </c>
      <c r="N24" s="94"/>
    </row>
    <row r="25" spans="1:30">
      <c r="B25" s="83">
        <v>160</v>
      </c>
      <c r="C25" s="83" t="s">
        <v>30</v>
      </c>
      <c r="D25" s="86">
        <v>1.6</v>
      </c>
      <c r="E25" s="85" t="s">
        <v>31</v>
      </c>
      <c r="F25" s="85" t="s">
        <v>22</v>
      </c>
      <c r="H25" s="85" t="s">
        <v>27</v>
      </c>
      <c r="I25" s="92">
        <v>572.36</v>
      </c>
      <c r="J25" s="93" t="s">
        <v>30</v>
      </c>
      <c r="K25" s="92" t="s">
        <v>24</v>
      </c>
      <c r="L25" s="93">
        <v>0.89059999999999995</v>
      </c>
      <c r="M25" s="85" t="s">
        <v>29</v>
      </c>
      <c r="N25" s="94"/>
      <c r="T25" s="101">
        <f>$I25*T$2^$L25/3.2808^3</f>
        <v>0</v>
      </c>
      <c r="U25" s="101">
        <f t="shared" ref="U25:AB25" si="6">$I25*U$2^$L25/3.2808^3</f>
        <v>67.956764281341975</v>
      </c>
      <c r="V25" s="101">
        <f t="shared" si="6"/>
        <v>125.98823915708523</v>
      </c>
      <c r="W25" s="101">
        <f t="shared" si="6"/>
        <v>180.78270548021771</v>
      </c>
      <c r="X25" s="101">
        <f t="shared" si="6"/>
        <v>233.57551781288905</v>
      </c>
      <c r="Y25" s="101">
        <f t="shared" si="6"/>
        <v>284.92816286661395</v>
      </c>
      <c r="Z25" s="101">
        <f t="shared" si="6"/>
        <v>335.16155417894163</v>
      </c>
      <c r="AA25" s="101">
        <f t="shared" si="6"/>
        <v>384.4828798912144</v>
      </c>
      <c r="AB25" s="101">
        <f t="shared" si="6"/>
        <v>433.03663013764015</v>
      </c>
    </row>
    <row r="26" spans="1:30">
      <c r="A26" s="83">
        <v>2</v>
      </c>
      <c r="B26" s="83">
        <v>170</v>
      </c>
      <c r="C26" s="83" t="s">
        <v>32</v>
      </c>
      <c r="D26" s="86">
        <v>1.7</v>
      </c>
      <c r="E26" s="85">
        <v>802</v>
      </c>
      <c r="F26" s="85" t="s">
        <v>22</v>
      </c>
      <c r="H26" s="85" t="s">
        <v>27</v>
      </c>
      <c r="I26" s="92">
        <v>572.36</v>
      </c>
      <c r="J26" s="93" t="s">
        <v>33</v>
      </c>
      <c r="K26" s="92" t="s">
        <v>24</v>
      </c>
      <c r="L26" s="93">
        <v>0.89059999999999995</v>
      </c>
      <c r="M26" s="85" t="s">
        <v>29</v>
      </c>
      <c r="N26" s="94"/>
    </row>
    <row r="27" spans="1:30">
      <c r="D27" s="85">
        <v>2.11</v>
      </c>
      <c r="F27" s="85"/>
      <c r="I27" s="92"/>
      <c r="J27" s="93"/>
      <c r="K27" s="92"/>
      <c r="L27" s="93"/>
      <c r="N27" s="94"/>
      <c r="T27" s="83">
        <f>SUM(T28:T30)</f>
        <v>-110.62549579145706</v>
      </c>
      <c r="U27" s="83">
        <f t="shared" ref="U27:AC27" si="7">SUM(U28:U30)</f>
        <v>57.430588402977818</v>
      </c>
      <c r="V27" s="83">
        <f t="shared" si="7"/>
        <v>204.9657696939054</v>
      </c>
      <c r="W27" s="83">
        <f t="shared" si="7"/>
        <v>347.67169557559714</v>
      </c>
      <c r="X27" s="83">
        <f t="shared" si="7"/>
        <v>487.64955034048234</v>
      </c>
      <c r="Y27" s="83">
        <f t="shared" si="7"/>
        <v>625.77813471284662</v>
      </c>
      <c r="Z27" s="83">
        <f t="shared" si="7"/>
        <v>762.53242753393079</v>
      </c>
      <c r="AA27" s="83">
        <f t="shared" si="7"/>
        <v>898.20629169755443</v>
      </c>
      <c r="AB27" s="83">
        <f t="shared" si="7"/>
        <v>1032.9977009324978</v>
      </c>
      <c r="AC27" s="83">
        <f t="shared" si="7"/>
        <v>1167.0481400315964</v>
      </c>
    </row>
    <row r="28" spans="1:30">
      <c r="B28" s="83">
        <v>211</v>
      </c>
      <c r="C28" s="83" t="s">
        <v>34</v>
      </c>
      <c r="D28" s="87">
        <v>2.1110000000000002</v>
      </c>
      <c r="F28" s="85" t="s">
        <v>22</v>
      </c>
      <c r="G28" s="85" t="s">
        <v>35</v>
      </c>
      <c r="H28" s="85" t="s">
        <v>27</v>
      </c>
      <c r="I28" s="85">
        <v>777.77</v>
      </c>
      <c r="J28" s="83" t="s">
        <v>36</v>
      </c>
      <c r="K28" s="85" t="s">
        <v>37</v>
      </c>
      <c r="L28" s="83">
        <v>3906.56</v>
      </c>
      <c r="M28" s="85" t="s">
        <v>29</v>
      </c>
      <c r="O28" s="85">
        <v>1</v>
      </c>
      <c r="P28" s="83">
        <v>0.71</v>
      </c>
      <c r="Q28" s="85" t="s">
        <v>37</v>
      </c>
      <c r="R28" s="83">
        <v>1.32</v>
      </c>
      <c r="T28" s="83">
        <f>($I28*T$3-$L28)/3.2808^3</f>
        <v>-110.62549579145706</v>
      </c>
      <c r="U28" s="83">
        <f t="shared" ref="U28:AC28" si="8">($I28*U$3-$L28)/3.2808^3</f>
        <v>-0.50150964799381259</v>
      </c>
      <c r="V28" s="83">
        <f t="shared" si="8"/>
        <v>109.62247649546943</v>
      </c>
      <c r="W28" s="83">
        <f t="shared" si="8"/>
        <v>219.74646263893268</v>
      </c>
      <c r="X28" s="83">
        <f t="shared" si="8"/>
        <v>329.87044878239595</v>
      </c>
      <c r="Y28" s="83">
        <f t="shared" si="8"/>
        <v>439.9944349258592</v>
      </c>
      <c r="Z28" s="83">
        <f t="shared" si="8"/>
        <v>550.11842106932238</v>
      </c>
      <c r="AA28" s="83">
        <f t="shared" si="8"/>
        <v>660.24240721278568</v>
      </c>
      <c r="AB28" s="83">
        <f t="shared" si="8"/>
        <v>770.36639335624886</v>
      </c>
      <c r="AC28" s="83">
        <f t="shared" si="8"/>
        <v>880.49037949971216</v>
      </c>
    </row>
    <row r="29" spans="1:30">
      <c r="B29" s="83">
        <v>212</v>
      </c>
      <c r="C29" s="83" t="s">
        <v>38</v>
      </c>
      <c r="D29" s="87">
        <v>2.1120000000000001</v>
      </c>
      <c r="F29" s="85" t="s">
        <v>22</v>
      </c>
      <c r="G29" s="85" t="s">
        <v>39</v>
      </c>
      <c r="H29" s="85" t="s">
        <v>27</v>
      </c>
      <c r="I29" s="85">
        <v>526.83000000000004</v>
      </c>
      <c r="J29" s="83" t="s">
        <v>2</v>
      </c>
      <c r="K29" s="85" t="s">
        <v>24</v>
      </c>
      <c r="L29" s="83">
        <v>0.65329999999999999</v>
      </c>
      <c r="M29" s="85" t="s">
        <v>29</v>
      </c>
      <c r="O29" s="85">
        <v>1</v>
      </c>
      <c r="P29" s="83">
        <v>0.77</v>
      </c>
      <c r="Q29" s="85" t="s">
        <v>37</v>
      </c>
      <c r="R29" s="83">
        <v>1.17</v>
      </c>
      <c r="T29" s="83">
        <f>($I29*T$3^$L29)/3.2808^3</f>
        <v>0</v>
      </c>
      <c r="U29" s="83">
        <f t="shared" ref="U29:AC29" si="9">($I29*U$3^$L29)/3.2808^3</f>
        <v>42.69414616841167</v>
      </c>
      <c r="V29" s="83">
        <f t="shared" si="9"/>
        <v>67.147713504374437</v>
      </c>
      <c r="W29" s="83">
        <f t="shared" si="9"/>
        <v>87.512813876876621</v>
      </c>
      <c r="X29" s="83">
        <f t="shared" si="9"/>
        <v>105.60734511658902</v>
      </c>
      <c r="Y29" s="83">
        <f t="shared" si="9"/>
        <v>122.18149545979229</v>
      </c>
      <c r="Z29" s="83">
        <f t="shared" si="9"/>
        <v>137.63679289864504</v>
      </c>
      <c r="AA29" s="83">
        <f t="shared" si="9"/>
        <v>152.21970717474736</v>
      </c>
      <c r="AB29" s="83">
        <f t="shared" si="9"/>
        <v>166.09517674563506</v>
      </c>
      <c r="AC29" s="83">
        <f t="shared" si="9"/>
        <v>179.38039005251679</v>
      </c>
    </row>
    <row r="30" spans="1:30">
      <c r="B30" s="83">
        <v>213</v>
      </c>
      <c r="C30" s="83" t="s">
        <v>40</v>
      </c>
      <c r="D30" s="87">
        <v>2.113</v>
      </c>
      <c r="F30" s="85" t="s">
        <v>22</v>
      </c>
      <c r="G30" s="85" t="s">
        <v>41</v>
      </c>
      <c r="H30" s="85" t="s">
        <v>27</v>
      </c>
      <c r="I30" s="85">
        <v>128.91999999999999</v>
      </c>
      <c r="J30" s="83" t="s">
        <v>2</v>
      </c>
      <c r="K30" s="85" t="s">
        <v>24</v>
      </c>
      <c r="L30" s="83">
        <v>0.88780000000000003</v>
      </c>
      <c r="M30" s="85" t="s">
        <v>29</v>
      </c>
      <c r="O30" s="85">
        <v>1</v>
      </c>
      <c r="P30" s="83">
        <v>0.63</v>
      </c>
      <c r="Q30" s="85" t="s">
        <v>37</v>
      </c>
      <c r="R30" s="83">
        <v>0.77</v>
      </c>
      <c r="T30" s="83">
        <f>($I30*T$3^$L30)/3.2808^3</f>
        <v>0</v>
      </c>
      <c r="U30" s="83">
        <f t="shared" ref="U30:AC30" si="10">($I30*U$3^$L30)/3.2808^3</f>
        <v>15.237951882559958</v>
      </c>
      <c r="V30" s="83">
        <f t="shared" si="10"/>
        <v>28.195579694061539</v>
      </c>
      <c r="W30" s="83">
        <f t="shared" si="10"/>
        <v>40.412419059787837</v>
      </c>
      <c r="X30" s="83">
        <f t="shared" si="10"/>
        <v>52.171756441497394</v>
      </c>
      <c r="Y30" s="83">
        <f t="shared" si="10"/>
        <v>63.602204327195189</v>
      </c>
      <c r="Z30" s="83">
        <f t="shared" si="10"/>
        <v>74.777213565963351</v>
      </c>
      <c r="AA30" s="83">
        <f t="shared" si="10"/>
        <v>85.744177310021428</v>
      </c>
      <c r="AB30" s="83">
        <f t="shared" si="10"/>
        <v>96.536130830613928</v>
      </c>
      <c r="AC30" s="83">
        <f t="shared" si="10"/>
        <v>107.17737047936744</v>
      </c>
    </row>
    <row r="31" spans="1:30">
      <c r="D31" s="85">
        <v>2.12</v>
      </c>
      <c r="F31" s="85"/>
      <c r="Q31" s="85"/>
      <c r="T31" s="83">
        <f>SUM(T32:T34)</f>
        <v>47.032883074897896</v>
      </c>
      <c r="U31" s="83">
        <f t="shared" ref="U31:AC31" si="11">SUM(U32:U34)</f>
        <v>103.50439860450032</v>
      </c>
      <c r="V31" s="83">
        <f t="shared" si="11"/>
        <v>159.97591413410271</v>
      </c>
      <c r="W31" s="83">
        <f t="shared" si="11"/>
        <v>216.44742966370518</v>
      </c>
      <c r="X31" s="83">
        <f t="shared" si="11"/>
        <v>272.91894519330759</v>
      </c>
      <c r="Y31" s="83">
        <f t="shared" si="11"/>
        <v>329.39046072291006</v>
      </c>
      <c r="Z31" s="83">
        <f t="shared" si="11"/>
        <v>385.86197625251248</v>
      </c>
      <c r="AA31" s="83">
        <f t="shared" si="11"/>
        <v>442.33349178211489</v>
      </c>
      <c r="AB31" s="83">
        <f t="shared" si="11"/>
        <v>498.8050073117173</v>
      </c>
      <c r="AC31" s="83">
        <f t="shared" si="11"/>
        <v>555.27652284131977</v>
      </c>
    </row>
    <row r="32" spans="1:30">
      <c r="B32" s="83">
        <v>214</v>
      </c>
      <c r="C32" s="83" t="s">
        <v>42</v>
      </c>
      <c r="D32" s="88">
        <v>2.121</v>
      </c>
      <c r="F32" s="85" t="s">
        <v>22</v>
      </c>
      <c r="G32" s="85" t="s">
        <v>43</v>
      </c>
      <c r="H32" s="85" t="s">
        <v>27</v>
      </c>
      <c r="I32" s="85">
        <v>255.15</v>
      </c>
      <c r="J32" s="83" t="s">
        <v>3</v>
      </c>
      <c r="K32" s="85" t="s">
        <v>44</v>
      </c>
      <c r="L32" s="95">
        <v>488.1</v>
      </c>
      <c r="M32" s="85" t="s">
        <v>29</v>
      </c>
      <c r="O32" s="85">
        <v>1</v>
      </c>
      <c r="P32" s="83">
        <v>0.68</v>
      </c>
      <c r="Q32" s="85" t="s">
        <v>37</v>
      </c>
      <c r="R32" s="83">
        <v>1.1100000000000001</v>
      </c>
      <c r="T32" s="83">
        <f>($I32*T$4+$L32)/3.2808^3</f>
        <v>13.821957040416683</v>
      </c>
      <c r="U32" s="83">
        <f t="shared" ref="U32:AC32" si="12">($I32*U$4+$L32)/3.2808^3</f>
        <v>49.948491960128997</v>
      </c>
      <c r="V32" s="83">
        <f t="shared" si="12"/>
        <v>86.075026879841303</v>
      </c>
      <c r="W32" s="83">
        <f t="shared" si="12"/>
        <v>122.20156179955363</v>
      </c>
      <c r="X32" s="83">
        <f t="shared" si="12"/>
        <v>158.32809671926594</v>
      </c>
      <c r="Y32" s="83">
        <f t="shared" si="12"/>
        <v>194.45463163897827</v>
      </c>
      <c r="Z32" s="83">
        <f t="shared" si="12"/>
        <v>230.5811665586906</v>
      </c>
      <c r="AA32" s="83">
        <f t="shared" si="12"/>
        <v>266.7077014784029</v>
      </c>
      <c r="AB32" s="83">
        <f t="shared" si="12"/>
        <v>302.83423639811519</v>
      </c>
      <c r="AC32" s="83">
        <f t="shared" si="12"/>
        <v>338.96077131782755</v>
      </c>
    </row>
    <row r="33" spans="2:32">
      <c r="B33" s="83">
        <v>215</v>
      </c>
      <c r="C33" s="83" t="s">
        <v>45</v>
      </c>
      <c r="D33" s="88">
        <v>2.1219999999999999</v>
      </c>
      <c r="F33" s="85" t="s">
        <v>22</v>
      </c>
      <c r="G33" s="85" t="s">
        <v>46</v>
      </c>
      <c r="H33" s="85" t="s">
        <v>27</v>
      </c>
      <c r="I33" s="85">
        <v>89.91</v>
      </c>
      <c r="J33" s="83" t="s">
        <v>3</v>
      </c>
      <c r="K33" s="85" t="s">
        <v>44</v>
      </c>
      <c r="L33" s="83">
        <v>584.75</v>
      </c>
      <c r="M33" s="85" t="s">
        <v>29</v>
      </c>
      <c r="O33" s="85">
        <v>1</v>
      </c>
      <c r="P33" s="83">
        <v>0.56999999999999995</v>
      </c>
      <c r="Q33" s="85" t="s">
        <v>37</v>
      </c>
      <c r="R33" s="83">
        <v>0.94</v>
      </c>
      <c r="T33" s="83">
        <f>($I33*T$4+$L33)/3.2808^3</f>
        <v>16.558880105272802</v>
      </c>
      <c r="U33" s="83">
        <f t="shared" ref="U33:AC33" si="13">($I33*U$4+$L33)/3.2808^3</f>
        <v>29.289182886504758</v>
      </c>
      <c r="V33" s="83">
        <f t="shared" si="13"/>
        <v>42.019485667736717</v>
      </c>
      <c r="W33" s="83">
        <f t="shared" si="13"/>
        <v>54.749788448968673</v>
      </c>
      <c r="X33" s="83">
        <f t="shared" si="13"/>
        <v>67.480091230200628</v>
      </c>
      <c r="Y33" s="83">
        <f t="shared" si="13"/>
        <v>80.210394011432598</v>
      </c>
      <c r="Z33" s="83">
        <f t="shared" si="13"/>
        <v>92.940696792664539</v>
      </c>
      <c r="AA33" s="83">
        <f t="shared" si="13"/>
        <v>105.67099957389651</v>
      </c>
      <c r="AB33" s="83">
        <f t="shared" si="13"/>
        <v>118.40130235512846</v>
      </c>
      <c r="AC33" s="83">
        <f t="shared" si="13"/>
        <v>131.13160513636043</v>
      </c>
    </row>
    <row r="34" spans="2:32">
      <c r="B34" s="83">
        <v>216</v>
      </c>
      <c r="C34" s="83" t="s">
        <v>47</v>
      </c>
      <c r="D34" s="88">
        <v>2.1230000000000002</v>
      </c>
      <c r="F34" s="85" t="s">
        <v>22</v>
      </c>
      <c r="G34" s="85" t="s">
        <v>48</v>
      </c>
      <c r="H34" s="85" t="s">
        <v>27</v>
      </c>
      <c r="I34" s="85">
        <v>53.78</v>
      </c>
      <c r="J34" s="83" t="s">
        <v>3</v>
      </c>
      <c r="K34" s="85" t="s">
        <v>44</v>
      </c>
      <c r="L34" s="83">
        <v>588.04</v>
      </c>
      <c r="M34" s="85" t="s">
        <v>29</v>
      </c>
      <c r="O34" s="85">
        <v>1</v>
      </c>
      <c r="P34" s="83">
        <v>0.56999999999999995</v>
      </c>
      <c r="Q34" s="85" t="s">
        <v>37</v>
      </c>
      <c r="R34" s="83">
        <v>0.93</v>
      </c>
      <c r="T34" s="83">
        <f>($I34*T$4+$L34)/3.2808^3</f>
        <v>16.652045929208409</v>
      </c>
      <c r="U34" s="83">
        <f t="shared" ref="U34:AC34" si="14">($I34*U$4+$L34)/3.2808^3</f>
        <v>24.266723757866565</v>
      </c>
      <c r="V34" s="83">
        <f t="shared" si="14"/>
        <v>31.881401586524717</v>
      </c>
      <c r="W34" s="83">
        <f t="shared" si="14"/>
        <v>39.496079415182876</v>
      </c>
      <c r="X34" s="83">
        <f t="shared" si="14"/>
        <v>47.110757243841029</v>
      </c>
      <c r="Y34" s="83">
        <f t="shared" si="14"/>
        <v>54.725435072499188</v>
      </c>
      <c r="Z34" s="83">
        <f t="shared" si="14"/>
        <v>62.34011290115734</v>
      </c>
      <c r="AA34" s="83">
        <f t="shared" si="14"/>
        <v>69.9547907298155</v>
      </c>
      <c r="AB34" s="83">
        <f t="shared" si="14"/>
        <v>77.569468558473645</v>
      </c>
      <c r="AC34" s="83">
        <f t="shared" si="14"/>
        <v>85.184146387131804</v>
      </c>
    </row>
    <row r="35" spans="2:32">
      <c r="D35" s="85">
        <v>2.13</v>
      </c>
      <c r="F35" s="85"/>
      <c r="Q35" s="85"/>
      <c r="T35" s="83">
        <f>SUM(T36:T38)</f>
        <v>420.00654277792285</v>
      </c>
      <c r="U35" s="83">
        <f t="shared" ref="U35:AD35" si="15">SUM(U36:U38)</f>
        <v>673.28165806062475</v>
      </c>
      <c r="V35" s="83">
        <f t="shared" si="15"/>
        <v>926.55677334332665</v>
      </c>
      <c r="W35" s="83">
        <f t="shared" si="15"/>
        <v>1179.8318886260286</v>
      </c>
      <c r="X35" s="83">
        <f t="shared" si="15"/>
        <v>1433.1070039087306</v>
      </c>
      <c r="Y35" s="83">
        <f t="shared" si="15"/>
        <v>1686.3821191914321</v>
      </c>
      <c r="Z35" s="83">
        <f t="shared" si="15"/>
        <v>1939.6572344741344</v>
      </c>
      <c r="AA35" s="83">
        <f t="shared" si="15"/>
        <v>2192.9323497568362</v>
      </c>
      <c r="AB35" s="83">
        <f t="shared" si="15"/>
        <v>2446.2074650395375</v>
      </c>
      <c r="AC35" s="83">
        <f t="shared" si="15"/>
        <v>2699.4825803222398</v>
      </c>
      <c r="AD35" s="83">
        <f t="shared" si="15"/>
        <v>2952.7576956049415</v>
      </c>
    </row>
    <row r="36" spans="2:32">
      <c r="B36" s="83">
        <v>217</v>
      </c>
      <c r="C36" s="83" t="s">
        <v>49</v>
      </c>
      <c r="D36" s="89">
        <v>2.1309999999999998</v>
      </c>
      <c r="F36" s="85" t="s">
        <v>22</v>
      </c>
      <c r="G36" s="85" t="s">
        <v>50</v>
      </c>
      <c r="H36" s="85" t="s">
        <v>27</v>
      </c>
      <c r="I36" s="85">
        <v>129.44999999999999</v>
      </c>
      <c r="J36" s="83" t="s">
        <v>4</v>
      </c>
      <c r="K36" s="85" t="s">
        <v>44</v>
      </c>
      <c r="L36" s="83">
        <v>9828.35</v>
      </c>
      <c r="M36" s="85" t="s">
        <v>29</v>
      </c>
      <c r="O36" s="85">
        <v>1</v>
      </c>
      <c r="P36" s="83">
        <v>0.92</v>
      </c>
      <c r="Q36" s="85" t="s">
        <v>37</v>
      </c>
      <c r="R36" s="83">
        <v>0.99</v>
      </c>
      <c r="T36" s="83">
        <f>($I36*T$5+$L36)/3.2808^3</f>
        <v>278.31803212083446</v>
      </c>
      <c r="U36" s="83">
        <f t="shared" ref="U36:AD36" si="16">($I36*U$5+$L36)/3.2808^3</f>
        <v>461.6055079333666</v>
      </c>
      <c r="V36" s="83">
        <f t="shared" si="16"/>
        <v>644.89298374589885</v>
      </c>
      <c r="W36" s="83">
        <f t="shared" si="16"/>
        <v>828.18045955843104</v>
      </c>
      <c r="X36" s="83">
        <f t="shared" si="16"/>
        <v>1011.4679353709632</v>
      </c>
      <c r="Y36" s="83">
        <f t="shared" si="16"/>
        <v>1194.7554111834954</v>
      </c>
      <c r="Z36" s="83">
        <f t="shared" si="16"/>
        <v>1378.0428869960276</v>
      </c>
      <c r="AA36" s="83">
        <f t="shared" si="16"/>
        <v>1561.3303628085596</v>
      </c>
      <c r="AB36" s="83">
        <f t="shared" si="16"/>
        <v>1744.6178386210918</v>
      </c>
      <c r="AC36" s="83">
        <f t="shared" si="16"/>
        <v>1927.905314433624</v>
      </c>
      <c r="AD36" s="83">
        <f t="shared" si="16"/>
        <v>2111.1927902461562</v>
      </c>
    </row>
    <row r="37" spans="2:32">
      <c r="B37" s="83">
        <v>218</v>
      </c>
      <c r="C37" s="83" t="s">
        <v>51</v>
      </c>
      <c r="D37" s="89">
        <v>2.1320000000000001</v>
      </c>
      <c r="F37" s="85" t="s">
        <v>22</v>
      </c>
      <c r="G37" s="85" t="s">
        <v>52</v>
      </c>
      <c r="H37" s="85" t="s">
        <v>27</v>
      </c>
      <c r="I37" s="85">
        <v>23.12</v>
      </c>
      <c r="J37" s="83" t="s">
        <v>4</v>
      </c>
      <c r="K37" s="85" t="s">
        <v>44</v>
      </c>
      <c r="L37" s="83">
        <v>4429.66</v>
      </c>
      <c r="M37" s="85" t="s">
        <v>29</v>
      </c>
      <c r="O37" s="85">
        <v>1</v>
      </c>
      <c r="P37" s="83">
        <v>0.74</v>
      </c>
      <c r="Q37" s="85" t="s">
        <v>37</v>
      </c>
      <c r="R37" s="83">
        <v>1.42</v>
      </c>
      <c r="T37" s="83">
        <f>($I37*T$5+$L37)/3.2808^3</f>
        <v>125.43857861842277</v>
      </c>
      <c r="U37" s="83">
        <f t="shared" ref="U37:AD37" si="17">($I37*U$5+$L37)/3.2808^3</f>
        <v>158.17404745415661</v>
      </c>
      <c r="V37" s="83">
        <f t="shared" si="17"/>
        <v>190.90951628989043</v>
      </c>
      <c r="W37" s="83">
        <f t="shared" si="17"/>
        <v>223.64498512562426</v>
      </c>
      <c r="X37" s="83">
        <f t="shared" si="17"/>
        <v>256.38045396135811</v>
      </c>
      <c r="Y37" s="83">
        <f t="shared" si="17"/>
        <v>289.11592279709191</v>
      </c>
      <c r="Z37" s="83">
        <f t="shared" si="17"/>
        <v>321.85139163282577</v>
      </c>
      <c r="AA37" s="83">
        <f t="shared" si="17"/>
        <v>354.58686046855962</v>
      </c>
      <c r="AB37" s="83">
        <f t="shared" si="17"/>
        <v>387.32232930429342</v>
      </c>
      <c r="AC37" s="83">
        <f t="shared" si="17"/>
        <v>420.05779814002727</v>
      </c>
      <c r="AD37" s="83">
        <f t="shared" si="17"/>
        <v>452.79326697576107</v>
      </c>
    </row>
    <row r="38" spans="2:32">
      <c r="B38" s="83">
        <v>219</v>
      </c>
      <c r="C38" s="83" t="s">
        <v>53</v>
      </c>
      <c r="D38" s="89">
        <v>2.133</v>
      </c>
      <c r="F38" s="85" t="s">
        <v>22</v>
      </c>
      <c r="G38" s="85" t="s">
        <v>54</v>
      </c>
      <c r="H38" s="85" t="s">
        <v>27</v>
      </c>
      <c r="I38" s="85">
        <v>26.31</v>
      </c>
      <c r="J38" s="83" t="s">
        <v>4</v>
      </c>
      <c r="K38" s="85" t="s">
        <v>44</v>
      </c>
      <c r="L38" s="83">
        <v>573.84</v>
      </c>
      <c r="M38" s="85" t="s">
        <v>29</v>
      </c>
      <c r="O38" s="85">
        <v>1</v>
      </c>
      <c r="P38" s="83">
        <v>0.82</v>
      </c>
      <c r="Q38" s="85" t="s">
        <v>37</v>
      </c>
      <c r="R38" s="83">
        <v>1.18</v>
      </c>
      <c r="T38" s="83">
        <f>($I38*T$5+$L38)/3.2808^3</f>
        <v>16.249932038665662</v>
      </c>
      <c r="U38" s="83">
        <f t="shared" ref="U38:AD38" si="18">($I38*U$5+$L38)/3.2808^3</f>
        <v>53.502102673101525</v>
      </c>
      <c r="V38" s="83">
        <f t="shared" si="18"/>
        <v>90.754273307537389</v>
      </c>
      <c r="W38" s="83">
        <f t="shared" si="18"/>
        <v>128.00644394197326</v>
      </c>
      <c r="X38" s="83">
        <f t="shared" si="18"/>
        <v>165.25861457640912</v>
      </c>
      <c r="Y38" s="83">
        <f t="shared" si="18"/>
        <v>202.51078521084497</v>
      </c>
      <c r="Z38" s="83">
        <f t="shared" si="18"/>
        <v>239.76295584528083</v>
      </c>
      <c r="AA38" s="83">
        <f t="shared" si="18"/>
        <v>277.01512647971668</v>
      </c>
      <c r="AB38" s="83">
        <f t="shared" si="18"/>
        <v>314.26729711415254</v>
      </c>
      <c r="AC38" s="83">
        <f t="shared" si="18"/>
        <v>351.5194677485884</v>
      </c>
      <c r="AD38" s="83">
        <f t="shared" si="18"/>
        <v>388.77163838302431</v>
      </c>
    </row>
    <row r="39" spans="2:32">
      <c r="D39" s="85">
        <v>2.2000000000000002</v>
      </c>
      <c r="F39" s="85"/>
      <c r="Q39" s="85"/>
      <c r="T39" s="83">
        <f>SUM(T40:T44)</f>
        <v>18.830823586839358</v>
      </c>
      <c r="U39" s="83">
        <f t="shared" ref="U39:AF39" si="19">SUM(U40:U44)</f>
        <v>146.00037863448074</v>
      </c>
      <c r="V39" s="83">
        <f t="shared" si="19"/>
        <v>255.94186426930196</v>
      </c>
      <c r="W39" s="83">
        <f t="shared" si="19"/>
        <v>361.13413638112513</v>
      </c>
      <c r="X39" s="83">
        <f t="shared" si="19"/>
        <v>463.54643641663853</v>
      </c>
      <c r="Y39" s="83">
        <f t="shared" si="19"/>
        <v>564.03259045384971</v>
      </c>
      <c r="Z39" s="83">
        <f t="shared" si="19"/>
        <v>663.0648919078817</v>
      </c>
      <c r="AA39" s="83">
        <f t="shared" si="19"/>
        <v>760.94057265944798</v>
      </c>
      <c r="AB39" s="83">
        <f t="shared" si="19"/>
        <v>857.86258578669833</v>
      </c>
      <c r="AC39" s="83">
        <f t="shared" si="19"/>
        <v>953.97758203659873</v>
      </c>
      <c r="AD39" s="83">
        <f t="shared" si="19"/>
        <v>1049.396046267886</v>
      </c>
      <c r="AE39" s="83">
        <f t="shared" si="19"/>
        <v>1144.2039328038747</v>
      </c>
      <c r="AF39" s="83">
        <f t="shared" si="19"/>
        <v>1238.4698388107004</v>
      </c>
    </row>
    <row r="40" spans="2:32">
      <c r="B40" s="83">
        <v>221</v>
      </c>
      <c r="C40" s="83" t="s">
        <v>55</v>
      </c>
      <c r="D40" s="85">
        <v>2.21</v>
      </c>
      <c r="E40" s="85" t="s">
        <v>56</v>
      </c>
      <c r="F40" s="85" t="s">
        <v>22</v>
      </c>
      <c r="G40" s="85" t="s">
        <v>57</v>
      </c>
      <c r="H40" s="85" t="s">
        <v>27</v>
      </c>
      <c r="I40" s="85">
        <v>3.33</v>
      </c>
      <c r="J40" s="83" t="s">
        <v>0</v>
      </c>
      <c r="K40" s="85" t="s">
        <v>24</v>
      </c>
      <c r="L40" s="83">
        <v>1.0880000000000001</v>
      </c>
      <c r="M40" s="85" t="s">
        <v>29</v>
      </c>
      <c r="O40" s="85">
        <v>1</v>
      </c>
      <c r="P40" s="83">
        <v>0.55000000000000004</v>
      </c>
      <c r="Q40" s="85" t="s">
        <v>37</v>
      </c>
      <c r="R40" s="83">
        <v>1.33</v>
      </c>
      <c r="T40" s="83">
        <f>($I40*T$1^$L40)/3.2808^3</f>
        <v>0</v>
      </c>
      <c r="U40" s="83">
        <f t="shared" ref="U40:AF40" si="20">($I40*U$1^$L40)/3.2808^3</f>
        <v>6.6524915163471139</v>
      </c>
      <c r="V40" s="83">
        <f t="shared" si="20"/>
        <v>14.141808912864651</v>
      </c>
      <c r="W40" s="83">
        <f t="shared" si="20"/>
        <v>21.98326800306863</v>
      </c>
      <c r="X40" s="83">
        <f t="shared" si="20"/>
        <v>30.062535042178094</v>
      </c>
      <c r="Y40" s="83">
        <f t="shared" si="20"/>
        <v>38.32337017134094</v>
      </c>
      <c r="Z40" s="83">
        <f t="shared" si="20"/>
        <v>46.73184093745288</v>
      </c>
      <c r="AA40" s="83">
        <f t="shared" si="20"/>
        <v>55.265104673131013</v>
      </c>
      <c r="AB40" s="83">
        <f t="shared" si="20"/>
        <v>63.906676913167061</v>
      </c>
      <c r="AC40" s="83">
        <f t="shared" si="20"/>
        <v>72.644071910083696</v>
      </c>
      <c r="AD40" s="83">
        <f t="shared" si="20"/>
        <v>81.467488763919803</v>
      </c>
      <c r="AE40" s="83">
        <f t="shared" si="20"/>
        <v>90.36901962653549</v>
      </c>
      <c r="AF40" s="83">
        <f t="shared" si="20"/>
        <v>99.34214317446127</v>
      </c>
    </row>
    <row r="41" spans="2:32">
      <c r="B41" s="83">
        <v>222</v>
      </c>
      <c r="C41" s="83" t="s">
        <v>58</v>
      </c>
      <c r="D41" s="85">
        <v>2.2200000000000002</v>
      </c>
      <c r="E41" s="85">
        <v>611</v>
      </c>
      <c r="F41" s="85" t="s">
        <v>22</v>
      </c>
      <c r="G41" s="85" t="s">
        <v>59</v>
      </c>
      <c r="H41" s="85" t="s">
        <v>27</v>
      </c>
      <c r="I41" s="85">
        <v>107.22</v>
      </c>
      <c r="J41" s="83" t="s">
        <v>0</v>
      </c>
      <c r="K41" s="85" t="s">
        <v>24</v>
      </c>
      <c r="L41" s="83">
        <v>0.7923</v>
      </c>
      <c r="M41" s="85" t="s">
        <v>29</v>
      </c>
      <c r="O41" s="85">
        <v>1</v>
      </c>
      <c r="P41" s="83">
        <v>0.61</v>
      </c>
      <c r="Q41" s="85" t="s">
        <v>37</v>
      </c>
      <c r="R41" s="83">
        <v>1.1200000000000001</v>
      </c>
      <c r="T41" s="83">
        <f t="shared" ref="T41:AF41" si="21">($I41*T$1^$L41)/3.2808^3</f>
        <v>0</v>
      </c>
      <c r="U41" s="83">
        <f t="shared" si="21"/>
        <v>67.364403492650311</v>
      </c>
      <c r="V41" s="83">
        <f t="shared" si="21"/>
        <v>116.66391169231007</v>
      </c>
      <c r="W41" s="83">
        <f t="shared" si="21"/>
        <v>160.8620646752853</v>
      </c>
      <c r="X41" s="83">
        <f t="shared" si="21"/>
        <v>202.04243763304532</v>
      </c>
      <c r="Y41" s="83">
        <f t="shared" si="21"/>
        <v>241.11509650244963</v>
      </c>
      <c r="Z41" s="83">
        <f t="shared" si="21"/>
        <v>278.58626715172585</v>
      </c>
      <c r="AA41" s="83">
        <f t="shared" si="21"/>
        <v>314.77602412896999</v>
      </c>
      <c r="AB41" s="83">
        <f t="shared" si="21"/>
        <v>349.90380497754035</v>
      </c>
      <c r="AC41" s="83">
        <f t="shared" si="21"/>
        <v>384.12874619188017</v>
      </c>
      <c r="AD41" s="83">
        <f t="shared" si="21"/>
        <v>417.57113353068746</v>
      </c>
      <c r="AE41" s="83">
        <f t="shared" si="21"/>
        <v>450.32482916541642</v>
      </c>
      <c r="AF41" s="83">
        <f t="shared" si="21"/>
        <v>482.46495158567234</v>
      </c>
    </row>
    <row r="42" spans="2:32">
      <c r="B42" s="83">
        <v>223</v>
      </c>
      <c r="C42" s="83" t="s">
        <v>60</v>
      </c>
      <c r="D42" s="85">
        <v>2.23</v>
      </c>
      <c r="E42" s="85">
        <v>614</v>
      </c>
      <c r="F42" s="85" t="s">
        <v>22</v>
      </c>
      <c r="G42" s="85" t="s">
        <v>61</v>
      </c>
      <c r="H42" s="85" t="s">
        <v>27</v>
      </c>
      <c r="I42" s="85">
        <v>18.329999999999998</v>
      </c>
      <c r="J42" s="83" t="s">
        <v>0</v>
      </c>
      <c r="K42" s="85" t="s">
        <v>37</v>
      </c>
      <c r="L42" s="83">
        <v>2124.4699999999998</v>
      </c>
      <c r="M42" s="85" t="s">
        <v>29</v>
      </c>
      <c r="O42" s="85">
        <v>1</v>
      </c>
      <c r="P42" s="83">
        <v>0.34</v>
      </c>
      <c r="Q42" s="85" t="s">
        <v>37</v>
      </c>
      <c r="R42" s="83">
        <v>2.23</v>
      </c>
      <c r="T42" s="83">
        <f>($I42*T$1-$L42)/3.2808^3</f>
        <v>-60.16048570713793</v>
      </c>
      <c r="U42" s="83">
        <f t="shared" ref="U42:AF42" si="22">($I42*U$1-$L42)/3.2808^3</f>
        <v>-34.207149039361063</v>
      </c>
      <c r="V42" s="83">
        <f t="shared" si="22"/>
        <v>-8.2538123715842051</v>
      </c>
      <c r="W42" s="83">
        <f t="shared" si="22"/>
        <v>17.699524296192656</v>
      </c>
      <c r="X42" s="83">
        <f t="shared" si="22"/>
        <v>43.652860963969523</v>
      </c>
      <c r="Y42" s="83">
        <f t="shared" si="22"/>
        <v>69.606197631746397</v>
      </c>
      <c r="Z42" s="83">
        <f t="shared" si="22"/>
        <v>95.559534299523236</v>
      </c>
      <c r="AA42" s="83">
        <f t="shared" si="22"/>
        <v>121.51287096730009</v>
      </c>
      <c r="AB42" s="83">
        <f t="shared" si="22"/>
        <v>147.46620763507696</v>
      </c>
      <c r="AC42" s="83">
        <f t="shared" si="22"/>
        <v>173.41954430285386</v>
      </c>
      <c r="AD42" s="83">
        <f t="shared" si="22"/>
        <v>199.37288097063075</v>
      </c>
      <c r="AE42" s="83">
        <f t="shared" si="22"/>
        <v>225.32621763840757</v>
      </c>
      <c r="AF42" s="83">
        <f t="shared" si="22"/>
        <v>251.27955430618442</v>
      </c>
    </row>
    <row r="43" spans="2:32">
      <c r="B43" s="83">
        <v>224</v>
      </c>
      <c r="C43" s="83" t="s">
        <v>62</v>
      </c>
      <c r="D43" s="85">
        <v>2.2400000000000002</v>
      </c>
      <c r="E43" s="85">
        <v>609</v>
      </c>
      <c r="F43" s="85" t="s">
        <v>22</v>
      </c>
      <c r="G43" s="85" t="s">
        <v>63</v>
      </c>
      <c r="H43" s="85" t="s">
        <v>27</v>
      </c>
      <c r="I43" s="96">
        <v>16.3</v>
      </c>
      <c r="J43" s="83" t="s">
        <v>0</v>
      </c>
      <c r="K43" s="85" t="s">
        <v>44</v>
      </c>
      <c r="L43" s="83">
        <v>1316.03</v>
      </c>
      <c r="M43" s="85" t="s">
        <v>29</v>
      </c>
      <c r="O43" s="85">
        <v>1</v>
      </c>
      <c r="P43" s="83">
        <v>0.34</v>
      </c>
      <c r="Q43" s="85" t="s">
        <v>37</v>
      </c>
      <c r="R43" s="83">
        <v>1.72</v>
      </c>
      <c r="T43" s="83">
        <f>($I43*T$1+$L43)/3.2808^3</f>
        <v>37.267179110632178</v>
      </c>
      <c r="U43" s="83">
        <f t="shared" ref="U43:AF43" si="23">($I43*U$1+$L43)/3.2808^3</f>
        <v>60.346250997416831</v>
      </c>
      <c r="V43" s="83">
        <f t="shared" si="23"/>
        <v>83.425322884201506</v>
      </c>
      <c r="W43" s="83">
        <f t="shared" si="23"/>
        <v>106.50439477098617</v>
      </c>
      <c r="X43" s="83">
        <f t="shared" si="23"/>
        <v>129.58346665777083</v>
      </c>
      <c r="Y43" s="83">
        <f t="shared" si="23"/>
        <v>152.6625385445555</v>
      </c>
      <c r="Z43" s="83">
        <f t="shared" si="23"/>
        <v>175.74161043134015</v>
      </c>
      <c r="AA43" s="83">
        <f t="shared" si="23"/>
        <v>198.82068231812482</v>
      </c>
      <c r="AB43" s="83">
        <f t="shared" si="23"/>
        <v>221.8997542049095</v>
      </c>
      <c r="AC43" s="83">
        <f t="shared" si="23"/>
        <v>244.97882609169417</v>
      </c>
      <c r="AD43" s="83">
        <f t="shared" si="23"/>
        <v>268.05789797847888</v>
      </c>
      <c r="AE43" s="83">
        <f t="shared" si="23"/>
        <v>291.1369698652635</v>
      </c>
      <c r="AF43" s="83">
        <f t="shared" si="23"/>
        <v>314.21604175204817</v>
      </c>
    </row>
    <row r="44" spans="2:32">
      <c r="B44" s="83">
        <v>225</v>
      </c>
      <c r="C44" s="83" t="s">
        <v>64</v>
      </c>
      <c r="D44" s="85">
        <v>2.25</v>
      </c>
      <c r="E44" s="85" t="s">
        <v>65</v>
      </c>
      <c r="F44" s="85" t="s">
        <v>22</v>
      </c>
      <c r="G44" s="85" t="s">
        <v>66</v>
      </c>
      <c r="H44" s="85" t="s">
        <v>27</v>
      </c>
      <c r="I44" s="85">
        <v>2.91</v>
      </c>
      <c r="J44" s="83" t="s">
        <v>0</v>
      </c>
      <c r="K44" s="85" t="s">
        <v>44</v>
      </c>
      <c r="L44" s="83">
        <v>1473.42</v>
      </c>
      <c r="M44" s="85" t="s">
        <v>29</v>
      </c>
      <c r="O44" s="85">
        <v>1</v>
      </c>
      <c r="P44" s="83">
        <v>0.24</v>
      </c>
      <c r="Q44" s="85" t="s">
        <v>37</v>
      </c>
      <c r="R44" s="83">
        <v>3.3</v>
      </c>
      <c r="T44" s="83">
        <f>($I44*T$1+$L44)/3.2808^3</f>
        <v>41.72413018334511</v>
      </c>
      <c r="U44" s="83">
        <f t="shared" ref="U44:AF44" si="24">($I44*U$1+$L44)/3.2808^3</f>
        <v>45.844381667427527</v>
      </c>
      <c r="V44" s="83">
        <f t="shared" si="24"/>
        <v>49.964633151509943</v>
      </c>
      <c r="W44" s="83">
        <f t="shared" si="24"/>
        <v>54.084884635592353</v>
      </c>
      <c r="X44" s="83">
        <f t="shared" si="24"/>
        <v>58.205136119674769</v>
      </c>
      <c r="Y44" s="83">
        <f t="shared" si="24"/>
        <v>62.325387603757186</v>
      </c>
      <c r="Z44" s="83">
        <f t="shared" si="24"/>
        <v>66.445639087839609</v>
      </c>
      <c r="AA44" s="83">
        <f t="shared" si="24"/>
        <v>70.565890571922026</v>
      </c>
      <c r="AB44" s="83">
        <f t="shared" si="24"/>
        <v>74.686142056004428</v>
      </c>
      <c r="AC44" s="83">
        <f t="shared" si="24"/>
        <v>78.806393540086844</v>
      </c>
      <c r="AD44" s="83">
        <f t="shared" si="24"/>
        <v>82.926645024169261</v>
      </c>
      <c r="AE44" s="83">
        <f t="shared" si="24"/>
        <v>87.046896508251677</v>
      </c>
      <c r="AF44" s="83">
        <f t="shared" si="24"/>
        <v>91.167147992334094</v>
      </c>
    </row>
    <row r="45" spans="2:32">
      <c r="F45" s="85"/>
      <c r="Q45" s="85"/>
    </row>
    <row r="46" spans="2:32">
      <c r="D46" s="85">
        <v>2.2999999999999998</v>
      </c>
      <c r="F46" s="85"/>
      <c r="Q46" s="85"/>
      <c r="S46" s="85">
        <v>15</v>
      </c>
      <c r="T46" s="83">
        <f>SUM(T56:T57)+T51</f>
        <v>4.824800328920702</v>
      </c>
      <c r="U46" s="83">
        <f t="shared" ref="U46:AF46" si="25">SUM(U56:U57)+U51</f>
        <v>89.210408566578906</v>
      </c>
      <c r="V46" s="83">
        <f t="shared" si="25"/>
        <v>137.60727137212203</v>
      </c>
      <c r="W46" s="83">
        <f t="shared" si="25"/>
        <v>185.75239704474322</v>
      </c>
      <c r="X46" s="83">
        <f t="shared" si="25"/>
        <v>233.73657932820169</v>
      </c>
      <c r="Y46" s="83">
        <f t="shared" si="25"/>
        <v>281.60233888131961</v>
      </c>
      <c r="Z46" s="83">
        <f t="shared" si="25"/>
        <v>329.37448041008429</v>
      </c>
      <c r="AA46" s="83">
        <f t="shared" si="25"/>
        <v>377.06927298369584</v>
      </c>
      <c r="AB46" s="83">
        <f t="shared" si="25"/>
        <v>424.69820977294739</v>
      </c>
      <c r="AC46" s="83">
        <f t="shared" si="25"/>
        <v>472.26984012771663</v>
      </c>
      <c r="AD46" s="83">
        <f t="shared" si="25"/>
        <v>519.79077044379005</v>
      </c>
      <c r="AE46" s="83">
        <f t="shared" si="25"/>
        <v>567.26625752978418</v>
      </c>
      <c r="AF46" s="83">
        <f t="shared" si="25"/>
        <v>614.70058278433294</v>
      </c>
    </row>
    <row r="47" spans="2:32">
      <c r="F47" s="85"/>
      <c r="Q47" s="85"/>
      <c r="S47" s="85">
        <v>25</v>
      </c>
      <c r="T47" s="83">
        <f>SUM(T56:T57)+T52</f>
        <v>4.824800328920702</v>
      </c>
      <c r="U47" s="83">
        <f t="shared" ref="U47:AF47" si="26">SUM(U56:U57)+U52</f>
        <v>98.485953193035982</v>
      </c>
      <c r="V47" s="83">
        <f t="shared" si="26"/>
        <v>155.71372367996068</v>
      </c>
      <c r="W47" s="83">
        <f t="shared" si="26"/>
        <v>212.52936692273661</v>
      </c>
      <c r="X47" s="83">
        <f t="shared" si="26"/>
        <v>269.08152438306286</v>
      </c>
      <c r="Y47" s="83">
        <f t="shared" si="26"/>
        <v>325.43980804760292</v>
      </c>
      <c r="Z47" s="83">
        <f t="shared" si="26"/>
        <v>381.644826526624</v>
      </c>
      <c r="AA47" s="83">
        <f t="shared" si="26"/>
        <v>437.72321445513774</v>
      </c>
      <c r="AB47" s="83">
        <f t="shared" si="26"/>
        <v>493.69378768581737</v>
      </c>
      <c r="AC47" s="83">
        <f t="shared" si="26"/>
        <v>549.5705426440752</v>
      </c>
      <c r="AD47" s="83">
        <f t="shared" si="26"/>
        <v>605.36429488047179</v>
      </c>
      <c r="AE47" s="83">
        <f t="shared" si="26"/>
        <v>661.0836504914671</v>
      </c>
      <c r="AF47" s="83">
        <f t="shared" si="26"/>
        <v>716.73561869735056</v>
      </c>
    </row>
    <row r="48" spans="2:32">
      <c r="F48" s="85"/>
      <c r="Q48" s="85"/>
      <c r="S48" s="85">
        <v>35</v>
      </c>
      <c r="T48" s="83">
        <f>SUM(T56:T57)+T53</f>
        <v>4.824800328920702</v>
      </c>
      <c r="U48" s="83">
        <f t="shared" ref="U48:AF48" si="27">SUM(U56:U57)+U53</f>
        <v>107.62882390802963</v>
      </c>
      <c r="V48" s="83">
        <f t="shared" si="27"/>
        <v>173.56118808497001</v>
      </c>
      <c r="W48" s="83">
        <f t="shared" si="27"/>
        <v>238.92332906652985</v>
      </c>
      <c r="X48" s="83">
        <f t="shared" si="27"/>
        <v>303.92090860028713</v>
      </c>
      <c r="Y48" s="83">
        <f t="shared" si="27"/>
        <v>368.65024249655471</v>
      </c>
      <c r="Z48" s="83">
        <f t="shared" si="27"/>
        <v>433.16751721675894</v>
      </c>
      <c r="AA48" s="83">
        <f t="shared" si="27"/>
        <v>497.50958469655836</v>
      </c>
      <c r="AB48" s="83">
        <f t="shared" si="27"/>
        <v>561.70247872961102</v>
      </c>
      <c r="AC48" s="83">
        <f t="shared" si="27"/>
        <v>625.76556490393864</v>
      </c>
      <c r="AD48" s="83">
        <f t="shared" si="27"/>
        <v>689.71380771870395</v>
      </c>
      <c r="AE48" s="83">
        <f t="shared" si="27"/>
        <v>753.5591146512528</v>
      </c>
      <c r="AF48" s="83">
        <f t="shared" si="27"/>
        <v>817.31118372579294</v>
      </c>
    </row>
    <row r="49" spans="2:32">
      <c r="F49" s="85"/>
      <c r="Q49" s="85"/>
      <c r="S49" s="85">
        <v>45</v>
      </c>
      <c r="T49" s="83">
        <f>SUM(T56:T57)+T54</f>
        <v>4.824800328920702</v>
      </c>
      <c r="U49" s="83">
        <f t="shared" ref="U49:AF49" si="28">SUM(U56:U57)+U54</f>
        <v>116.67942508616019</v>
      </c>
      <c r="V49" s="83">
        <f t="shared" si="28"/>
        <v>191.22853649291824</v>
      </c>
      <c r="W49" s="83">
        <f t="shared" si="28"/>
        <v>265.05092425196761</v>
      </c>
      <c r="X49" s="83">
        <f t="shared" si="28"/>
        <v>338.40869495000095</v>
      </c>
      <c r="Y49" s="83">
        <f t="shared" si="28"/>
        <v>411.42459872690915</v>
      </c>
      <c r="Z49" s="83">
        <f t="shared" si="28"/>
        <v>484.17024268414178</v>
      </c>
      <c r="AA49" s="83">
        <f t="shared" si="28"/>
        <v>556.6925929453555</v>
      </c>
      <c r="AB49" s="83">
        <f t="shared" si="28"/>
        <v>629.02482840198172</v>
      </c>
      <c r="AC49" s="83">
        <f t="shared" si="28"/>
        <v>701.19162961924667</v>
      </c>
      <c r="AD49" s="83">
        <f t="shared" si="28"/>
        <v>773.2120681738686</v>
      </c>
      <c r="AE49" s="83">
        <f t="shared" si="28"/>
        <v>845.10131960665819</v>
      </c>
      <c r="AF49" s="83">
        <f t="shared" si="28"/>
        <v>916.87174361042526</v>
      </c>
    </row>
    <row r="50" spans="2:32">
      <c r="B50" s="83">
        <v>231</v>
      </c>
      <c r="C50" s="83" t="s">
        <v>67</v>
      </c>
      <c r="D50" s="85">
        <v>2.31</v>
      </c>
      <c r="E50" s="85">
        <v>806</v>
      </c>
      <c r="F50" s="85" t="s">
        <v>22</v>
      </c>
      <c r="G50" s="85" t="s">
        <v>68</v>
      </c>
      <c r="H50" s="85" t="s">
        <v>27</v>
      </c>
      <c r="I50" s="85">
        <v>0.86419999999999997</v>
      </c>
      <c r="J50" s="83" t="s">
        <v>69</v>
      </c>
      <c r="K50" s="85" t="s">
        <v>24</v>
      </c>
      <c r="L50" s="83">
        <v>0.96499999999999997</v>
      </c>
      <c r="M50" s="85" t="s">
        <v>29</v>
      </c>
      <c r="O50" s="85">
        <v>1</v>
      </c>
      <c r="P50" s="83">
        <v>1.01</v>
      </c>
      <c r="Q50" s="85" t="s">
        <v>37</v>
      </c>
      <c r="R50" s="83">
        <v>0.96</v>
      </c>
      <c r="T50" s="83">
        <f>($I50*(T$6*1000)^$L50)/3.2808^3</f>
        <v>0</v>
      </c>
      <c r="U50" s="83">
        <f t="shared" ref="U50:AF50" si="29">($I50*(U$6*1000)^$L50)/3.2808^3</f>
        <v>46.525077100203575</v>
      </c>
      <c r="V50" s="83">
        <f t="shared" si="29"/>
        <v>90.819905844722726</v>
      </c>
      <c r="W50" s="83">
        <f t="shared" si="29"/>
        <v>134.31023602970086</v>
      </c>
      <c r="X50" s="83">
        <f t="shared" si="29"/>
        <v>177.28622523031126</v>
      </c>
      <c r="Y50" s="83">
        <f t="shared" si="29"/>
        <v>219.88376046638263</v>
      </c>
      <c r="Z50" s="83">
        <f t="shared" si="29"/>
        <v>262.18211232467837</v>
      </c>
      <c r="AA50" s="83">
        <f t="shared" si="29"/>
        <v>304.23327330461467</v>
      </c>
      <c r="AB50" s="83">
        <f t="shared" si="29"/>
        <v>346.0739731458213</v>
      </c>
      <c r="AC50" s="83">
        <f t="shared" si="29"/>
        <v>387.73153375977944</v>
      </c>
      <c r="AD50" s="83">
        <f t="shared" si="29"/>
        <v>429.22706778820185</v>
      </c>
      <c r="AE50" s="83">
        <f t="shared" si="29"/>
        <v>470.57737487805275</v>
      </c>
      <c r="AF50" s="83">
        <f t="shared" si="29"/>
        <v>511.79613747257127</v>
      </c>
    </row>
    <row r="51" spans="2:32">
      <c r="F51" s="85"/>
      <c r="Q51" s="85"/>
      <c r="S51" s="85">
        <v>15</v>
      </c>
      <c r="T51" s="83">
        <f>($I50*($S51*T$1)^$L50)/3.2808^3</f>
        <v>0</v>
      </c>
      <c r="U51" s="83">
        <f t="shared" ref="U51:AF51" si="30">($I50*($S51*U$1)^$L50)/3.2808^3</f>
        <v>14.558247966113305</v>
      </c>
      <c r="V51" s="83">
        <f t="shared" si="30"/>
        <v>28.41862479236493</v>
      </c>
      <c r="W51" s="83">
        <f t="shared" si="30"/>
        <v>42.027264485694587</v>
      </c>
      <c r="X51" s="83">
        <f t="shared" si="30"/>
        <v>55.474960789861555</v>
      </c>
      <c r="Y51" s="83">
        <f t="shared" si="30"/>
        <v>68.804234363687982</v>
      </c>
      <c r="Z51" s="83">
        <f t="shared" si="30"/>
        <v>82.039889913161147</v>
      </c>
      <c r="AA51" s="83">
        <f t="shared" si="30"/>
        <v>95.198196507481228</v>
      </c>
      <c r="AB51" s="83">
        <f t="shared" si="30"/>
        <v>108.29064731744124</v>
      </c>
      <c r="AC51" s="83">
        <f t="shared" si="30"/>
        <v>121.325791692919</v>
      </c>
      <c r="AD51" s="83">
        <f t="shared" si="30"/>
        <v>134.31023602970086</v>
      </c>
      <c r="AE51" s="83">
        <f t="shared" si="30"/>
        <v>147.24923713640345</v>
      </c>
      <c r="AF51" s="83">
        <f t="shared" si="30"/>
        <v>160.14707641166081</v>
      </c>
    </row>
    <row r="52" spans="2:32">
      <c r="F52" s="85"/>
      <c r="Q52" s="85"/>
      <c r="S52" s="85">
        <v>25</v>
      </c>
      <c r="T52" s="83">
        <f>($I50*($S52*T$1)^$L50)/3.2808^3</f>
        <v>0</v>
      </c>
      <c r="U52" s="83">
        <f t="shared" ref="U52:AF52" si="31">($I50*($S52*U$1)^$L50)/3.2808^3</f>
        <v>23.833792592570369</v>
      </c>
      <c r="V52" s="83">
        <f t="shared" si="31"/>
        <v>46.525077100203575</v>
      </c>
      <c r="W52" s="83">
        <f t="shared" si="31"/>
        <v>68.804234363687982</v>
      </c>
      <c r="X52" s="83">
        <f t="shared" si="31"/>
        <v>90.819905844722726</v>
      </c>
      <c r="Y52" s="83">
        <f t="shared" si="31"/>
        <v>112.64170352997129</v>
      </c>
      <c r="Z52" s="83">
        <f t="shared" si="31"/>
        <v>134.31023602970086</v>
      </c>
      <c r="AA52" s="83">
        <f t="shared" si="31"/>
        <v>155.85213797892308</v>
      </c>
      <c r="AB52" s="83">
        <f t="shared" si="31"/>
        <v>177.28622523031126</v>
      </c>
      <c r="AC52" s="83">
        <f t="shared" si="31"/>
        <v>198.62649420927758</v>
      </c>
      <c r="AD52" s="83">
        <f t="shared" si="31"/>
        <v>219.88376046638263</v>
      </c>
      <c r="AE52" s="83">
        <f t="shared" si="31"/>
        <v>241.06663009808636</v>
      </c>
      <c r="AF52" s="83">
        <f t="shared" si="31"/>
        <v>262.18211232467837</v>
      </c>
    </row>
    <row r="53" spans="2:32">
      <c r="F53" s="85"/>
      <c r="Q53" s="85"/>
      <c r="S53" s="85">
        <v>35</v>
      </c>
      <c r="T53" s="83">
        <f>($I50*($S53*T$1)^$L50)/3.2808^3</f>
        <v>0</v>
      </c>
      <c r="U53" s="83">
        <f t="shared" ref="U53:AF53" si="32">($I50*($S53*U$1)^$L50)/3.2808^3</f>
        <v>32.976663307564017</v>
      </c>
      <c r="V53" s="83">
        <f t="shared" si="32"/>
        <v>64.372541505212894</v>
      </c>
      <c r="W53" s="83">
        <f t="shared" si="32"/>
        <v>95.198196507481228</v>
      </c>
      <c r="X53" s="83">
        <f t="shared" si="32"/>
        <v>125.659290061947</v>
      </c>
      <c r="Y53" s="83">
        <f t="shared" si="32"/>
        <v>155.85213797892308</v>
      </c>
      <c r="Z53" s="83">
        <f t="shared" si="32"/>
        <v>185.83292671983583</v>
      </c>
      <c r="AA53" s="83">
        <f t="shared" si="32"/>
        <v>215.63850822034371</v>
      </c>
      <c r="AB53" s="83">
        <f t="shared" si="32"/>
        <v>245.29491627410491</v>
      </c>
      <c r="AC53" s="83">
        <f t="shared" si="32"/>
        <v>274.82151646914093</v>
      </c>
      <c r="AD53" s="83">
        <f t="shared" si="32"/>
        <v>304.23327330461467</v>
      </c>
      <c r="AE53" s="83">
        <f t="shared" si="32"/>
        <v>333.54209425787207</v>
      </c>
      <c r="AF53" s="83">
        <f t="shared" si="32"/>
        <v>362.75767735312081</v>
      </c>
    </row>
    <row r="54" spans="2:32">
      <c r="F54" s="85"/>
      <c r="Q54" s="85"/>
      <c r="S54" s="85">
        <v>45</v>
      </c>
      <c r="T54" s="83">
        <f>($I50*($S54*T$1)^$L50)/3.2808^3</f>
        <v>0</v>
      </c>
      <c r="U54" s="83">
        <f t="shared" ref="U54:AF54" si="33">($I50*($S54*U$1)^$L50)/3.2808^3</f>
        <v>42.027264485694587</v>
      </c>
      <c r="V54" s="83">
        <f t="shared" si="33"/>
        <v>82.039889913161147</v>
      </c>
      <c r="W54" s="83">
        <f t="shared" si="33"/>
        <v>121.325791692919</v>
      </c>
      <c r="X54" s="83">
        <f t="shared" si="33"/>
        <v>160.14707641166081</v>
      </c>
      <c r="Y54" s="83">
        <f t="shared" si="33"/>
        <v>198.62649420927758</v>
      </c>
      <c r="Z54" s="83">
        <f t="shared" si="33"/>
        <v>236.83565218721867</v>
      </c>
      <c r="AA54" s="83">
        <f t="shared" si="33"/>
        <v>274.82151646914093</v>
      </c>
      <c r="AB54" s="83">
        <f t="shared" si="33"/>
        <v>312.61726594647564</v>
      </c>
      <c r="AC54" s="83">
        <f t="shared" si="33"/>
        <v>350.24758118444902</v>
      </c>
      <c r="AD54" s="83">
        <f t="shared" si="33"/>
        <v>387.73153375977944</v>
      </c>
      <c r="AE54" s="83">
        <f t="shared" si="33"/>
        <v>425.08429921327746</v>
      </c>
      <c r="AF54" s="83">
        <f t="shared" si="33"/>
        <v>462.31823723775301</v>
      </c>
    </row>
    <row r="55" spans="2:32">
      <c r="F55" s="85"/>
      <c r="Q55" s="85"/>
      <c r="S55" s="85"/>
    </row>
    <row r="56" spans="2:32">
      <c r="B56" s="83">
        <v>232</v>
      </c>
      <c r="C56" s="83" t="s">
        <v>70</v>
      </c>
      <c r="D56" s="85">
        <v>2.3199999999999998</v>
      </c>
      <c r="E56" s="85" t="s">
        <v>71</v>
      </c>
      <c r="F56" s="85" t="s">
        <v>22</v>
      </c>
      <c r="G56" s="85" t="s">
        <v>72</v>
      </c>
      <c r="H56" s="85" t="s">
        <v>27</v>
      </c>
      <c r="I56" s="85">
        <v>17.22</v>
      </c>
      <c r="J56" s="83" t="s">
        <v>0</v>
      </c>
      <c r="K56" s="85" t="s">
        <v>37</v>
      </c>
      <c r="L56" s="83">
        <v>623.12</v>
      </c>
      <c r="M56" s="85" t="s">
        <v>29</v>
      </c>
      <c r="O56" s="85">
        <v>1</v>
      </c>
      <c r="P56" s="83">
        <v>0.24</v>
      </c>
      <c r="Q56" s="85" t="s">
        <v>37</v>
      </c>
      <c r="R56" s="83">
        <v>1.72</v>
      </c>
      <c r="T56" s="83">
        <f>($I56*T$1-$L56)/3.2808^3</f>
        <v>-17.645437146126699</v>
      </c>
      <c r="U56" s="83">
        <f t="shared" ref="U56:AF56" si="34">($I56*U$1+$L56)/3.2808^3</f>
        <v>42.02713149523295</v>
      </c>
      <c r="V56" s="83">
        <f t="shared" si="34"/>
        <v>66.408825844339205</v>
      </c>
      <c r="W56" s="83">
        <f t="shared" si="34"/>
        <v>90.79052019344546</v>
      </c>
      <c r="X56" s="83">
        <f t="shared" si="34"/>
        <v>115.17221454255171</v>
      </c>
      <c r="Y56" s="83">
        <f t="shared" si="34"/>
        <v>139.55390889165795</v>
      </c>
      <c r="Z56" s="83">
        <f t="shared" si="34"/>
        <v>163.93560324076421</v>
      </c>
      <c r="AA56" s="83">
        <f t="shared" si="34"/>
        <v>188.31729758987046</v>
      </c>
      <c r="AB56" s="83">
        <f t="shared" si="34"/>
        <v>212.69899193897672</v>
      </c>
      <c r="AC56" s="83">
        <f t="shared" si="34"/>
        <v>237.08068628808294</v>
      </c>
      <c r="AD56" s="83">
        <f t="shared" si="34"/>
        <v>261.46238063718926</v>
      </c>
      <c r="AE56" s="83">
        <f t="shared" si="34"/>
        <v>285.84407498629554</v>
      </c>
      <c r="AF56" s="83">
        <f t="shared" si="34"/>
        <v>310.22576933540176</v>
      </c>
    </row>
    <row r="57" spans="2:32">
      <c r="B57" s="83">
        <v>233</v>
      </c>
      <c r="C57" s="83" t="s">
        <v>73</v>
      </c>
      <c r="D57" s="85">
        <v>2.33</v>
      </c>
      <c r="E57" s="85">
        <v>812</v>
      </c>
      <c r="F57" s="85" t="s">
        <v>22</v>
      </c>
      <c r="G57" s="85" t="s">
        <v>74</v>
      </c>
      <c r="H57" s="85" t="s">
        <v>27</v>
      </c>
      <c r="I57" s="85">
        <v>7.1719999999999997</v>
      </c>
      <c r="J57" s="83" t="s">
        <v>0</v>
      </c>
      <c r="K57" s="85" t="s">
        <v>44</v>
      </c>
      <c r="L57" s="95">
        <v>793.5</v>
      </c>
      <c r="M57" s="85" t="s">
        <v>29</v>
      </c>
      <c r="O57" s="85">
        <v>1</v>
      </c>
      <c r="P57" s="95">
        <v>0.6</v>
      </c>
      <c r="Q57" s="85" t="s">
        <v>37</v>
      </c>
      <c r="R57" s="83">
        <v>2.83</v>
      </c>
      <c r="T57" s="83">
        <f>($I57*T$1+$L57)/3.2808^3</f>
        <v>22.470237475047401</v>
      </c>
      <c r="U57" s="83">
        <f t="shared" ref="U57:AF57" si="35">($I57*U$1+$L57)/3.2808^3</f>
        <v>32.625029105232649</v>
      </c>
      <c r="V57" s="83">
        <f t="shared" si="35"/>
        <v>42.7798207354179</v>
      </c>
      <c r="W57" s="83">
        <f t="shared" si="35"/>
        <v>52.934612365603158</v>
      </c>
      <c r="X57" s="83">
        <f t="shared" si="35"/>
        <v>63.089403995788402</v>
      </c>
      <c r="Y57" s="83">
        <f t="shared" si="35"/>
        <v>73.24419562597366</v>
      </c>
      <c r="Z57" s="83">
        <f t="shared" si="35"/>
        <v>83.398987256158918</v>
      </c>
      <c r="AA57" s="83">
        <f t="shared" si="35"/>
        <v>93.553778886344162</v>
      </c>
      <c r="AB57" s="83">
        <f t="shared" si="35"/>
        <v>103.70857051652942</v>
      </c>
      <c r="AC57" s="83">
        <f t="shared" si="35"/>
        <v>113.86336214671468</v>
      </c>
      <c r="AD57" s="83">
        <f t="shared" si="35"/>
        <v>124.01815377689994</v>
      </c>
      <c r="AE57" s="83">
        <f t="shared" si="35"/>
        <v>134.17294540708519</v>
      </c>
      <c r="AF57" s="83">
        <f t="shared" si="35"/>
        <v>144.32773703727042</v>
      </c>
    </row>
    <row r="58" spans="2:32">
      <c r="F58" s="85"/>
      <c r="L58" s="95"/>
      <c r="P58" s="95"/>
      <c r="Q58" s="85"/>
    </row>
    <row r="59" spans="2:32">
      <c r="B59" s="83">
        <v>311</v>
      </c>
      <c r="C59" s="83" t="s">
        <v>75</v>
      </c>
      <c r="D59" s="85">
        <v>3.11</v>
      </c>
      <c r="E59" s="85" t="s">
        <v>76</v>
      </c>
      <c r="F59" s="85" t="s">
        <v>22</v>
      </c>
      <c r="G59" s="85" t="s">
        <v>77</v>
      </c>
      <c r="H59" s="85" t="s">
        <v>27</v>
      </c>
      <c r="I59" s="85">
        <v>7.4900000000000001E-3</v>
      </c>
      <c r="J59" s="83" t="s">
        <v>6</v>
      </c>
      <c r="K59" s="85" t="s">
        <v>24</v>
      </c>
      <c r="L59" s="83">
        <v>2.258</v>
      </c>
      <c r="M59" s="85" t="s">
        <v>29</v>
      </c>
      <c r="O59" s="85">
        <v>1</v>
      </c>
      <c r="P59" s="83">
        <v>0.66</v>
      </c>
      <c r="Q59" s="85" t="s">
        <v>37</v>
      </c>
      <c r="R59" s="83">
        <v>1.03</v>
      </c>
    </row>
    <row r="60" spans="2:32">
      <c r="B60" s="83">
        <v>312</v>
      </c>
      <c r="C60" s="83" t="s">
        <v>78</v>
      </c>
      <c r="D60" s="85">
        <v>3.13</v>
      </c>
      <c r="F60" s="85" t="s">
        <v>22</v>
      </c>
      <c r="H60" s="85" t="s">
        <v>27</v>
      </c>
      <c r="I60" s="85">
        <v>0.41699999999999998</v>
      </c>
      <c r="J60" s="83" t="s">
        <v>79</v>
      </c>
      <c r="K60" s="85" t="s">
        <v>44</v>
      </c>
      <c r="L60" s="83">
        <v>1062.74</v>
      </c>
      <c r="M60" s="85" t="s">
        <v>29</v>
      </c>
      <c r="O60" s="85">
        <v>1</v>
      </c>
      <c r="P60" s="83">
        <v>0.77</v>
      </c>
      <c r="Q60" s="85" t="s">
        <v>37</v>
      </c>
      <c r="R60" s="83">
        <v>2.69</v>
      </c>
    </row>
    <row r="61" spans="2:32">
      <c r="B61" s="83">
        <v>313</v>
      </c>
      <c r="C61" s="83" t="s">
        <v>80</v>
      </c>
      <c r="D61" s="85">
        <v>3.14</v>
      </c>
      <c r="E61" s="85" t="s">
        <v>81</v>
      </c>
      <c r="F61" s="85" t="s">
        <v>22</v>
      </c>
      <c r="G61" s="85" t="s">
        <v>82</v>
      </c>
      <c r="H61" s="85" t="s">
        <v>27</v>
      </c>
      <c r="I61" s="85">
        <v>0.88890000000000002</v>
      </c>
      <c r="J61" s="83" t="s">
        <v>79</v>
      </c>
      <c r="K61" s="85" t="s">
        <v>44</v>
      </c>
      <c r="L61" s="83">
        <v>541.67999999999995</v>
      </c>
      <c r="M61" s="85" t="s">
        <v>29</v>
      </c>
      <c r="O61" s="85">
        <v>1</v>
      </c>
      <c r="P61" s="83">
        <v>0.75</v>
      </c>
      <c r="Q61" s="85" t="s">
        <v>37</v>
      </c>
      <c r="R61" s="83">
        <v>1.65</v>
      </c>
    </row>
    <row r="62" spans="2:32">
      <c r="B62" s="83">
        <v>321</v>
      </c>
      <c r="C62" s="83" t="s">
        <v>83</v>
      </c>
      <c r="D62" s="149" t="s">
        <v>84</v>
      </c>
      <c r="E62" s="149" t="s">
        <v>85</v>
      </c>
      <c r="F62" s="85" t="s">
        <v>22</v>
      </c>
      <c r="H62" s="85" t="s">
        <v>27</v>
      </c>
      <c r="J62" s="83" t="s">
        <v>86</v>
      </c>
      <c r="K62" s="85" t="s">
        <v>44</v>
      </c>
      <c r="L62" s="83">
        <v>30851</v>
      </c>
      <c r="M62" s="85" t="s">
        <v>29</v>
      </c>
      <c r="N62" s="83" t="s">
        <v>87</v>
      </c>
      <c r="O62" s="85">
        <v>1</v>
      </c>
      <c r="P62" s="83">
        <v>0.85</v>
      </c>
      <c r="Q62" s="85" t="s">
        <v>37</v>
      </c>
      <c r="R62" s="83">
        <v>1.33</v>
      </c>
    </row>
    <row r="63" spans="2:32">
      <c r="B63" s="83">
        <v>321</v>
      </c>
      <c r="D63" s="149"/>
      <c r="E63" s="149"/>
      <c r="F63" s="85" t="s">
        <v>22</v>
      </c>
      <c r="H63" s="85" t="s">
        <v>27</v>
      </c>
      <c r="I63" s="85">
        <v>0.26850000000000002</v>
      </c>
      <c r="J63" s="83" t="s">
        <v>88</v>
      </c>
      <c r="K63" s="85" t="s">
        <v>24</v>
      </c>
      <c r="L63" s="83">
        <v>1.2250000000000001</v>
      </c>
      <c r="M63" s="85" t="s">
        <v>29</v>
      </c>
      <c r="N63" s="83" t="s">
        <v>89</v>
      </c>
      <c r="Q63" s="85"/>
    </row>
    <row r="64" spans="2:32">
      <c r="B64" s="83">
        <v>321</v>
      </c>
      <c r="D64" s="149"/>
      <c r="E64" s="149"/>
      <c r="F64" s="85" t="s">
        <v>22</v>
      </c>
      <c r="H64" s="85" t="s">
        <v>27</v>
      </c>
      <c r="I64" s="85">
        <v>0.83460000000000001</v>
      </c>
      <c r="J64" s="83" t="s">
        <v>90</v>
      </c>
      <c r="K64" s="85" t="s">
        <v>24</v>
      </c>
      <c r="L64" s="83">
        <v>1.0840000000000001</v>
      </c>
      <c r="M64" s="85" t="s">
        <v>29</v>
      </c>
      <c r="N64" s="83" t="s">
        <v>91</v>
      </c>
      <c r="Q64" s="85"/>
    </row>
    <row r="65" spans="2:20">
      <c r="B65" s="83">
        <v>321</v>
      </c>
      <c r="D65" s="149"/>
      <c r="E65" s="149"/>
      <c r="F65" s="85" t="s">
        <v>22</v>
      </c>
      <c r="H65" s="85" t="s">
        <v>27</v>
      </c>
      <c r="I65" s="85">
        <v>893.21</v>
      </c>
      <c r="J65" s="83" t="s">
        <v>9</v>
      </c>
      <c r="K65" s="85" t="s">
        <v>24</v>
      </c>
      <c r="L65" s="83">
        <v>0.4955</v>
      </c>
      <c r="M65" s="85" t="s">
        <v>29</v>
      </c>
      <c r="N65" s="83" t="s">
        <v>92</v>
      </c>
      <c r="Q65" s="85"/>
    </row>
    <row r="66" spans="2:20" s="84" customFormat="1">
      <c r="B66" s="84">
        <v>322</v>
      </c>
      <c r="C66" s="84" t="s">
        <v>93</v>
      </c>
      <c r="D66" s="103">
        <v>3.26</v>
      </c>
      <c r="E66" s="103">
        <v>205</v>
      </c>
      <c r="F66" s="103" t="s">
        <v>22</v>
      </c>
      <c r="G66" s="103"/>
      <c r="H66" s="103" t="s">
        <v>27</v>
      </c>
      <c r="I66" s="103">
        <v>0.45469999999999999</v>
      </c>
      <c r="J66" s="83" t="s">
        <v>9</v>
      </c>
      <c r="K66" s="103" t="s">
        <v>24</v>
      </c>
      <c r="L66" s="84">
        <v>0.91339999999999999</v>
      </c>
      <c r="M66" s="103" t="s">
        <v>29</v>
      </c>
      <c r="N66" s="84" t="s">
        <v>87</v>
      </c>
      <c r="O66" s="103">
        <v>1</v>
      </c>
      <c r="P66" s="84">
        <v>0.98</v>
      </c>
      <c r="Q66" s="103" t="s">
        <v>37</v>
      </c>
      <c r="R66" s="84">
        <v>1.73</v>
      </c>
      <c r="T66" s="111"/>
    </row>
    <row r="67" spans="2:20" s="84" customFormat="1">
      <c r="D67" s="103"/>
      <c r="E67" s="103"/>
      <c r="F67" s="103"/>
      <c r="G67" s="103"/>
      <c r="H67" s="103" t="s">
        <v>27</v>
      </c>
      <c r="I67" s="103"/>
      <c r="J67" s="114" t="s">
        <v>94</v>
      </c>
      <c r="K67" s="103" t="s">
        <v>37</v>
      </c>
      <c r="L67" s="84">
        <v>0.13900000000000001</v>
      </c>
      <c r="M67" s="103" t="s">
        <v>29</v>
      </c>
      <c r="O67" s="103"/>
      <c r="Q67" s="103"/>
      <c r="T67" s="111"/>
    </row>
    <row r="68" spans="2:20" s="84" customFormat="1">
      <c r="B68" s="84">
        <v>322</v>
      </c>
      <c r="D68" s="103"/>
      <c r="E68" s="103"/>
      <c r="F68" s="103" t="s">
        <v>22</v>
      </c>
      <c r="G68" s="103"/>
      <c r="H68" s="103"/>
      <c r="I68" s="103">
        <v>2000</v>
      </c>
      <c r="K68" s="103"/>
      <c r="M68" s="103" t="s">
        <v>29</v>
      </c>
      <c r="N68" s="84" t="s">
        <v>89</v>
      </c>
      <c r="O68" s="103"/>
      <c r="Q68" s="103"/>
      <c r="T68" s="111"/>
    </row>
    <row r="69" spans="2:20" s="84" customFormat="1">
      <c r="B69" s="84">
        <v>322</v>
      </c>
      <c r="D69" s="103"/>
      <c r="E69" s="103"/>
      <c r="F69" s="103" t="s">
        <v>22</v>
      </c>
      <c r="G69" s="103"/>
      <c r="H69" s="103" t="s">
        <v>27</v>
      </c>
      <c r="I69" s="103">
        <v>8.32</v>
      </c>
      <c r="J69" s="84" t="s">
        <v>9</v>
      </c>
      <c r="K69" s="103" t="s">
        <v>24</v>
      </c>
      <c r="L69" s="84">
        <v>0.66669999999999996</v>
      </c>
      <c r="M69" s="103" t="s">
        <v>29</v>
      </c>
      <c r="N69" s="84" t="s">
        <v>92</v>
      </c>
      <c r="O69" s="103"/>
      <c r="Q69" s="103"/>
      <c r="T69" s="111"/>
    </row>
    <row r="70" spans="2:20" s="84" customFormat="1">
      <c r="D70" s="103"/>
      <c r="E70" s="103"/>
      <c r="F70" s="103"/>
      <c r="G70" s="103"/>
      <c r="H70" s="103" t="s">
        <v>27</v>
      </c>
      <c r="I70" s="103"/>
      <c r="J70" s="115" t="s">
        <v>95</v>
      </c>
      <c r="K70" s="103" t="s">
        <v>44</v>
      </c>
      <c r="L70" s="84">
        <v>1.0942000000000001</v>
      </c>
      <c r="M70" s="103" t="s">
        <v>29</v>
      </c>
      <c r="O70" s="103"/>
      <c r="Q70" s="103"/>
      <c r="T70" s="111"/>
    </row>
    <row r="71" spans="2:20" s="84" customFormat="1">
      <c r="B71" s="84">
        <v>322</v>
      </c>
      <c r="D71" s="103"/>
      <c r="E71" s="103"/>
      <c r="F71" s="103" t="s">
        <v>22</v>
      </c>
      <c r="G71" s="103"/>
      <c r="H71" s="103" t="s">
        <v>27</v>
      </c>
      <c r="I71" s="103">
        <v>9.5099999999999994E-3</v>
      </c>
      <c r="J71" s="84" t="s">
        <v>90</v>
      </c>
      <c r="K71" s="103"/>
      <c r="M71" s="103" t="s">
        <v>29</v>
      </c>
      <c r="N71" s="84" t="s">
        <v>96</v>
      </c>
      <c r="O71" s="103"/>
      <c r="Q71" s="103"/>
      <c r="T71" s="111"/>
    </row>
    <row r="72" spans="2:20" s="84" customFormat="1">
      <c r="D72" s="103"/>
      <c r="E72" s="103"/>
      <c r="F72" s="103"/>
      <c r="G72" s="103"/>
      <c r="H72" s="103" t="s">
        <v>27</v>
      </c>
      <c r="I72" s="103"/>
      <c r="J72" s="84" t="s">
        <v>97</v>
      </c>
      <c r="K72" s="103" t="s">
        <v>37</v>
      </c>
      <c r="L72" s="84">
        <v>1.3495999999999999</v>
      </c>
      <c r="M72" s="103" t="s">
        <v>29</v>
      </c>
      <c r="O72" s="103"/>
      <c r="Q72" s="103"/>
      <c r="T72" s="111"/>
    </row>
    <row r="73" spans="2:20">
      <c r="B73" s="83">
        <v>323</v>
      </c>
      <c r="C73" s="83" t="s">
        <v>98</v>
      </c>
      <c r="D73" s="85">
        <v>3.28</v>
      </c>
      <c r="E73" s="85">
        <v>203</v>
      </c>
      <c r="F73" s="85" t="s">
        <v>22</v>
      </c>
      <c r="I73" s="85">
        <v>0</v>
      </c>
      <c r="K73" s="104"/>
      <c r="L73" s="105"/>
      <c r="N73" s="83" t="s">
        <v>99</v>
      </c>
      <c r="O73" s="85">
        <v>1</v>
      </c>
      <c r="P73" s="83">
        <v>1.19</v>
      </c>
      <c r="Q73" s="85" t="s">
        <v>37</v>
      </c>
      <c r="R73" s="83">
        <v>0.62</v>
      </c>
      <c r="T73" s="112"/>
    </row>
    <row r="74" spans="2:20">
      <c r="B74" s="83">
        <v>323</v>
      </c>
      <c r="F74" s="85" t="s">
        <v>22</v>
      </c>
      <c r="H74" s="85" t="s">
        <v>27</v>
      </c>
      <c r="I74" s="85">
        <v>15.9</v>
      </c>
      <c r="J74" s="83" t="s">
        <v>6</v>
      </c>
      <c r="K74" s="104" t="s">
        <v>37</v>
      </c>
      <c r="L74" s="105">
        <v>3688.67</v>
      </c>
      <c r="M74" s="85" t="s">
        <v>29</v>
      </c>
      <c r="N74" s="83" t="s">
        <v>100</v>
      </c>
      <c r="Q74" s="85"/>
      <c r="T74" s="112"/>
    </row>
    <row r="75" spans="2:20">
      <c r="B75" s="83">
        <v>323</v>
      </c>
      <c r="F75" s="85" t="s">
        <v>22</v>
      </c>
      <c r="H75" s="85" t="s">
        <v>27</v>
      </c>
      <c r="I75" s="85">
        <v>2.0999999999999999E-5</v>
      </c>
      <c r="J75" s="83" t="s">
        <v>6</v>
      </c>
      <c r="K75" s="104" t="s">
        <v>24</v>
      </c>
      <c r="L75" s="105">
        <v>3.0339999999999998</v>
      </c>
      <c r="M75" s="85" t="s">
        <v>29</v>
      </c>
      <c r="N75" s="83" t="s">
        <v>101</v>
      </c>
      <c r="Q75" s="85"/>
      <c r="T75" s="112"/>
    </row>
    <row r="76" spans="2:20">
      <c r="B76" s="83">
        <v>324</v>
      </c>
      <c r="C76" s="83" t="s">
        <v>102</v>
      </c>
      <c r="D76" s="85">
        <v>3.3109999999999999</v>
      </c>
      <c r="E76" s="85" t="s">
        <v>103</v>
      </c>
      <c r="F76" s="85" t="s">
        <v>22</v>
      </c>
      <c r="H76" s="85" t="s">
        <v>27</v>
      </c>
      <c r="I76" s="85">
        <v>1.83E-2</v>
      </c>
      <c r="J76" s="83" t="s">
        <v>104</v>
      </c>
      <c r="K76" s="85" t="s">
        <v>44</v>
      </c>
      <c r="L76" s="83">
        <v>2248.6999999999998</v>
      </c>
      <c r="M76" s="85" t="s">
        <v>29</v>
      </c>
      <c r="T76" s="113"/>
    </row>
    <row r="77" spans="2:20">
      <c r="B77" s="83">
        <v>325</v>
      </c>
      <c r="C77" s="83" t="s">
        <v>105</v>
      </c>
      <c r="D77" s="85">
        <v>3.3130000000000002</v>
      </c>
      <c r="E77" s="85" t="s">
        <v>106</v>
      </c>
      <c r="F77" s="85" t="s">
        <v>22</v>
      </c>
      <c r="G77" s="85" t="s">
        <v>107</v>
      </c>
      <c r="H77" s="85" t="s">
        <v>27</v>
      </c>
      <c r="I77" s="85">
        <v>2.0920000000000001</v>
      </c>
      <c r="J77" s="83" t="s">
        <v>79</v>
      </c>
      <c r="K77" s="85" t="s">
        <v>37</v>
      </c>
      <c r="L77" s="83">
        <v>1516.62</v>
      </c>
      <c r="M77" s="85" t="s">
        <v>29</v>
      </c>
    </row>
    <row r="78" spans="2:20">
      <c r="B78" s="83">
        <v>331</v>
      </c>
      <c r="C78" s="83" t="s">
        <v>108</v>
      </c>
      <c r="D78" s="85" t="s">
        <v>109</v>
      </c>
      <c r="E78" s="85" t="s">
        <v>110</v>
      </c>
      <c r="F78" s="85" t="s">
        <v>22</v>
      </c>
      <c r="H78" s="85" t="s">
        <v>27</v>
      </c>
      <c r="I78" s="85">
        <v>0.64129999999999998</v>
      </c>
      <c r="J78" s="83" t="s">
        <v>6</v>
      </c>
      <c r="K78" s="85" t="s">
        <v>24</v>
      </c>
      <c r="L78" s="83">
        <v>1.4319999999999999</v>
      </c>
      <c r="M78" s="85" t="s">
        <v>29</v>
      </c>
    </row>
    <row r="79" spans="2:20">
      <c r="B79" s="83">
        <v>341</v>
      </c>
      <c r="C79" s="83" t="s">
        <v>111</v>
      </c>
      <c r="D79" s="85">
        <v>3.41</v>
      </c>
      <c r="E79" s="85" t="s">
        <v>112</v>
      </c>
      <c r="F79" s="85" t="s">
        <v>22</v>
      </c>
      <c r="G79" s="85" t="s">
        <v>113</v>
      </c>
      <c r="H79" s="85" t="s">
        <v>27</v>
      </c>
      <c r="I79" s="85">
        <v>0.80359999999999998</v>
      </c>
      <c r="J79" s="83" t="s">
        <v>7</v>
      </c>
      <c r="K79" s="85" t="s">
        <v>37</v>
      </c>
      <c r="L79" s="83">
        <v>200.37</v>
      </c>
      <c r="M79" s="85" t="s">
        <v>29</v>
      </c>
    </row>
    <row r="80" spans="2:20">
      <c r="B80" s="83">
        <v>342</v>
      </c>
      <c r="C80" s="83" t="s">
        <v>114</v>
      </c>
      <c r="D80" s="85">
        <v>3.42</v>
      </c>
      <c r="E80" s="85" t="s">
        <v>112</v>
      </c>
      <c r="F80" s="85" t="s">
        <v>22</v>
      </c>
      <c r="G80" s="85" t="s">
        <v>115</v>
      </c>
      <c r="H80" s="85" t="s">
        <v>27</v>
      </c>
      <c r="I80" s="85">
        <v>0.1943</v>
      </c>
      <c r="J80" s="83" t="s">
        <v>7</v>
      </c>
      <c r="K80" s="85" t="s">
        <v>44</v>
      </c>
      <c r="L80" s="83">
        <f>331.42</f>
        <v>331.42</v>
      </c>
      <c r="M80" s="85" t="s">
        <v>29</v>
      </c>
    </row>
    <row r="81" spans="2:28">
      <c r="B81" s="83">
        <v>343</v>
      </c>
      <c r="C81" s="83" t="s">
        <v>116</v>
      </c>
      <c r="D81" s="85">
        <v>3.43</v>
      </c>
      <c r="E81" s="85" t="s">
        <v>117</v>
      </c>
      <c r="F81" s="85" t="s">
        <v>22</v>
      </c>
      <c r="G81" s="85" t="s">
        <v>118</v>
      </c>
      <c r="H81" s="85" t="s">
        <v>27</v>
      </c>
      <c r="I81" s="85">
        <v>2.9100000000000001E-2</v>
      </c>
      <c r="J81" s="83" t="s">
        <v>7</v>
      </c>
      <c r="K81" s="85" t="s">
        <v>24</v>
      </c>
      <c r="L81" s="83">
        <v>1.284</v>
      </c>
      <c r="M81" s="85" t="s">
        <v>29</v>
      </c>
    </row>
    <row r="82" spans="2:28">
      <c r="B82" s="147">
        <v>351</v>
      </c>
      <c r="C82" s="148" t="s">
        <v>119</v>
      </c>
      <c r="D82" s="147">
        <v>3.5110000000000001</v>
      </c>
      <c r="E82" s="147">
        <v>813</v>
      </c>
      <c r="F82" s="147" t="s">
        <v>22</v>
      </c>
      <c r="G82" s="83"/>
      <c r="H82" s="85" t="s">
        <v>27</v>
      </c>
      <c r="I82" s="85">
        <v>105.85</v>
      </c>
      <c r="J82" s="84" t="s">
        <v>120</v>
      </c>
      <c r="K82" s="85" t="s">
        <v>24</v>
      </c>
      <c r="L82" s="83">
        <v>0.85319999999999996</v>
      </c>
      <c r="M82" s="85" t="s">
        <v>29</v>
      </c>
      <c r="N82" s="83" t="s">
        <v>121</v>
      </c>
      <c r="O82" s="106"/>
      <c r="P82" s="106"/>
      <c r="Q82" s="106"/>
      <c r="R82" s="106"/>
    </row>
    <row r="83" spans="2:28">
      <c r="B83" s="147"/>
      <c r="C83" s="148"/>
      <c r="D83" s="147"/>
      <c r="E83" s="147"/>
      <c r="F83" s="147" t="s">
        <v>22</v>
      </c>
      <c r="G83" s="83"/>
      <c r="I83" s="85">
        <v>0</v>
      </c>
      <c r="J83" s="107"/>
      <c r="M83" s="92"/>
      <c r="N83" s="83" t="s">
        <v>122</v>
      </c>
      <c r="O83" s="106"/>
      <c r="P83" s="106"/>
      <c r="Q83" s="106"/>
      <c r="R83" s="106"/>
    </row>
    <row r="84" spans="2:28">
      <c r="B84" s="83">
        <v>352</v>
      </c>
      <c r="C84" s="83" t="s">
        <v>123</v>
      </c>
      <c r="D84" s="85">
        <v>3.512</v>
      </c>
      <c r="E84" s="85">
        <v>813</v>
      </c>
      <c r="F84" s="85" t="s">
        <v>22</v>
      </c>
      <c r="H84" s="85" t="s">
        <v>27</v>
      </c>
      <c r="I84" s="92">
        <v>0.53239999999999998</v>
      </c>
      <c r="J84" s="108" t="s">
        <v>124</v>
      </c>
      <c r="K84" s="92" t="s">
        <v>24</v>
      </c>
      <c r="L84" s="93">
        <v>1.9287000000000001</v>
      </c>
      <c r="M84" s="92" t="s">
        <v>29</v>
      </c>
      <c r="N84" s="94"/>
    </row>
    <row r="85" spans="2:28">
      <c r="B85" s="83">
        <v>353</v>
      </c>
      <c r="C85" s="83" t="s">
        <v>125</v>
      </c>
      <c r="D85" s="85">
        <v>3.5129999999999999</v>
      </c>
      <c r="E85" s="85">
        <v>814</v>
      </c>
      <c r="F85" s="85" t="s">
        <v>22</v>
      </c>
      <c r="H85" s="85" t="s">
        <v>27</v>
      </c>
      <c r="I85" s="92">
        <v>39</v>
      </c>
      <c r="J85" s="93" t="s">
        <v>126</v>
      </c>
      <c r="K85" s="92"/>
      <c r="L85" s="93"/>
      <c r="M85" s="92" t="s">
        <v>29</v>
      </c>
      <c r="N85" s="94"/>
    </row>
    <row r="86" spans="2:28">
      <c r="B86" s="83">
        <v>354</v>
      </c>
      <c r="C86" s="83" t="s">
        <v>127</v>
      </c>
      <c r="D86" s="85">
        <v>3.5110000000000001</v>
      </c>
      <c r="E86" s="85">
        <v>817</v>
      </c>
      <c r="F86" s="85" t="s">
        <v>22</v>
      </c>
      <c r="H86" s="85" t="s">
        <v>27</v>
      </c>
      <c r="I86" s="92">
        <v>27.93</v>
      </c>
      <c r="J86" s="93" t="s">
        <v>128</v>
      </c>
      <c r="K86" s="92" t="s">
        <v>24</v>
      </c>
      <c r="L86" s="93">
        <v>1.0798000000000001</v>
      </c>
      <c r="M86" s="92" t="s">
        <v>29</v>
      </c>
      <c r="N86" s="94"/>
    </row>
    <row r="87" spans="2:28">
      <c r="B87" s="83">
        <v>355</v>
      </c>
      <c r="C87" s="83" t="s">
        <v>129</v>
      </c>
      <c r="D87" s="85">
        <v>3.5139999999999998</v>
      </c>
      <c r="E87" s="85" t="s">
        <v>130</v>
      </c>
      <c r="F87" s="85" t="s">
        <v>22</v>
      </c>
      <c r="H87" s="85" t="s">
        <v>27</v>
      </c>
      <c r="I87" s="92">
        <v>40</v>
      </c>
      <c r="J87" s="93" t="s">
        <v>131</v>
      </c>
      <c r="K87" s="92"/>
      <c r="L87" s="93"/>
      <c r="M87" s="92" t="s">
        <v>29</v>
      </c>
      <c r="N87" s="94"/>
    </row>
    <row r="88" spans="2:28">
      <c r="B88" s="83">
        <v>356</v>
      </c>
      <c r="C88" s="83" t="s">
        <v>132</v>
      </c>
      <c r="D88" s="85">
        <v>3.52</v>
      </c>
      <c r="E88" s="85" t="s">
        <v>133</v>
      </c>
      <c r="F88" s="85" t="s">
        <v>22</v>
      </c>
      <c r="H88" s="85" t="s">
        <v>27</v>
      </c>
      <c r="I88" s="92">
        <v>0.5353</v>
      </c>
      <c r="J88" s="93" t="s">
        <v>134</v>
      </c>
      <c r="K88" s="92" t="s">
        <v>44</v>
      </c>
      <c r="L88" s="93">
        <v>4422.87</v>
      </c>
      <c r="M88" s="92" t="s">
        <v>29</v>
      </c>
      <c r="N88" s="94"/>
    </row>
    <row r="89" spans="2:28">
      <c r="B89" s="83">
        <v>361</v>
      </c>
      <c r="C89" s="83" t="s">
        <v>135</v>
      </c>
      <c r="D89" s="85">
        <v>3.61</v>
      </c>
      <c r="E89" s="85">
        <v>822</v>
      </c>
      <c r="F89" s="85" t="s">
        <v>22</v>
      </c>
      <c r="H89" s="85" t="s">
        <v>27</v>
      </c>
      <c r="I89" s="92">
        <v>40</v>
      </c>
      <c r="J89" s="93" t="s">
        <v>136</v>
      </c>
      <c r="K89" s="92"/>
      <c r="L89" s="93"/>
      <c r="M89" s="92" t="s">
        <v>29</v>
      </c>
      <c r="N89" s="94"/>
    </row>
    <row r="90" spans="2:28">
      <c r="B90" s="83">
        <v>362</v>
      </c>
      <c r="C90" s="83" t="s">
        <v>137</v>
      </c>
      <c r="D90" s="85">
        <v>3.62</v>
      </c>
      <c r="F90" s="85" t="s">
        <v>22</v>
      </c>
      <c r="H90" s="85" t="s">
        <v>27</v>
      </c>
      <c r="I90" s="92">
        <v>0.45</v>
      </c>
      <c r="J90" s="93" t="s">
        <v>138</v>
      </c>
      <c r="K90" s="92" t="s">
        <v>37</v>
      </c>
      <c r="L90" s="93">
        <v>145.9</v>
      </c>
      <c r="M90" s="92" t="s">
        <v>29</v>
      </c>
      <c r="N90" s="94"/>
    </row>
    <row r="91" spans="2:28">
      <c r="B91" s="83">
        <v>363</v>
      </c>
      <c r="C91" s="83" t="s">
        <v>139</v>
      </c>
      <c r="D91" s="85">
        <v>3.64</v>
      </c>
      <c r="F91" s="85" t="s">
        <v>22</v>
      </c>
      <c r="H91" s="92" t="s">
        <v>27</v>
      </c>
      <c r="I91" s="92">
        <v>2.3799999999999999E-5</v>
      </c>
      <c r="J91" s="93" t="s">
        <v>79</v>
      </c>
      <c r="K91" s="92" t="s">
        <v>24</v>
      </c>
      <c r="L91" s="93">
        <v>2.3140000000000001</v>
      </c>
      <c r="M91" s="92" t="s">
        <v>29</v>
      </c>
      <c r="N91" s="94"/>
    </row>
    <row r="92" spans="2:28">
      <c r="B92" s="147">
        <v>370</v>
      </c>
      <c r="C92" s="148" t="s">
        <v>140</v>
      </c>
      <c r="D92" s="150">
        <v>3.7</v>
      </c>
      <c r="E92" s="147" t="s">
        <v>141</v>
      </c>
      <c r="F92" s="147" t="s">
        <v>22</v>
      </c>
      <c r="G92" s="147" t="s">
        <v>142</v>
      </c>
      <c r="H92" s="85" t="s">
        <v>27</v>
      </c>
      <c r="I92" s="109">
        <v>0.13</v>
      </c>
      <c r="J92" s="110" t="s">
        <v>143</v>
      </c>
      <c r="K92" s="147" t="s">
        <v>24</v>
      </c>
      <c r="L92" s="83">
        <v>0.92330000000000001</v>
      </c>
      <c r="N92" s="83" t="s">
        <v>144</v>
      </c>
      <c r="O92" s="147">
        <v>1</v>
      </c>
      <c r="P92" s="147">
        <v>0.84</v>
      </c>
      <c r="Q92" s="147" t="s">
        <v>37</v>
      </c>
      <c r="R92" s="147">
        <v>1.1000000000000001</v>
      </c>
      <c r="T92" s="101">
        <f>($I92*T$17)^$L92/3.2808^3</f>
        <v>0</v>
      </c>
      <c r="U92" s="101">
        <f t="shared" ref="U92:AB92" si="36">($I92*U$17)^$L92/3.2808^3</f>
        <v>300.90954241803888</v>
      </c>
      <c r="V92" s="101">
        <f t="shared" si="36"/>
        <v>570.65937349736464</v>
      </c>
      <c r="W92" s="101">
        <f t="shared" si="36"/>
        <v>829.77818839871679</v>
      </c>
      <c r="X92" s="101">
        <f t="shared" si="36"/>
        <v>1082.2259671246743</v>
      </c>
      <c r="Y92" s="101">
        <f t="shared" si="36"/>
        <v>1329.8264455122667</v>
      </c>
      <c r="Z92" s="101">
        <f t="shared" si="36"/>
        <v>1573.6313887831141</v>
      </c>
      <c r="AA92" s="101">
        <f t="shared" si="36"/>
        <v>1814.3245645204127</v>
      </c>
      <c r="AB92" s="101">
        <f t="shared" si="36"/>
        <v>2052.3855355971705</v>
      </c>
    </row>
    <row r="93" spans="2:28">
      <c r="B93" s="147"/>
      <c r="C93" s="148"/>
      <c r="D93" s="150"/>
      <c r="E93" s="147"/>
      <c r="F93" s="147"/>
      <c r="G93" s="147"/>
      <c r="H93" s="85" t="s">
        <v>27</v>
      </c>
      <c r="I93" s="96">
        <v>90.9</v>
      </c>
      <c r="J93" s="110" t="s">
        <v>143</v>
      </c>
      <c r="K93" s="147"/>
      <c r="L93" s="83">
        <v>0.49320000000000003</v>
      </c>
      <c r="N93" s="83" t="s">
        <v>145</v>
      </c>
      <c r="O93" s="147"/>
      <c r="P93" s="147"/>
      <c r="Q93" s="147"/>
      <c r="R93" s="147"/>
      <c r="T93" s="101">
        <f>($I93*T$17)^$L93/3.2808^3</f>
        <v>0</v>
      </c>
      <c r="U93" s="101">
        <f t="shared" ref="U93:AB93" si="37">($I93*U$17)^$L93/3.2808^3</f>
        <v>101.34447842288549</v>
      </c>
      <c r="V93" s="101">
        <f t="shared" si="37"/>
        <v>142.64878789658655</v>
      </c>
      <c r="W93" s="101">
        <f t="shared" si="37"/>
        <v>174.22733542741264</v>
      </c>
      <c r="X93" s="101">
        <f t="shared" si="37"/>
        <v>200.78722595478177</v>
      </c>
      <c r="Y93" s="101">
        <f t="shared" si="37"/>
        <v>224.14657029312164</v>
      </c>
      <c r="Z93" s="101">
        <f t="shared" si="37"/>
        <v>245.23603657483648</v>
      </c>
      <c r="AA93" s="101">
        <f t="shared" si="37"/>
        <v>264.60768011583622</v>
      </c>
      <c r="AB93" s="101">
        <f t="shared" si="37"/>
        <v>282.62076882029521</v>
      </c>
    </row>
  </sheetData>
  <mergeCells count="19">
    <mergeCell ref="O92:O93"/>
    <mergeCell ref="P92:P93"/>
    <mergeCell ref="Q92:Q93"/>
    <mergeCell ref="R92:R93"/>
    <mergeCell ref="P21:R21"/>
    <mergeCell ref="B82:B83"/>
    <mergeCell ref="B92:B93"/>
    <mergeCell ref="C82:C83"/>
    <mergeCell ref="C92:C93"/>
    <mergeCell ref="D62:D65"/>
    <mergeCell ref="D82:D83"/>
    <mergeCell ref="D92:D93"/>
    <mergeCell ref="E62:E65"/>
    <mergeCell ref="E82:E83"/>
    <mergeCell ref="E92:E93"/>
    <mergeCell ref="F82:F83"/>
    <mergeCell ref="F92:F93"/>
    <mergeCell ref="G92:G93"/>
    <mergeCell ref="K92:K93"/>
  </mergeCell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50" zoomScaleNormal="50" workbookViewId="0"/>
  </sheetViews>
  <sheetFormatPr defaultColWidth="8.6640625" defaultRowHeight="15.5"/>
  <sheetData/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50" zoomScaleNormal="50" workbookViewId="0">
      <selection activeCell="Q20" sqref="Q20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50" zoomScaleNormal="50" workbookViewId="0">
      <selection activeCell="S22" sqref="S22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"/>
  <sheetViews>
    <sheetView showGridLines="0" showRowColHeaders="0" zoomScale="50" zoomScaleNormal="50" workbookViewId="0"/>
  </sheetViews>
  <sheetFormatPr defaultColWidth="8.6640625" defaultRowHeight="15.5"/>
  <sheetData/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showGridLines="0" showRowColHeaders="0" zoomScale="64" zoomScaleNormal="64" workbookViewId="0">
      <selection activeCell="I32" sqref="I32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showGridLines="0" showRowColHeaders="0" zoomScale="50" zoomScaleNormal="50" workbookViewId="0">
      <selection activeCell="J32" sqref="J32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showGridLines="0" showRowColHeaders="0" zoomScale="50" zoomScaleNormal="50" workbookViewId="0">
      <selection activeCell="S29" sqref="S29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showGridLines="0" showRowColHeaders="0" zoomScale="50" zoomScaleNormal="50" workbookViewId="0">
      <selection activeCell="J32" sqref="J32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showGridLines="0" showRowColHeaders="0" zoomScale="50" zoomScaleNormal="50" workbookViewId="0">
      <selection activeCell="V28" sqref="V28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showGridLines="0" showRowColHeaders="0" zoomScale="50" zoomScaleNormal="50" workbookViewId="0"/>
  </sheetViews>
  <sheetFormatPr defaultColWidth="8.6640625" defaultRowHeight="15.5"/>
  <sheetData/>
  <pageMargins left="0.75" right="0.75" top="1" bottom="1" header="0.5" footer="0.5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showGridLines="0" showRowColHeaders="0" zoomScale="50" zoomScaleNormal="50" workbookViewId="0">
      <selection activeCell="Q18" sqref="Q18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"/>
  <sheetViews>
    <sheetView showGridLines="0" showRowColHeaders="0" zoomScale="65" zoomScaleNormal="65" workbookViewId="0">
      <selection activeCell="G32" sqref="G32:G33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showGridLines="0" showRowColHeaders="0" zoomScale="65" zoomScaleNormal="65" workbookViewId="0">
      <selection activeCell="Q24" sqref="Q24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showGridLines="0" showRowColHeaders="0" zoomScale="65" zoomScaleNormal="65" workbookViewId="0">
      <selection activeCell="Q20" sqref="Q20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showGridLines="0" showRowColHeaders="0" zoomScale="65" zoomScaleNormal="65" workbookViewId="0">
      <selection activeCell="S20" sqref="S20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showGridLines="0" showRowColHeaders="0" zoomScale="64" zoomScaleNormal="64" workbookViewId="0">
      <selection activeCell="O22" sqref="O22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showGridLines="0" showRowColHeaders="0" zoomScale="65" zoomScaleNormal="65" workbookViewId="0">
      <selection activeCell="R20" sqref="R20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showGridLines="0" showRowColHeaders="0" zoomScale="65" zoomScaleNormal="65" workbookViewId="0">
      <selection activeCell="J35" sqref="J35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showGridLines="0" showRowColHeaders="0" zoomScale="65" zoomScaleNormal="65" workbookViewId="0">
      <selection activeCell="O18" sqref="O18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showGridLines="0" showRowColHeaders="0" zoomScale="65" zoomScaleNormal="65" workbookViewId="0">
      <selection activeCell="O19" sqref="O19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showGridLines="0" showRowColHeaders="0" zoomScale="65" zoomScaleNormal="65" workbookViewId="0">
      <selection activeCell="R26" sqref="R26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showGridLines="0" showRowColHeaders="0" zoomScale="65" zoomScaleNormal="65" workbookViewId="0"/>
  </sheetViews>
  <sheetFormatPr defaultColWidth="8.6640625" defaultRowHeight="15.5"/>
  <sheetData/>
  <pageMargins left="0.75" right="0.75" top="1" bottom="1" header="0.5" footer="0.5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showGridLines="0" showRowColHeaders="0" zoomScale="65" zoomScaleNormal="65" workbookViewId="0"/>
  </sheetViews>
  <sheetFormatPr defaultColWidth="8.6640625" defaultRowHeight="15.5"/>
  <sheetData/>
  <pageMargins left="0.75" right="0.75" top="1" bottom="1" header="0.5" footer="0.5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9"/>
  <sheetViews>
    <sheetView tabSelected="1" zoomScale="120" zoomScaleNormal="120" workbookViewId="0">
      <pane xSplit="3" ySplit="6" topLeftCell="D27" activePane="bottomRight" state="frozen"/>
      <selection pane="topRight" activeCell="D1" sqref="D1"/>
      <selection pane="bottomLeft" activeCell="A7" sqref="A7"/>
      <selection pane="bottomRight" activeCell="A33" sqref="A33:XFD33"/>
    </sheetView>
  </sheetViews>
  <sheetFormatPr defaultColWidth="9.75" defaultRowHeight="15.5"/>
  <cols>
    <col min="1" max="1" width="10.6640625" bestFit="1" customWidth="1"/>
    <col min="2" max="2" width="4.9140625" bestFit="1" customWidth="1"/>
    <col min="3" max="3" width="7.9140625" bestFit="1" customWidth="1"/>
    <col min="4" max="4" width="5.4140625" bestFit="1" customWidth="1"/>
    <col min="5" max="5" width="5.33203125" bestFit="1" customWidth="1"/>
    <col min="6" max="7" width="4.4140625" bestFit="1" customWidth="1"/>
    <col min="8" max="8" width="3.5" bestFit="1" customWidth="1"/>
    <col min="9" max="9" width="5.75" bestFit="1" customWidth="1"/>
    <col min="10" max="10" width="5" bestFit="1" customWidth="1"/>
    <col min="11" max="11" width="6.25" bestFit="1" customWidth="1"/>
    <col min="12" max="12" width="5.83203125" bestFit="1" customWidth="1"/>
    <col min="13" max="13" width="3.75" bestFit="1" customWidth="1"/>
    <col min="14" max="14" width="3.1640625" bestFit="1" customWidth="1"/>
    <col min="15" max="16" width="3.9140625" bestFit="1" customWidth="1"/>
    <col min="17" max="17" width="4.08203125" bestFit="1" customWidth="1"/>
    <col min="18" max="18" width="2.83203125" bestFit="1" customWidth="1"/>
    <col min="19" max="19" width="5.08203125" bestFit="1" customWidth="1"/>
    <col min="20" max="20" width="4.4140625" style="61" bestFit="1" customWidth="1"/>
    <col min="21" max="21" width="8.75" style="61" bestFit="1" customWidth="1"/>
    <col min="22" max="22" width="7.75" bestFit="1" customWidth="1"/>
    <col min="23" max="23" width="5.33203125" bestFit="1" customWidth="1"/>
    <col min="24" max="24" width="8.75" bestFit="1" customWidth="1"/>
    <col min="25" max="25" width="8.25" bestFit="1" customWidth="1"/>
    <col min="26" max="26" width="6.75" bestFit="1" customWidth="1"/>
    <col min="27" max="27" width="5.9140625" bestFit="1" customWidth="1"/>
    <col min="28" max="28" width="4.6640625" bestFit="1" customWidth="1"/>
    <col min="29" max="29" width="6.1640625" bestFit="1" customWidth="1"/>
    <col min="30" max="30" width="4.4140625" bestFit="1" customWidth="1"/>
    <col min="31" max="31" width="7.83203125" bestFit="1" customWidth="1"/>
    <col min="32" max="32" width="4.6640625" bestFit="1" customWidth="1"/>
    <col min="33" max="33" width="7.6640625" bestFit="1" customWidth="1"/>
    <col min="34" max="34" width="8.58203125" bestFit="1" customWidth="1"/>
    <col min="35" max="35" width="8.75" bestFit="1" customWidth="1"/>
    <col min="36" max="36" width="11.4140625" bestFit="1" customWidth="1"/>
    <col min="37" max="37" width="7.25" customWidth="1"/>
    <col min="38" max="38" width="8.9140625" customWidth="1"/>
    <col min="39" max="39" width="6.4140625" customWidth="1"/>
    <col min="40" max="42" width="8.25" customWidth="1"/>
    <col min="43" max="43" width="9.25" bestFit="1" customWidth="1"/>
    <col min="44" max="44" width="8.33203125" bestFit="1" customWidth="1"/>
    <col min="45" max="45" width="7.83203125" bestFit="1" customWidth="1"/>
    <col min="46" max="46" width="6.75" bestFit="1" customWidth="1"/>
    <col min="47" max="47" width="6.58203125" customWidth="1"/>
    <col min="48" max="48" width="4.9140625" bestFit="1" customWidth="1"/>
    <col min="49" max="49" width="5.4140625" bestFit="1" customWidth="1"/>
    <col min="50" max="51" width="6.58203125" bestFit="1" customWidth="1"/>
    <col min="53" max="54" width="5.4140625" bestFit="1" customWidth="1"/>
    <col min="55" max="56" width="4.6640625" bestFit="1" customWidth="1"/>
    <col min="57" max="57" width="4.6640625" style="61" customWidth="1"/>
    <col min="58" max="58" width="7.9140625" bestFit="1" customWidth="1"/>
    <col min="59" max="59" width="4.5" bestFit="1" customWidth="1"/>
    <col min="60" max="60" width="4.6640625" bestFit="1" customWidth="1"/>
  </cols>
  <sheetData>
    <row r="1" spans="1:58">
      <c r="A1" s="8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5"/>
      <c r="V1" s="8"/>
      <c r="W1" s="8" t="s">
        <v>13</v>
      </c>
      <c r="X1" s="8"/>
      <c r="Y1" s="118" t="s">
        <v>868</v>
      </c>
      <c r="Z1" s="118" t="s">
        <v>858</v>
      </c>
      <c r="AA1" s="118" t="s">
        <v>171</v>
      </c>
      <c r="AB1" s="118" t="s">
        <v>172</v>
      </c>
      <c r="AC1" s="118" t="s">
        <v>859</v>
      </c>
      <c r="AD1" s="118" t="s">
        <v>860</v>
      </c>
      <c r="AE1" s="125" t="s">
        <v>869</v>
      </c>
      <c r="AF1" s="127" t="s">
        <v>175</v>
      </c>
      <c r="AG1" s="123"/>
      <c r="AH1" s="129" t="s">
        <v>862</v>
      </c>
      <c r="AI1" s="125" t="s">
        <v>864</v>
      </c>
      <c r="AJ1" s="118" t="s">
        <v>875</v>
      </c>
      <c r="AK1" s="8" t="s">
        <v>179</v>
      </c>
      <c r="AL1" s="8" t="s">
        <v>180</v>
      </c>
      <c r="AM1" s="8" t="s">
        <v>181</v>
      </c>
      <c r="AN1" s="137" t="s">
        <v>182</v>
      </c>
      <c r="AO1" s="137" t="s">
        <v>879</v>
      </c>
      <c r="AP1" s="8" t="s">
        <v>878</v>
      </c>
      <c r="AQ1" s="131" t="s">
        <v>866</v>
      </c>
      <c r="AR1" s="118" t="s">
        <v>184</v>
      </c>
      <c r="AS1" s="132" t="s">
        <v>867</v>
      </c>
      <c r="AT1" s="132" t="s">
        <v>865</v>
      </c>
      <c r="AU1" s="77" t="s">
        <v>870</v>
      </c>
      <c r="AV1" s="137" t="s">
        <v>187</v>
      </c>
      <c r="AW1" s="137" t="s">
        <v>863</v>
      </c>
      <c r="AX1" s="137" t="s">
        <v>871</v>
      </c>
      <c r="AY1" s="137" t="s">
        <v>872</v>
      </c>
      <c r="AZ1" s="77" t="s">
        <v>185</v>
      </c>
      <c r="BA1" s="77" t="s">
        <v>873</v>
      </c>
      <c r="BB1" s="77" t="s">
        <v>874</v>
      </c>
      <c r="BC1" s="137" t="s">
        <v>186</v>
      </c>
      <c r="BD1" s="137" t="s">
        <v>191</v>
      </c>
      <c r="BE1" s="77"/>
    </row>
    <row r="2" spans="1:58" s="1" customForma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2"/>
      <c r="U2" s="31"/>
      <c r="V2" s="7"/>
      <c r="W2" s="7"/>
      <c r="X2" s="7"/>
      <c r="Y2" s="119">
        <v>1</v>
      </c>
      <c r="Z2" s="120">
        <v>1.1000000000000001</v>
      </c>
      <c r="AA2" s="120">
        <v>1.2</v>
      </c>
      <c r="AB2" s="120">
        <v>1.3</v>
      </c>
      <c r="AC2" s="120">
        <v>1.4</v>
      </c>
      <c r="AD2" s="120">
        <v>1.5</v>
      </c>
      <c r="AE2" s="126">
        <v>1.6</v>
      </c>
      <c r="AF2" s="128">
        <v>1.7</v>
      </c>
      <c r="AG2" s="124"/>
      <c r="AH2" s="120">
        <v>1.8</v>
      </c>
      <c r="AI2" s="126">
        <v>1.9</v>
      </c>
      <c r="AJ2" s="130">
        <v>2</v>
      </c>
      <c r="AK2" s="138" t="s">
        <v>196</v>
      </c>
      <c r="AL2" s="138" t="s">
        <v>197</v>
      </c>
      <c r="AM2" s="138" t="s">
        <v>198</v>
      </c>
      <c r="AN2" s="138" t="s">
        <v>199</v>
      </c>
      <c r="AO2" s="142"/>
      <c r="AP2" s="142">
        <v>2.6</v>
      </c>
      <c r="AQ2" s="117">
        <v>3</v>
      </c>
      <c r="AR2" s="120">
        <v>3.1</v>
      </c>
      <c r="AS2" s="31">
        <v>3.2</v>
      </c>
      <c r="AT2" s="31">
        <v>3.3</v>
      </c>
      <c r="AU2" s="31">
        <v>3.4</v>
      </c>
      <c r="AV2" s="128">
        <v>3.5</v>
      </c>
      <c r="AW2" s="128">
        <v>3.6</v>
      </c>
      <c r="AX2" s="128">
        <v>3.7</v>
      </c>
      <c r="AY2" s="128">
        <v>3.8</v>
      </c>
      <c r="AZ2" s="31">
        <v>4</v>
      </c>
      <c r="BA2" s="31">
        <v>4.0999999999999996</v>
      </c>
      <c r="BB2" s="31">
        <v>4.2</v>
      </c>
      <c r="BC2" s="128">
        <v>4.3</v>
      </c>
      <c r="BD2" s="128">
        <v>5</v>
      </c>
      <c r="BE2" s="31"/>
    </row>
    <row r="3" spans="1:58" s="133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  <c r="U3" s="31"/>
      <c r="V3" s="31"/>
      <c r="W3" s="31"/>
      <c r="X3" s="31"/>
      <c r="Y3" s="135"/>
      <c r="Z3" s="31"/>
      <c r="AA3" s="31"/>
      <c r="AB3" s="31"/>
      <c r="AC3" s="31"/>
      <c r="AD3" s="31"/>
      <c r="AE3" s="31"/>
      <c r="AF3" s="31"/>
      <c r="AH3" s="31"/>
      <c r="AI3" s="31"/>
      <c r="AJ3" s="136"/>
      <c r="AK3"/>
      <c r="AL3"/>
      <c r="AM3"/>
      <c r="AN3"/>
      <c r="AO3"/>
      <c r="AP3"/>
      <c r="AQ3" s="31"/>
      <c r="AR3" s="31"/>
      <c r="AS3" s="31"/>
      <c r="AT3" s="31"/>
      <c r="AV3" s="31"/>
      <c r="AW3" s="31"/>
      <c r="AX3" s="31"/>
      <c r="AY3" s="31"/>
      <c r="BC3" s="31"/>
      <c r="BD3" s="31"/>
      <c r="BE3" s="31"/>
      <c r="BF3" s="31"/>
    </row>
    <row r="4" spans="1:58">
      <c r="A4" s="8" t="s">
        <v>146</v>
      </c>
      <c r="B4" s="7" t="s">
        <v>147</v>
      </c>
      <c r="C4" s="7" t="s">
        <v>148</v>
      </c>
      <c r="D4" s="7" t="s">
        <v>149</v>
      </c>
      <c r="E4" s="7" t="s">
        <v>150</v>
      </c>
      <c r="F4" s="7" t="s">
        <v>151</v>
      </c>
      <c r="G4" s="7" t="s">
        <v>152</v>
      </c>
      <c r="H4" s="7" t="s">
        <v>153</v>
      </c>
      <c r="I4" s="7" t="s">
        <v>154</v>
      </c>
      <c r="J4" s="7" t="s">
        <v>155</v>
      </c>
      <c r="K4" s="7" t="s">
        <v>156</v>
      </c>
      <c r="L4" s="7" t="s">
        <v>157</v>
      </c>
      <c r="M4" s="7" t="s">
        <v>30</v>
      </c>
      <c r="N4" s="7" t="s">
        <v>158</v>
      </c>
      <c r="O4" s="7" t="s">
        <v>159</v>
      </c>
      <c r="P4" s="7" t="s">
        <v>160</v>
      </c>
      <c r="Q4" s="7" t="s">
        <v>161</v>
      </c>
      <c r="R4" s="7" t="s">
        <v>162</v>
      </c>
      <c r="S4" s="7" t="s">
        <v>163</v>
      </c>
      <c r="T4" s="7" t="s">
        <v>164</v>
      </c>
      <c r="U4" s="75" t="s">
        <v>165</v>
      </c>
      <c r="V4" s="8" t="s">
        <v>166</v>
      </c>
      <c r="W4" s="8" t="s">
        <v>167</v>
      </c>
      <c r="X4" s="8" t="s">
        <v>168</v>
      </c>
      <c r="Y4" s="118" t="s">
        <v>857</v>
      </c>
      <c r="Z4" s="118" t="s">
        <v>170</v>
      </c>
      <c r="AA4" s="118" t="s">
        <v>171</v>
      </c>
      <c r="AB4" s="118" t="s">
        <v>172</v>
      </c>
      <c r="AC4" s="118" t="s">
        <v>859</v>
      </c>
      <c r="AD4" s="118" t="s">
        <v>860</v>
      </c>
      <c r="AE4" s="121"/>
      <c r="AF4" s="127" t="s">
        <v>175</v>
      </c>
      <c r="AG4" s="125" t="s">
        <v>861</v>
      </c>
      <c r="AH4" s="129" t="s">
        <v>862</v>
      </c>
      <c r="AI4" s="121"/>
      <c r="AJ4" s="118" t="s">
        <v>178</v>
      </c>
      <c r="AK4" s="34"/>
      <c r="AL4" s="34"/>
      <c r="AM4" s="34"/>
      <c r="AN4" s="34"/>
      <c r="AO4" s="34"/>
      <c r="AP4" s="34"/>
      <c r="AQ4" s="116" t="s">
        <v>183</v>
      </c>
      <c r="AR4" s="118" t="s">
        <v>184</v>
      </c>
      <c r="AS4" s="121"/>
      <c r="AT4" s="121"/>
      <c r="AU4" s="121"/>
      <c r="AV4" s="137" t="s">
        <v>187</v>
      </c>
      <c r="AW4" s="137" t="s">
        <v>863</v>
      </c>
      <c r="AX4" s="137" t="s">
        <v>190</v>
      </c>
      <c r="AY4" s="137" t="s">
        <v>189</v>
      </c>
      <c r="AZ4" s="121"/>
      <c r="BA4" s="145" t="s">
        <v>185</v>
      </c>
      <c r="BB4" s="145"/>
      <c r="BC4" s="137" t="s">
        <v>186</v>
      </c>
      <c r="BD4" s="137" t="s">
        <v>191</v>
      </c>
      <c r="BE4" s="77"/>
      <c r="BF4" s="7" t="s">
        <v>201</v>
      </c>
    </row>
    <row r="5" spans="1:58" s="1" customForma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32"/>
      <c r="U5" s="31"/>
      <c r="V5" s="7"/>
      <c r="W5" s="7"/>
      <c r="X5" s="7"/>
      <c r="Y5" s="119">
        <v>1</v>
      </c>
      <c r="Z5" s="120">
        <v>1.1000000000000001</v>
      </c>
      <c r="AA5" s="120">
        <v>1.2</v>
      </c>
      <c r="AB5" s="120">
        <v>1.3</v>
      </c>
      <c r="AC5" s="120" t="s">
        <v>192</v>
      </c>
      <c r="AD5" s="120" t="s">
        <v>193</v>
      </c>
      <c r="AE5" s="122"/>
      <c r="AF5" s="128">
        <v>1.6</v>
      </c>
      <c r="AG5" s="126" t="s">
        <v>194</v>
      </c>
      <c r="AH5" s="120" t="s">
        <v>195</v>
      </c>
      <c r="AI5" s="122"/>
      <c r="AJ5" s="130">
        <v>2</v>
      </c>
      <c r="AK5" s="34"/>
      <c r="AL5" s="34"/>
      <c r="AM5" s="34"/>
      <c r="AN5" s="34"/>
      <c r="AO5" s="34"/>
      <c r="AP5" s="34"/>
      <c r="AQ5" s="117">
        <v>3</v>
      </c>
      <c r="AR5" s="134">
        <v>3.1</v>
      </c>
      <c r="AS5" s="122"/>
      <c r="AT5" s="122"/>
      <c r="AU5" s="122"/>
      <c r="AV5" s="128">
        <v>3.4</v>
      </c>
      <c r="AW5" s="128">
        <v>3.5</v>
      </c>
      <c r="AX5" s="128">
        <v>3.7</v>
      </c>
      <c r="AY5" s="128">
        <v>3.6</v>
      </c>
      <c r="AZ5" s="122"/>
      <c r="BA5" s="146">
        <v>3.2</v>
      </c>
      <c r="BB5" s="146"/>
      <c r="BC5" s="128">
        <v>3.3</v>
      </c>
      <c r="BD5" s="128">
        <v>3.8</v>
      </c>
      <c r="BE5" s="31"/>
    </row>
    <row r="6" spans="1:58" s="61" customFormat="1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6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G6" s="77"/>
      <c r="AH6" s="77"/>
      <c r="AI6" s="77"/>
      <c r="AJ6" s="77"/>
      <c r="AK6" s="80"/>
      <c r="AL6" s="80"/>
      <c r="AM6" s="80"/>
      <c r="AN6" s="80"/>
      <c r="AO6" s="80"/>
      <c r="AP6" s="80"/>
      <c r="AR6" s="77"/>
      <c r="AS6" s="77"/>
      <c r="AT6" s="77"/>
      <c r="AU6" s="77"/>
      <c r="AV6" s="77"/>
      <c r="AW6" s="77"/>
      <c r="AX6" s="77"/>
      <c r="AY6" s="77"/>
      <c r="BA6" s="77"/>
      <c r="BC6" s="77"/>
      <c r="BD6" s="77"/>
      <c r="BE6" s="77"/>
    </row>
    <row r="7" spans="1:58">
      <c r="A7" s="9" t="s">
        <v>202</v>
      </c>
      <c r="B7" s="9" t="s">
        <v>203</v>
      </c>
      <c r="C7" s="9" t="s">
        <v>204</v>
      </c>
      <c r="D7" s="9" t="s">
        <v>205</v>
      </c>
      <c r="E7" s="26">
        <v>91.745915630334096</v>
      </c>
      <c r="F7" s="26">
        <v>11.7654230675445</v>
      </c>
      <c r="G7" s="26">
        <v>6.4923189465983899</v>
      </c>
      <c r="H7" s="26"/>
      <c r="I7" s="27">
        <f t="shared" ref="I7:I12" si="0">E7*F7*G7</f>
        <v>7008.000672990016</v>
      </c>
      <c r="J7" s="68"/>
      <c r="K7" s="69">
        <v>1704.9442075659999</v>
      </c>
      <c r="L7" s="27">
        <v>176</v>
      </c>
      <c r="M7" s="27"/>
      <c r="N7" s="27"/>
      <c r="O7" s="27"/>
      <c r="P7" s="27"/>
      <c r="Q7" s="27"/>
      <c r="R7" s="27"/>
      <c r="S7" s="27"/>
      <c r="T7" s="78">
        <v>22</v>
      </c>
      <c r="U7" s="78">
        <f t="shared" ref="U7:U12" si="1">K7*T7/1000</f>
        <v>37.508772566451995</v>
      </c>
      <c r="V7" s="34">
        <v>6864.25401884246</v>
      </c>
      <c r="W7" s="34">
        <v>6040.4869008221303</v>
      </c>
      <c r="X7" s="34">
        <v>823.76711802032605</v>
      </c>
      <c r="Y7" s="34">
        <f t="shared" ref="Y7:Y12" si="2">SUM(Z7:AH7)</f>
        <v>681</v>
      </c>
      <c r="Z7" s="34">
        <v>358</v>
      </c>
      <c r="AA7" s="34">
        <v>272</v>
      </c>
      <c r="AB7" s="34"/>
      <c r="AC7" s="34"/>
      <c r="AD7" s="34"/>
      <c r="AE7" s="34"/>
      <c r="AF7" s="34">
        <v>51</v>
      </c>
      <c r="AG7" s="34"/>
      <c r="AH7" s="34"/>
      <c r="AI7" s="34"/>
      <c r="AJ7" s="34">
        <v>2112</v>
      </c>
      <c r="AK7" s="80"/>
      <c r="AL7" s="80"/>
      <c r="AM7" s="80"/>
      <c r="AN7" s="80"/>
      <c r="AO7" s="80"/>
      <c r="AP7" s="80"/>
      <c r="AQ7" s="34">
        <f t="shared" ref="AQ7:AQ12" si="3">SUM(AR7:BD7)</f>
        <v>4069</v>
      </c>
      <c r="AR7" s="34">
        <v>300</v>
      </c>
      <c r="AS7" s="34"/>
      <c r="AT7" s="34"/>
      <c r="AU7" s="34"/>
      <c r="AV7" s="34">
        <v>135</v>
      </c>
      <c r="AW7" s="34">
        <v>525</v>
      </c>
      <c r="AX7" s="34">
        <v>372</v>
      </c>
      <c r="AY7" s="34">
        <v>59</v>
      </c>
      <c r="BA7" s="145">
        <v>2347</v>
      </c>
      <c r="BB7" s="145"/>
      <c r="BC7" s="34">
        <v>331</v>
      </c>
      <c r="BD7" s="34"/>
      <c r="BE7" s="139"/>
      <c r="BF7" s="34">
        <f t="shared" ref="BF7:BF12" si="4">V7-AX7</f>
        <v>6492.25401884246</v>
      </c>
    </row>
    <row r="8" spans="1:58">
      <c r="A8" s="9" t="s">
        <v>206</v>
      </c>
      <c r="B8" s="9" t="s">
        <v>203</v>
      </c>
      <c r="C8" s="9" t="s">
        <v>207</v>
      </c>
      <c r="D8" s="9" t="s">
        <v>205</v>
      </c>
      <c r="E8" s="26">
        <v>93.879541575225502</v>
      </c>
      <c r="F8" s="26">
        <v>11.0948549134357</v>
      </c>
      <c r="G8" s="26">
        <v>6.24847598146793</v>
      </c>
      <c r="H8" s="26"/>
      <c r="I8" s="27">
        <f t="shared" si="0"/>
        <v>6508.2869449213949</v>
      </c>
      <c r="J8" s="68"/>
      <c r="K8" s="69">
        <v>1907.1396171641099</v>
      </c>
      <c r="L8" s="27">
        <v>170</v>
      </c>
      <c r="M8" s="27"/>
      <c r="N8" s="27"/>
      <c r="O8" s="27"/>
      <c r="P8" s="27"/>
      <c r="Q8" s="27"/>
      <c r="R8" s="27"/>
      <c r="S8" s="27"/>
      <c r="T8" s="33">
        <v>25</v>
      </c>
      <c r="U8" s="33">
        <f t="shared" si="1"/>
        <v>47.678490429102752</v>
      </c>
      <c r="V8" s="34">
        <v>5649.1338045333396</v>
      </c>
      <c r="W8" s="34">
        <v>4551.5327906293196</v>
      </c>
      <c r="X8" s="34">
        <v>1097.60101390402</v>
      </c>
      <c r="Y8" s="34">
        <f t="shared" si="2"/>
        <v>900</v>
      </c>
      <c r="Z8" s="34">
        <v>334</v>
      </c>
      <c r="AA8" s="34">
        <v>566</v>
      </c>
      <c r="AB8" s="34"/>
      <c r="AC8" s="34"/>
      <c r="AD8" s="34"/>
      <c r="AE8" s="34"/>
      <c r="AF8" s="34"/>
      <c r="AG8" s="34"/>
      <c r="AH8" s="34"/>
      <c r="AI8" s="34"/>
      <c r="AJ8" s="34">
        <v>1584</v>
      </c>
      <c r="AK8" s="34"/>
      <c r="AL8" s="34"/>
      <c r="AM8" s="34"/>
      <c r="AN8" s="34"/>
      <c r="AO8" s="34"/>
      <c r="AP8" s="34"/>
      <c r="AQ8" s="34">
        <f t="shared" si="3"/>
        <v>3163</v>
      </c>
      <c r="AR8" s="34">
        <v>136</v>
      </c>
      <c r="AS8" s="34"/>
      <c r="AT8" s="34"/>
      <c r="AU8" s="34"/>
      <c r="AV8" s="34">
        <v>77</v>
      </c>
      <c r="AW8" s="34">
        <v>745</v>
      </c>
      <c r="AX8" s="34">
        <v>243</v>
      </c>
      <c r="AY8" s="34">
        <v>158</v>
      </c>
      <c r="BA8" s="145">
        <v>1420</v>
      </c>
      <c r="BB8" s="145"/>
      <c r="BC8" s="34">
        <v>384</v>
      </c>
      <c r="BD8" s="34"/>
      <c r="BE8" s="139"/>
      <c r="BF8" s="34">
        <f t="shared" si="4"/>
        <v>5406.1338045333396</v>
      </c>
    </row>
    <row r="9" spans="1:58">
      <c r="A9" s="8" t="s">
        <v>208</v>
      </c>
      <c r="B9" s="8" t="s">
        <v>203</v>
      </c>
      <c r="C9" s="8" t="s">
        <v>209</v>
      </c>
      <c r="D9" s="8" t="s">
        <v>205</v>
      </c>
      <c r="E9" s="26">
        <v>106.681297244574</v>
      </c>
      <c r="F9" s="26">
        <v>12.0397464033163</v>
      </c>
      <c r="G9" s="26">
        <v>8.7783467446964192</v>
      </c>
      <c r="H9" s="26"/>
      <c r="I9" s="27">
        <f t="shared" si="0"/>
        <v>11275.046947781806</v>
      </c>
      <c r="J9" s="8"/>
      <c r="K9" s="70">
        <v>2577.7374580422802</v>
      </c>
      <c r="L9" s="27">
        <v>195</v>
      </c>
      <c r="M9" s="70"/>
      <c r="N9" s="70"/>
      <c r="O9" s="70"/>
      <c r="P9" s="70"/>
      <c r="Q9" s="70"/>
      <c r="R9" s="70"/>
      <c r="S9" s="70"/>
      <c r="T9" s="79">
        <v>26</v>
      </c>
      <c r="U9" s="79">
        <f t="shared" si="1"/>
        <v>67.021173909099275</v>
      </c>
      <c r="V9" s="80">
        <v>8224.0785979877292</v>
      </c>
      <c r="W9" s="80">
        <v>7036.7099057019896</v>
      </c>
      <c r="X9" s="80">
        <v>1187.3686922857401</v>
      </c>
      <c r="Y9" s="34">
        <f t="shared" si="2"/>
        <v>1427</v>
      </c>
      <c r="Z9" s="80">
        <v>672</v>
      </c>
      <c r="AA9" s="80">
        <v>315</v>
      </c>
      <c r="AB9" s="80">
        <v>356</v>
      </c>
      <c r="AC9" s="80"/>
      <c r="AD9" s="80"/>
      <c r="AE9" s="80"/>
      <c r="AF9" s="80">
        <v>84</v>
      </c>
      <c r="AG9" s="80"/>
      <c r="AH9" s="80"/>
      <c r="AI9" s="80"/>
      <c r="AJ9" s="80">
        <v>2155</v>
      </c>
      <c r="AK9" s="34"/>
      <c r="AL9" s="34"/>
      <c r="AM9" s="34"/>
      <c r="AN9" s="34"/>
      <c r="AO9" s="34"/>
      <c r="AP9" s="34"/>
      <c r="AQ9" s="34">
        <f t="shared" si="3"/>
        <v>4643</v>
      </c>
      <c r="AR9" s="80">
        <v>266</v>
      </c>
      <c r="AS9" s="80"/>
      <c r="AT9" s="80"/>
      <c r="AU9" s="80"/>
      <c r="AV9" s="80">
        <v>101</v>
      </c>
      <c r="AW9" s="80">
        <v>909</v>
      </c>
      <c r="AX9" s="80">
        <v>588</v>
      </c>
      <c r="AY9" s="80">
        <v>236</v>
      </c>
      <c r="BA9" s="145">
        <v>2017</v>
      </c>
      <c r="BB9" s="145"/>
      <c r="BC9" s="80">
        <v>526</v>
      </c>
      <c r="BD9" s="80"/>
      <c r="BE9" s="140"/>
      <c r="BF9" s="34">
        <f t="shared" si="4"/>
        <v>7636.0785979877292</v>
      </c>
    </row>
    <row r="10" spans="1:58">
      <c r="A10" s="8" t="s">
        <v>210</v>
      </c>
      <c r="B10" s="8" t="s">
        <v>203</v>
      </c>
      <c r="C10" s="8" t="s">
        <v>211</v>
      </c>
      <c r="D10" s="8" t="s">
        <v>205</v>
      </c>
      <c r="E10" s="26">
        <v>118.873445501097</v>
      </c>
      <c r="F10" s="26">
        <v>13.3808827115338</v>
      </c>
      <c r="G10" s="26">
        <v>9.1441111923920992</v>
      </c>
      <c r="H10" s="26"/>
      <c r="I10" s="27">
        <f t="shared" si="0"/>
        <v>14544.912507005158</v>
      </c>
      <c r="J10" s="8"/>
      <c r="K10" s="70">
        <v>3524.7028939490201</v>
      </c>
      <c r="L10" s="27">
        <v>247</v>
      </c>
      <c r="M10" s="70"/>
      <c r="N10" s="70"/>
      <c r="O10" s="70"/>
      <c r="P10" s="70"/>
      <c r="Q10" s="70"/>
      <c r="R10" s="70"/>
      <c r="S10" s="70"/>
      <c r="T10" s="79">
        <v>27</v>
      </c>
      <c r="U10" s="79">
        <f t="shared" si="1"/>
        <v>95.166978136623541</v>
      </c>
      <c r="V10" s="80">
        <v>11542.9340889462</v>
      </c>
      <c r="W10" s="80">
        <v>9374.3508679769293</v>
      </c>
      <c r="X10" s="80">
        <v>2168.5832209692899</v>
      </c>
      <c r="Y10" s="34">
        <f t="shared" si="2"/>
        <v>2445</v>
      </c>
      <c r="Z10" s="80">
        <v>938</v>
      </c>
      <c r="AA10" s="80">
        <v>1095</v>
      </c>
      <c r="AB10" s="80">
        <v>321</v>
      </c>
      <c r="AC10" s="80"/>
      <c r="AD10" s="80"/>
      <c r="AE10" s="80"/>
      <c r="AF10" s="80">
        <v>91</v>
      </c>
      <c r="AG10" s="80"/>
      <c r="AH10" s="80"/>
      <c r="AI10" s="80"/>
      <c r="AJ10" s="80">
        <v>2762</v>
      </c>
      <c r="AK10" s="34"/>
      <c r="AL10" s="34"/>
      <c r="AM10" s="34"/>
      <c r="AN10" s="34"/>
      <c r="AO10" s="34"/>
      <c r="AP10" s="34"/>
      <c r="AQ10" s="34">
        <f t="shared" si="3"/>
        <v>6336</v>
      </c>
      <c r="AR10" s="80">
        <v>389</v>
      </c>
      <c r="AS10" s="80"/>
      <c r="AT10" s="80"/>
      <c r="AU10" s="80"/>
      <c r="AV10" s="80">
        <v>121</v>
      </c>
      <c r="AW10" s="80">
        <v>1229</v>
      </c>
      <c r="AX10" s="80">
        <v>920</v>
      </c>
      <c r="AY10" s="80">
        <v>167</v>
      </c>
      <c r="BA10" s="145">
        <v>2252</v>
      </c>
      <c r="BB10" s="145"/>
      <c r="BC10" s="80">
        <v>1194</v>
      </c>
      <c r="BD10" s="80">
        <v>64</v>
      </c>
      <c r="BE10" s="140"/>
      <c r="BF10" s="34">
        <f t="shared" si="4"/>
        <v>10622.9340889462</v>
      </c>
    </row>
    <row r="11" spans="1:58">
      <c r="A11" s="9" t="s">
        <v>18</v>
      </c>
      <c r="B11" s="9" t="s">
        <v>203</v>
      </c>
      <c r="C11" s="9" t="s">
        <v>212</v>
      </c>
      <c r="D11" s="9" t="s">
        <v>205</v>
      </c>
      <c r="E11" s="26">
        <v>124.359912216533</v>
      </c>
      <c r="F11" s="26">
        <v>13.7771275298708</v>
      </c>
      <c r="G11" s="26">
        <v>9.1441111923920992</v>
      </c>
      <c r="H11" s="26"/>
      <c r="I11" s="27">
        <f t="shared" si="0"/>
        <v>15666.810261619541</v>
      </c>
      <c r="J11" s="9"/>
      <c r="K11" s="27">
        <v>3730.9625328857801</v>
      </c>
      <c r="L11" s="27">
        <v>185</v>
      </c>
      <c r="M11" s="27"/>
      <c r="N11" s="27"/>
      <c r="O11" s="27"/>
      <c r="P11" s="27"/>
      <c r="Q11" s="27"/>
      <c r="R11" s="27"/>
      <c r="S11" s="27"/>
      <c r="T11" s="33">
        <v>29</v>
      </c>
      <c r="U11" s="33">
        <f t="shared" si="1"/>
        <v>108.19791345368762</v>
      </c>
      <c r="V11" s="34">
        <v>15064.545597953</v>
      </c>
      <c r="W11" s="34">
        <v>10720.866043702799</v>
      </c>
      <c r="X11" s="34">
        <v>4343.6795542501804</v>
      </c>
      <c r="Y11" s="34">
        <f t="shared" si="2"/>
        <v>3013</v>
      </c>
      <c r="Z11" s="34">
        <v>1020</v>
      </c>
      <c r="AA11" s="34">
        <v>498</v>
      </c>
      <c r="AB11" s="34">
        <v>1495</v>
      </c>
      <c r="AC11" s="34"/>
      <c r="AD11" s="34"/>
      <c r="AE11" s="34"/>
      <c r="AF11" s="34"/>
      <c r="AG11" s="34"/>
      <c r="AH11" s="34"/>
      <c r="AI11" s="34"/>
      <c r="AJ11" s="34">
        <v>2986</v>
      </c>
      <c r="AK11" s="59"/>
      <c r="AL11" s="59"/>
      <c r="AM11" s="59"/>
      <c r="AN11" s="59"/>
      <c r="AO11" s="59"/>
      <c r="AP11" s="59"/>
      <c r="AQ11" s="34">
        <f t="shared" si="3"/>
        <v>9050</v>
      </c>
      <c r="AR11" s="34">
        <v>840</v>
      </c>
      <c r="AS11" s="34"/>
      <c r="AT11" s="34"/>
      <c r="AU11" s="34"/>
      <c r="AV11" s="34">
        <v>185</v>
      </c>
      <c r="AW11" s="34">
        <v>1660</v>
      </c>
      <c r="AX11" s="34">
        <v>2026</v>
      </c>
      <c r="AY11" s="34">
        <v>356</v>
      </c>
      <c r="BA11" s="145">
        <v>3075</v>
      </c>
      <c r="BB11" s="145"/>
      <c r="BC11" s="34">
        <v>908</v>
      </c>
      <c r="BD11" s="34"/>
      <c r="BE11" s="139"/>
      <c r="BF11" s="34">
        <f t="shared" si="4"/>
        <v>13038.545597953</v>
      </c>
    </row>
    <row r="12" spans="1:58">
      <c r="A12" s="9" t="s">
        <v>213</v>
      </c>
      <c r="B12" s="9" t="s">
        <v>203</v>
      </c>
      <c r="C12" s="9" t="s">
        <v>214</v>
      </c>
      <c r="D12" s="9" t="s">
        <v>205</v>
      </c>
      <c r="E12" s="26">
        <v>126.493538161424</v>
      </c>
      <c r="F12" s="26">
        <v>13.9600097537186</v>
      </c>
      <c r="G12" s="26">
        <v>8.6259448914898798</v>
      </c>
      <c r="H12" s="26"/>
      <c r="I12" s="27">
        <f t="shared" si="0"/>
        <v>15232.1336413066</v>
      </c>
      <c r="J12" s="9"/>
      <c r="K12" s="27">
        <v>4078.4541413408301</v>
      </c>
      <c r="L12" s="27">
        <v>244</v>
      </c>
      <c r="M12" s="27"/>
      <c r="N12" s="27"/>
      <c r="O12" s="26"/>
      <c r="P12" s="27"/>
      <c r="Q12" s="27"/>
      <c r="R12" s="27"/>
      <c r="S12" s="27"/>
      <c r="T12" s="33">
        <v>27</v>
      </c>
      <c r="U12" s="33">
        <f t="shared" si="1"/>
        <v>110.11826181620242</v>
      </c>
      <c r="V12" s="34">
        <v>14336.2097342376</v>
      </c>
      <c r="W12" s="34">
        <v>10338.857847687201</v>
      </c>
      <c r="X12" s="34">
        <v>3997.3518865503402</v>
      </c>
      <c r="Y12" s="34">
        <f t="shared" si="2"/>
        <v>3165</v>
      </c>
      <c r="Z12" s="34">
        <v>1531</v>
      </c>
      <c r="AA12" s="34">
        <v>1090</v>
      </c>
      <c r="AB12" s="34">
        <v>458</v>
      </c>
      <c r="AC12" s="34"/>
      <c r="AD12" s="34"/>
      <c r="AE12" s="34"/>
      <c r="AF12" s="34">
        <v>86</v>
      </c>
      <c r="AG12" s="34"/>
      <c r="AH12" s="34"/>
      <c r="AI12" s="34"/>
      <c r="AJ12" s="34">
        <v>3059</v>
      </c>
      <c r="AK12" s="59"/>
      <c r="AL12" s="59"/>
      <c r="AM12" s="59"/>
      <c r="AN12" s="59"/>
      <c r="AO12" s="59"/>
      <c r="AP12" s="59"/>
      <c r="AQ12" s="34">
        <f t="shared" si="3"/>
        <v>8030</v>
      </c>
      <c r="AR12" s="34">
        <v>437</v>
      </c>
      <c r="AS12" s="34"/>
      <c r="AT12" s="34"/>
      <c r="AU12" s="34"/>
      <c r="AV12" s="34">
        <v>191</v>
      </c>
      <c r="AW12" s="34">
        <v>1421</v>
      </c>
      <c r="AX12" s="34">
        <v>1755</v>
      </c>
      <c r="AY12" s="34">
        <v>78</v>
      </c>
      <c r="BA12" s="145">
        <v>3139</v>
      </c>
      <c r="BB12" s="145"/>
      <c r="BC12" s="34">
        <v>984</v>
      </c>
      <c r="BD12" s="34">
        <v>25</v>
      </c>
      <c r="BE12" s="139"/>
      <c r="BF12" s="34">
        <f t="shared" si="4"/>
        <v>12581.2097342376</v>
      </c>
    </row>
    <row r="13" spans="1:58">
      <c r="A13" s="9"/>
      <c r="B13" s="9"/>
      <c r="C13" s="9"/>
      <c r="D13" s="9"/>
      <c r="E13" s="26"/>
      <c r="F13" s="26"/>
      <c r="G13" s="26"/>
      <c r="H13" s="26"/>
      <c r="I13" s="27"/>
      <c r="J13" s="9"/>
      <c r="K13" s="27"/>
      <c r="L13" s="27"/>
      <c r="M13" s="27"/>
      <c r="N13" s="27"/>
      <c r="O13" s="26"/>
      <c r="P13" s="27"/>
      <c r="Q13" s="27"/>
      <c r="R13" s="27"/>
      <c r="S13" s="27"/>
      <c r="T13" s="33"/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60"/>
      <c r="AL13" s="60"/>
      <c r="AM13" s="60"/>
      <c r="AN13" s="60"/>
      <c r="AO13" s="60"/>
      <c r="AP13" s="60"/>
      <c r="AQ13" s="34"/>
      <c r="AR13" s="34"/>
      <c r="AS13" s="34"/>
      <c r="AT13" s="34"/>
      <c r="AU13" s="34"/>
      <c r="AV13" s="34"/>
      <c r="AW13" s="34"/>
      <c r="AX13" s="34"/>
      <c r="AY13" s="34"/>
      <c r="BA13" s="145"/>
      <c r="BB13" s="145"/>
      <c r="BC13" s="34"/>
      <c r="BD13" s="34"/>
      <c r="BE13" s="139"/>
      <c r="BF13" s="34"/>
    </row>
    <row r="14" spans="1:58" s="59" customFormat="1">
      <c r="A14" s="62" t="s">
        <v>215</v>
      </c>
      <c r="B14" s="62" t="s">
        <v>216</v>
      </c>
      <c r="C14" s="62" t="s">
        <v>217</v>
      </c>
      <c r="D14" s="62" t="s">
        <v>205</v>
      </c>
      <c r="E14" s="26">
        <v>109.72933430870501</v>
      </c>
      <c r="F14" s="9">
        <v>12.7</v>
      </c>
      <c r="G14" s="9">
        <v>12.2</v>
      </c>
      <c r="H14" s="26">
        <v>3.9</v>
      </c>
      <c r="I14" s="27">
        <f>E14*F14*G14</f>
        <v>17001.463057790752</v>
      </c>
      <c r="K14" s="71">
        <v>3101.8</v>
      </c>
      <c r="L14" s="27">
        <v>192</v>
      </c>
      <c r="V14" s="34">
        <f t="shared" ref="V14:V19" si="5">SUM(Z14:AY14)</f>
        <v>16243.841671842603</v>
      </c>
      <c r="W14" s="34">
        <v>8449.4889197285993</v>
      </c>
      <c r="X14" s="34">
        <v>4283.6456494649301</v>
      </c>
      <c r="Y14" s="34">
        <f t="shared" ref="Y14:Y19" si="6">SUM(Z14:AH14)</f>
        <v>2182.8230690046071</v>
      </c>
      <c r="Z14" s="81">
        <v>1255.12326467765</v>
      </c>
      <c r="AA14" s="81">
        <v>381.99403707580598</v>
      </c>
      <c r="AB14" s="81">
        <v>545.70576725115097</v>
      </c>
      <c r="AF14" s="81"/>
      <c r="AJ14" s="81">
        <v>2837.6699897059898</v>
      </c>
      <c r="AQ14" s="34">
        <f t="shared" ref="AQ14:AQ19" si="7">SUM(AR14:BD14)</f>
        <v>7712.6415104829321</v>
      </c>
      <c r="AR14" s="81">
        <v>618.466536217971</v>
      </c>
      <c r="AS14" s="81"/>
      <c r="AT14" s="81"/>
      <c r="AU14" s="81"/>
      <c r="AV14" s="81">
        <v>163.71173017534599</v>
      </c>
      <c r="AW14" s="81">
        <v>1255.12326467765</v>
      </c>
      <c r="AX14" s="81">
        <v>1091.4115345022999</v>
      </c>
      <c r="AY14" s="81">
        <v>381.99403707580598</v>
      </c>
      <c r="BA14" s="144">
        <v>2182.8230690045998</v>
      </c>
      <c r="BB14" s="144"/>
      <c r="BC14" s="81">
        <v>2019.1113388292599</v>
      </c>
      <c r="BE14" s="76"/>
      <c r="BF14" s="34">
        <f t="shared" ref="BF14:BF19" si="8">V14-AX14</f>
        <v>15152.430137340303</v>
      </c>
    </row>
    <row r="15" spans="1:58" s="59" customFormat="1">
      <c r="A15" s="62" t="s">
        <v>218</v>
      </c>
      <c r="B15" s="62" t="s">
        <v>216</v>
      </c>
      <c r="C15" s="62" t="s">
        <v>219</v>
      </c>
      <c r="D15" s="62" t="s">
        <v>205</v>
      </c>
      <c r="E15" s="26">
        <v>124.969519629359</v>
      </c>
      <c r="F15" s="63"/>
      <c r="G15" s="63"/>
      <c r="H15" s="63"/>
      <c r="I15" s="72"/>
      <c r="K15" s="63"/>
      <c r="L15" s="63"/>
      <c r="V15" s="81">
        <f t="shared" si="5"/>
        <v>23677.401278664482</v>
      </c>
      <c r="W15" s="81"/>
      <c r="X15" s="81"/>
      <c r="Y15" s="34">
        <f t="shared" si="6"/>
        <v>2703.9007633042752</v>
      </c>
      <c r="Z15" s="81">
        <v>1552.9159789247501</v>
      </c>
      <c r="AA15" s="81">
        <v>584.62719206579004</v>
      </c>
      <c r="AB15" s="81">
        <v>566.35759231373504</v>
      </c>
      <c r="AF15" s="81"/>
      <c r="AJ15" s="81">
        <v>3781.8071486755798</v>
      </c>
      <c r="AQ15" s="34">
        <f t="shared" si="7"/>
        <v>10139.62786239104</v>
      </c>
      <c r="AR15" s="81"/>
      <c r="AS15" s="81"/>
      <c r="AT15" s="81"/>
      <c r="AU15" s="81"/>
      <c r="AV15" s="81"/>
      <c r="AW15" s="81">
        <v>3672.1895501632398</v>
      </c>
      <c r="AX15" s="81">
        <v>1973.1167732220399</v>
      </c>
      <c r="AY15" s="81">
        <v>1406.7591809083101</v>
      </c>
      <c r="BA15" s="144">
        <v>3087.5623580974502</v>
      </c>
      <c r="BB15" s="144"/>
      <c r="BC15" s="81"/>
      <c r="BE15" s="76"/>
      <c r="BF15" s="34">
        <f t="shared" si="8"/>
        <v>21704.284505442443</v>
      </c>
    </row>
    <row r="16" spans="1:58" s="60" customFormat="1">
      <c r="A16" s="64" t="s">
        <v>220</v>
      </c>
      <c r="B16" s="64" t="s">
        <v>216</v>
      </c>
      <c r="C16" s="64" t="s">
        <v>221</v>
      </c>
      <c r="D16" s="64" t="s">
        <v>205</v>
      </c>
      <c r="E16" s="65">
        <v>119.5</v>
      </c>
      <c r="F16" s="65">
        <v>14.3</v>
      </c>
      <c r="G16" s="65">
        <v>9.1999999999999993</v>
      </c>
      <c r="H16" s="65">
        <v>3.9</v>
      </c>
      <c r="I16" s="73">
        <f>E16*F16*G16</f>
        <v>15721.42</v>
      </c>
      <c r="K16" s="74">
        <f>4160.2</f>
        <v>4160.2</v>
      </c>
      <c r="L16" s="73">
        <v>309</v>
      </c>
      <c r="V16" s="82">
        <f t="shared" si="5"/>
        <v>19785.976531476583</v>
      </c>
      <c r="W16" s="82"/>
      <c r="X16" s="82"/>
      <c r="Y16" s="82">
        <f t="shared" si="6"/>
        <v>2740.4399628083929</v>
      </c>
      <c r="Z16" s="82">
        <v>1315.4111821480301</v>
      </c>
      <c r="AA16" s="82">
        <v>876.94078809868495</v>
      </c>
      <c r="AB16" s="82">
        <v>548.08799256167799</v>
      </c>
      <c r="AF16" s="82"/>
      <c r="AJ16" s="82">
        <v>3873.1551474358598</v>
      </c>
      <c r="AK16" s="59"/>
      <c r="AL16" s="59"/>
      <c r="AM16" s="59"/>
      <c r="AN16" s="59"/>
      <c r="AO16" s="59"/>
      <c r="AP16" s="59"/>
      <c r="AQ16" s="34">
        <f t="shared" si="7"/>
        <v>7819.3886938799405</v>
      </c>
      <c r="AR16" s="82"/>
      <c r="AS16" s="82"/>
      <c r="AT16" s="82"/>
      <c r="AU16" s="82"/>
      <c r="AV16" s="82"/>
      <c r="AW16" s="82">
        <v>2649.0919640481102</v>
      </c>
      <c r="AX16" s="82">
        <v>1479.8375799165301</v>
      </c>
      <c r="AY16" s="82">
        <v>1224.0631833877501</v>
      </c>
      <c r="BA16" s="144">
        <v>2466.3959665275502</v>
      </c>
      <c r="BB16" s="144"/>
      <c r="BC16" s="82"/>
      <c r="BE16" s="141"/>
      <c r="BF16" s="34">
        <f t="shared" si="8"/>
        <v>18306.138951560053</v>
      </c>
    </row>
    <row r="17" spans="1:58" s="59" customFormat="1">
      <c r="A17" s="62" t="s">
        <v>222</v>
      </c>
      <c r="B17" s="62" t="s">
        <v>223</v>
      </c>
      <c r="C17" s="62" t="s">
        <v>224</v>
      </c>
      <c r="D17" s="62" t="s">
        <v>205</v>
      </c>
      <c r="E17" s="26">
        <v>106.071689831748</v>
      </c>
      <c r="F17" s="26">
        <v>11.3</v>
      </c>
      <c r="G17" s="66"/>
      <c r="H17" s="26">
        <v>3.7</v>
      </c>
      <c r="I17" s="72"/>
      <c r="K17" s="26">
        <v>2506</v>
      </c>
      <c r="L17" s="72"/>
      <c r="V17" s="34">
        <f t="shared" si="5"/>
        <v>12240.631833877473</v>
      </c>
      <c r="W17" s="34">
        <v>7111.1859290912498</v>
      </c>
      <c r="X17" s="34">
        <v>2406.1702309449001</v>
      </c>
      <c r="Y17" s="34">
        <f t="shared" si="6"/>
        <v>1571.185578676811</v>
      </c>
      <c r="Z17" s="81">
        <v>365.391995041119</v>
      </c>
      <c r="AA17" s="81">
        <v>712.51439033018198</v>
      </c>
      <c r="AB17" s="81">
        <v>493.27919330550998</v>
      </c>
      <c r="AF17" s="81"/>
      <c r="AJ17" s="81">
        <v>2375.0479677672702</v>
      </c>
      <c r="AK17" s="34"/>
      <c r="AL17" s="34"/>
      <c r="AM17" s="34"/>
      <c r="AN17" s="34"/>
      <c r="AO17" s="34"/>
      <c r="AP17" s="34"/>
      <c r="AQ17" s="34">
        <f t="shared" si="7"/>
        <v>5572.2279243770563</v>
      </c>
      <c r="AR17" s="81">
        <v>749.05358983429301</v>
      </c>
      <c r="AS17" s="81"/>
      <c r="AT17" s="81"/>
      <c r="AU17" s="81"/>
      <c r="AV17" s="81">
        <v>109.61759851233499</v>
      </c>
      <c r="AW17" s="81">
        <v>438.47039404934299</v>
      </c>
      <c r="AX17" s="81">
        <v>913.479987602797</v>
      </c>
      <c r="AY17" s="81">
        <v>511.548793057566</v>
      </c>
      <c r="BA17" s="144">
        <v>2228.8911697508202</v>
      </c>
      <c r="BB17" s="144"/>
      <c r="BC17" s="81">
        <v>621.16639156990198</v>
      </c>
      <c r="BE17" s="76"/>
      <c r="BF17" s="34">
        <f t="shared" si="8"/>
        <v>11327.151846274675</v>
      </c>
    </row>
    <row r="18" spans="1:58" s="59" customFormat="1">
      <c r="A18" s="62" t="s">
        <v>225</v>
      </c>
      <c r="B18" s="62" t="s">
        <v>226</v>
      </c>
      <c r="C18" s="62" t="s">
        <v>227</v>
      </c>
      <c r="D18" s="62" t="s">
        <v>205</v>
      </c>
      <c r="E18" s="66"/>
      <c r="F18" s="26">
        <f>(45+11/12)/3.2808</f>
        <v>13.995570186133461</v>
      </c>
      <c r="G18" s="66"/>
      <c r="H18" s="26">
        <f>(18+8/12)/3.2808</f>
        <v>5.6896691863773068</v>
      </c>
      <c r="I18" s="72"/>
      <c r="K18" s="26">
        <v>4141.4496960899896</v>
      </c>
      <c r="L18" s="27">
        <v>235</v>
      </c>
      <c r="V18" s="34">
        <f t="shared" si="5"/>
        <v>20206.177325773875</v>
      </c>
      <c r="W18" s="34"/>
      <c r="X18" s="34"/>
      <c r="Y18" s="34">
        <f t="shared" si="6"/>
        <v>3087.5623580974529</v>
      </c>
      <c r="Z18" s="81">
        <v>1260.6023828918601</v>
      </c>
      <c r="AA18" s="81">
        <v>895.21038785074097</v>
      </c>
      <c r="AB18" s="81">
        <v>931.749587354852</v>
      </c>
      <c r="AF18" s="81"/>
      <c r="AJ18" s="81">
        <v>4384.7039404934303</v>
      </c>
      <c r="AQ18" s="34">
        <f t="shared" si="7"/>
        <v>8422.2854856977847</v>
      </c>
      <c r="AR18" s="81">
        <v>602.89679181784697</v>
      </c>
      <c r="AS18" s="81"/>
      <c r="AT18" s="81"/>
      <c r="AU18" s="81"/>
      <c r="AV18" s="81">
        <v>182.69599752056101</v>
      </c>
      <c r="AW18" s="81">
        <v>383.66159479317298</v>
      </c>
      <c r="AX18" s="81">
        <v>2667.3615638001702</v>
      </c>
      <c r="AY18" s="81">
        <v>475.00959355345498</v>
      </c>
      <c r="BA18" s="144">
        <v>3087.5623580974502</v>
      </c>
      <c r="BB18" s="144"/>
      <c r="BC18" s="81">
        <v>1023.09758611513</v>
      </c>
      <c r="BE18" s="76"/>
      <c r="BF18" s="34">
        <f t="shared" si="8"/>
        <v>17538.815761973703</v>
      </c>
    </row>
    <row r="19" spans="1:58" s="59" customFormat="1">
      <c r="A19" s="62" t="s">
        <v>228</v>
      </c>
      <c r="B19" s="62" t="s">
        <v>152</v>
      </c>
      <c r="C19" s="62" t="s">
        <v>229</v>
      </c>
      <c r="D19" s="62" t="s">
        <v>205</v>
      </c>
      <c r="E19" s="26">
        <v>121.921482565228</v>
      </c>
      <c r="F19" s="26">
        <v>14.386734942696901</v>
      </c>
      <c r="G19" s="66"/>
      <c r="H19" s="26">
        <v>4.3</v>
      </c>
      <c r="I19" s="72"/>
      <c r="K19" s="26">
        <v>3600.9071940488102</v>
      </c>
      <c r="L19" s="27">
        <v>165</v>
      </c>
      <c r="V19" s="34">
        <f t="shared" si="5"/>
        <v>19475.393335691646</v>
      </c>
      <c r="W19" s="34"/>
      <c r="X19" s="34"/>
      <c r="Y19" s="34">
        <f t="shared" si="6"/>
        <v>2539.474365535777</v>
      </c>
      <c r="Z19" s="81">
        <v>1132.7151846274701</v>
      </c>
      <c r="AA19" s="81">
        <v>511.548793057566</v>
      </c>
      <c r="AB19" s="81">
        <v>895.21038785074097</v>
      </c>
      <c r="AF19" s="81"/>
      <c r="AJ19" s="81">
        <v>3306.7975551221198</v>
      </c>
      <c r="AQ19" s="34">
        <f t="shared" si="7"/>
        <v>9061.7214770197552</v>
      </c>
      <c r="AR19" s="81">
        <v>566.35759231373504</v>
      </c>
      <c r="AS19" s="81"/>
      <c r="AT19" s="81"/>
      <c r="AU19" s="81"/>
      <c r="AV19" s="81">
        <v>328.85279553700599</v>
      </c>
      <c r="AW19" s="81">
        <v>1004.82798636308</v>
      </c>
      <c r="AX19" s="81">
        <v>1571.1855786768101</v>
      </c>
      <c r="AY19" s="81">
        <v>1096.1759851233601</v>
      </c>
      <c r="BA19" s="144">
        <v>3526.0327521467998</v>
      </c>
      <c r="BB19" s="144"/>
      <c r="BC19" s="81">
        <v>968.28878685896404</v>
      </c>
      <c r="BE19" s="76"/>
      <c r="BF19" s="34">
        <f t="shared" si="8"/>
        <v>17904.207757014836</v>
      </c>
    </row>
    <row r="20" spans="1:58">
      <c r="A20" s="9"/>
      <c r="B20" s="9"/>
      <c r="C20" s="9"/>
      <c r="D20" s="9"/>
      <c r="E20" s="26"/>
      <c r="F20" s="26"/>
      <c r="G20" s="26"/>
      <c r="H20" s="26"/>
      <c r="I20" s="27"/>
      <c r="J20" s="9"/>
      <c r="K20" s="27"/>
      <c r="L20" s="27"/>
      <c r="M20" s="27"/>
      <c r="N20" s="27"/>
      <c r="O20" s="27"/>
      <c r="P20" s="27"/>
      <c r="Q20" s="27"/>
      <c r="R20" s="27"/>
      <c r="S20" s="27"/>
      <c r="T20" s="33"/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Q20" s="34"/>
      <c r="AR20" s="34"/>
      <c r="AS20" s="34"/>
      <c r="AT20" s="34"/>
      <c r="AU20" s="34"/>
      <c r="AV20" s="34"/>
      <c r="AW20" s="34"/>
      <c r="AX20" s="34"/>
      <c r="AY20" s="34"/>
      <c r="BA20" s="144"/>
      <c r="BB20" s="144"/>
      <c r="BC20" s="34"/>
      <c r="BD20" s="34"/>
      <c r="BE20" s="139"/>
      <c r="BF20" s="34"/>
    </row>
    <row r="21" spans="1:58">
      <c r="A21" s="9" t="s">
        <v>230</v>
      </c>
      <c r="B21" s="9" t="s">
        <v>231</v>
      </c>
      <c r="C21" s="9"/>
      <c r="D21" s="9"/>
      <c r="E21" s="26">
        <v>13.0760790051207</v>
      </c>
      <c r="F21" s="26">
        <v>4.4684223360156103</v>
      </c>
      <c r="G21" s="26">
        <v>2.2342111680077998</v>
      </c>
      <c r="H21" s="26">
        <v>0.81382589612289702</v>
      </c>
      <c r="I21" s="27">
        <f t="shared" ref="I21:I30" si="9">E21*F21*G21</f>
        <v>130.54371519474446</v>
      </c>
      <c r="J21" s="9"/>
      <c r="K21" s="26">
        <v>18.868184704708298</v>
      </c>
      <c r="L21" s="27">
        <v>9</v>
      </c>
      <c r="M21" s="27"/>
      <c r="N21" s="27"/>
      <c r="O21" s="27"/>
      <c r="P21" s="27">
        <v>4</v>
      </c>
      <c r="Q21" s="27">
        <v>5</v>
      </c>
      <c r="R21" s="27"/>
      <c r="S21" s="27"/>
      <c r="T21" s="33"/>
      <c r="U21" s="33"/>
      <c r="V21" s="34">
        <f>Y21+AJ21+AQ21</f>
        <v>128.97378270964509</v>
      </c>
      <c r="W21" s="34">
        <f>SUM('Raw Data'!AI8:BE8)/3.2808^3</f>
        <v>94.185267601773987</v>
      </c>
      <c r="X21" s="34">
        <f>SUM('Raw Data'!AI9:BE9)/3.2808^3</f>
        <v>34.78851510787112</v>
      </c>
      <c r="Y21" s="34">
        <f>SUM(Z21:AI21)</f>
        <v>16.282780779019856</v>
      </c>
      <c r="Z21" s="34"/>
      <c r="AA21" s="34"/>
      <c r="AB21" s="34"/>
      <c r="AC21" s="34"/>
      <c r="AD21" s="34"/>
      <c r="AE21" s="34"/>
      <c r="AF21" s="34"/>
      <c r="AG21" s="34">
        <f>SUM('Raw Data'!AP8:AP9)/3.2808^3</f>
        <v>16.282780779019856</v>
      </c>
      <c r="AH21" s="34"/>
      <c r="AI21" s="34"/>
      <c r="AJ21" s="34">
        <f>SUM(AK21:AN21)</f>
        <v>32.254064882267159</v>
      </c>
      <c r="AK21" s="34"/>
      <c r="AL21" s="34"/>
      <c r="AM21" s="34">
        <f>SUM('Raw Data'!AU8:AU9)/3.2808^3</f>
        <v>32.254064882267159</v>
      </c>
      <c r="AN21" s="34"/>
      <c r="AO21" s="34"/>
      <c r="AP21" s="34"/>
      <c r="AQ21" s="34">
        <f>SUM(AR21:BD21)</f>
        <v>80.436937048358089</v>
      </c>
      <c r="AR21" s="34">
        <f>SUM('Raw Data'!AX8:AX9)/3.2808^3</f>
        <v>14.22973450688257</v>
      </c>
      <c r="AS21" s="34"/>
      <c r="AT21" s="34"/>
      <c r="AU21" s="34"/>
      <c r="AV21" s="34"/>
      <c r="AW21" s="34">
        <f>SUM('Raw Data'!BB8:BB9)/3.2808^3</f>
        <v>4.2759998219686928</v>
      </c>
      <c r="AX21" s="34"/>
      <c r="AY21" s="34">
        <f>SUM('Raw Data'!BC8:BC9)/3.2808^3</f>
        <v>10.746635314153105</v>
      </c>
      <c r="BA21" s="144">
        <f>SUM('Raw Data'!AY8:AY9)/3.2808^3</f>
        <v>31.772660928800484</v>
      </c>
      <c r="BB21" s="144"/>
      <c r="BC21" s="34">
        <f>SUM('Raw Data'!AZ8:AZ9)/3.2808^3</f>
        <v>19.411906476553238</v>
      </c>
      <c r="BD21" s="34"/>
      <c r="BE21" s="139"/>
      <c r="BF21" s="34">
        <f>V21-AX21</f>
        <v>128.97378270964509</v>
      </c>
    </row>
    <row r="22" spans="1:58">
      <c r="A22" s="9" t="s">
        <v>232</v>
      </c>
      <c r="B22" s="9" t="s">
        <v>231</v>
      </c>
      <c r="C22" s="9"/>
      <c r="D22" s="9"/>
      <c r="E22" s="26">
        <v>24.8719824433065</v>
      </c>
      <c r="F22" s="26">
        <v>5.9436722750548601</v>
      </c>
      <c r="G22" s="26">
        <v>3.3528407705437702</v>
      </c>
      <c r="H22" s="26">
        <v>1.6154596439892701</v>
      </c>
      <c r="I22" s="27">
        <f t="shared" si="9"/>
        <v>495.65351048928704</v>
      </c>
      <c r="J22" s="9"/>
      <c r="K22" s="26">
        <v>92.4612174544135</v>
      </c>
      <c r="L22" s="27">
        <v>11</v>
      </c>
      <c r="M22" s="27"/>
      <c r="N22" s="27"/>
      <c r="O22" s="27"/>
      <c r="P22" s="27">
        <v>10</v>
      </c>
      <c r="Q22" s="27">
        <v>1</v>
      </c>
      <c r="R22" s="27"/>
      <c r="S22" s="27"/>
      <c r="T22" s="33"/>
      <c r="U22" s="33"/>
      <c r="V22" s="34">
        <f t="shared" ref="V22:V27" si="10">Y22+AJ22+AQ22</f>
        <v>475.28729146968567</v>
      </c>
      <c r="W22" s="34">
        <f>SUM('Raw Data'!AI10:BE10)/3.2808^3</f>
        <v>351.04259465586023</v>
      </c>
      <c r="X22" s="34">
        <f>SUM('Raw Data'!AI11:BE11)/3.2808^3</f>
        <v>124.24469681382543</v>
      </c>
      <c r="Y22" s="34">
        <f t="shared" ref="Y22:Y29" si="11">SUM(Z22:AI22)</f>
        <v>19.043774041549312</v>
      </c>
      <c r="Z22" s="34">
        <f>SUM('Raw Data'!AJ10:AJ11)/3.2808^3</f>
        <v>18.222555532694397</v>
      </c>
      <c r="AA22" s="34">
        <f>SUM('Raw Data'!AK10:AK11)/3.2808^3</f>
        <v>0.82121850885491443</v>
      </c>
      <c r="AB22" s="34"/>
      <c r="AC22" s="34"/>
      <c r="AD22" s="34"/>
      <c r="AE22" s="34"/>
      <c r="AF22" s="34"/>
      <c r="AG22" s="34"/>
      <c r="AH22" s="34"/>
      <c r="AI22" s="34"/>
      <c r="AJ22" s="34">
        <f t="shared" ref="AJ22:AJ27" si="12">SUM(AK22:AN22)</f>
        <v>151.51481488373173</v>
      </c>
      <c r="AK22" s="143">
        <f>SUM('Raw Data'!AS10:AS11)/3.2808^3</f>
        <v>86.893413600734661</v>
      </c>
      <c r="AL22" s="143">
        <f>SUM('Raw Data'!AT10:AT11)/3.2808^3</f>
        <v>54.738461297122406</v>
      </c>
      <c r="AM22" s="143">
        <f>SUM('Raw Data'!AU10:AU11)/3.2808^3</f>
        <v>9.8829399858746605</v>
      </c>
      <c r="AN22" s="143"/>
      <c r="AO22" s="143"/>
      <c r="AP22" s="143"/>
      <c r="AQ22" s="34">
        <f t="shared" ref="AQ22:AQ27" si="13">SUM(AR22:BD22)</f>
        <v>304.72870254440465</v>
      </c>
      <c r="AR22" s="34">
        <f>SUM('Raw Data'!AX10:AX11)/3.2808^3</f>
        <v>43.836077645083023</v>
      </c>
      <c r="AS22" s="34"/>
      <c r="AT22" s="34"/>
      <c r="AU22" s="34"/>
      <c r="AV22" s="34"/>
      <c r="AW22" s="34">
        <f>SUM('Raw Data'!BB10:BB11)/3.2808^3</f>
        <v>9.84046316645113</v>
      </c>
      <c r="AX22" s="34">
        <f>SUM('Raw Data'!BD10:BD11)/3.2808^3</f>
        <v>36.133614389616234</v>
      </c>
      <c r="AY22" s="34">
        <f>SUM('Raw Data'!BC10:BC11)/3.2808^3</f>
        <v>42.335230025451622</v>
      </c>
      <c r="BA22" s="144">
        <f>SUM('Raw Data'!AY10:AY11)/3.2808^3</f>
        <v>121.66776976879794</v>
      </c>
      <c r="BB22" s="144"/>
      <c r="BC22" s="34">
        <f>SUM('Raw Data'!AZ10:AZ11)/3.2808^3</f>
        <v>50.9155475490047</v>
      </c>
      <c r="BD22" s="34"/>
      <c r="BE22" s="139"/>
      <c r="BF22" s="34">
        <f t="shared" ref="BF22:BF27" si="14">V22-AX22</f>
        <v>439.15367708006943</v>
      </c>
    </row>
    <row r="23" spans="1:58">
      <c r="A23" s="9" t="s">
        <v>233</v>
      </c>
      <c r="B23" s="9" t="s">
        <v>231</v>
      </c>
      <c r="C23" s="9"/>
      <c r="D23" s="9"/>
      <c r="E23" s="26">
        <v>31.711777615215802</v>
      </c>
      <c r="F23" s="26">
        <v>6.4252621311875098</v>
      </c>
      <c r="G23" s="26">
        <v>3.3345525481589902</v>
      </c>
      <c r="H23" s="26">
        <v>1.98122409168495</v>
      </c>
      <c r="I23" s="27">
        <f t="shared" si="9"/>
        <v>679.43670233818773</v>
      </c>
      <c r="J23" s="9"/>
      <c r="K23" s="26">
        <v>157.48888687290199</v>
      </c>
      <c r="L23" s="27">
        <v>16</v>
      </c>
      <c r="M23" s="27"/>
      <c r="N23" s="27">
        <v>2</v>
      </c>
      <c r="O23" s="27">
        <v>2</v>
      </c>
      <c r="P23" s="27">
        <v>12</v>
      </c>
      <c r="Q23" s="27"/>
      <c r="R23" s="27"/>
      <c r="S23" s="27"/>
      <c r="T23" s="33"/>
      <c r="U23" s="33"/>
      <c r="V23" s="34">
        <f t="shared" si="10"/>
        <v>614.97939161386819</v>
      </c>
      <c r="W23" s="34">
        <f>SUM('Raw Data'!AI12:BE12)/3.2808^3</f>
        <v>496.46906542221933</v>
      </c>
      <c r="X23" s="34">
        <f>SUM('Raw Data'!AI13:BE13)/3.2808^3</f>
        <v>118.51032619164887</v>
      </c>
      <c r="Y23" s="34">
        <f t="shared" si="11"/>
        <v>34.618607830176998</v>
      </c>
      <c r="Z23" s="34">
        <f>SUM('Raw Data'!AJ12:AJ13)/3.2808^3</f>
        <v>25.316184376423916</v>
      </c>
      <c r="AA23" s="34">
        <f>SUM('Raw Data'!AK12:AK13)/3.2808^3</f>
        <v>9.3024234537530823</v>
      </c>
      <c r="AB23" s="34"/>
      <c r="AC23" s="34"/>
      <c r="AD23" s="34"/>
      <c r="AE23" s="34"/>
      <c r="AF23" s="34"/>
      <c r="AG23" s="34"/>
      <c r="AH23" s="34"/>
      <c r="AI23" s="34"/>
      <c r="AJ23" s="34">
        <f t="shared" si="12"/>
        <v>181.97069441040276</v>
      </c>
      <c r="AK23" s="143">
        <f>SUM('Raw Data'!AS12:AS13)/3.2808^3</f>
        <v>135.07628576682558</v>
      </c>
      <c r="AL23" s="143">
        <f>SUM('Raw Data'!AT12:AT13)/3.2808^3</f>
        <v>36.374316366349575</v>
      </c>
      <c r="AM23" s="143">
        <f>SUM('Raw Data'!AU12:AU13)/3.2808^3</f>
        <v>10.520092277227612</v>
      </c>
      <c r="AN23" s="143"/>
      <c r="AO23" s="143"/>
      <c r="AP23" s="143"/>
      <c r="AQ23" s="34">
        <f t="shared" si="13"/>
        <v>398.39008937328845</v>
      </c>
      <c r="AR23" s="34">
        <f>SUM('Raw Data'!AX12:AX13)/3.2808^3</f>
        <v>28.742647809922008</v>
      </c>
      <c r="AS23" s="34"/>
      <c r="AT23" s="34"/>
      <c r="AU23" s="34"/>
      <c r="AV23" s="34"/>
      <c r="AW23" s="34">
        <f>SUM('Raw Data'!BB12:BB13)/3.2808^3</f>
        <v>27.383389588369045</v>
      </c>
      <c r="AX23" s="34">
        <f>SUM('Raw Data'!BD12:BD13)/3.2808^3</f>
        <v>37.209693815012329</v>
      </c>
      <c r="AY23" s="34">
        <f>SUM('Raw Data'!BC12:BC13)/3.2808^3</f>
        <v>46.172302713377171</v>
      </c>
      <c r="BA23" s="144">
        <f>SUM('Raw Data'!AY12:AY13)/3.2808^3</f>
        <v>200.70297177617954</v>
      </c>
      <c r="BB23" s="144"/>
      <c r="BC23" s="34">
        <f>SUM('Raw Data'!AZ12:AZ13)/3.2808^3</f>
        <v>58.179083670428341</v>
      </c>
      <c r="BD23" s="34"/>
      <c r="BE23" s="139"/>
      <c r="BF23" s="34">
        <f t="shared" si="14"/>
        <v>577.76969779885587</v>
      </c>
    </row>
    <row r="24" spans="1:58">
      <c r="A24" s="9" t="s">
        <v>234</v>
      </c>
      <c r="B24" s="9" t="s">
        <v>231</v>
      </c>
      <c r="C24" s="9"/>
      <c r="D24" s="9"/>
      <c r="E24" s="26">
        <v>33.528407705437701</v>
      </c>
      <c r="F24" s="26">
        <v>6.8885637649353804</v>
      </c>
      <c r="G24" s="26">
        <v>3.6576444769568401</v>
      </c>
      <c r="H24" s="26">
        <v>1.4935381614240399</v>
      </c>
      <c r="I24" s="27">
        <f t="shared" si="9"/>
        <v>844.77898469516595</v>
      </c>
      <c r="J24" s="9"/>
      <c r="K24" s="26">
        <v>166.12537421754499</v>
      </c>
      <c r="L24" s="27">
        <v>18</v>
      </c>
      <c r="M24" s="27"/>
      <c r="N24" s="27">
        <v>2</v>
      </c>
      <c r="O24" s="27">
        <v>2</v>
      </c>
      <c r="P24" s="27">
        <v>12</v>
      </c>
      <c r="Q24" s="27">
        <v>2</v>
      </c>
      <c r="R24" s="27"/>
      <c r="S24" s="27"/>
      <c r="T24" s="33"/>
      <c r="U24" s="33"/>
      <c r="V24" s="34">
        <f t="shared" si="10"/>
        <v>739.5497440432739</v>
      </c>
      <c r="W24" s="34">
        <f>SUM('Raw Data'!AI14:BE14)/3.2808^3</f>
        <v>574.79632043920878</v>
      </c>
      <c r="X24" s="34">
        <f>SUM('Raw Data'!AI15:BE15)/3.2808^3</f>
        <v>164.75342360406526</v>
      </c>
      <c r="Y24" s="34">
        <f t="shared" si="11"/>
        <v>41.740554553522202</v>
      </c>
      <c r="Z24" s="34">
        <f>SUM('Raw Data'!AJ14:AJ15)/3.2808^3</f>
        <v>29.22405176338868</v>
      </c>
      <c r="AA24" s="34">
        <f>SUM('Raw Data'!AK14:AK15)/3.2808^3</f>
        <v>12.516502790133524</v>
      </c>
      <c r="AB24" s="34"/>
      <c r="AC24" s="34"/>
      <c r="AD24" s="34"/>
      <c r="AE24" s="34"/>
      <c r="AF24" s="34"/>
      <c r="AG24" s="34"/>
      <c r="AH24" s="34"/>
      <c r="AI24" s="34"/>
      <c r="AJ24" s="34">
        <f t="shared" si="12"/>
        <v>227.1801892168466</v>
      </c>
      <c r="AK24" s="143">
        <f>SUM('Raw Data'!AS14:AS15)/3.2808^3</f>
        <v>159.0898476809279</v>
      </c>
      <c r="AL24" s="143">
        <f>SUM('Raw Data'!AT14:AT15)/3.2808^3</f>
        <v>52.501348807483154</v>
      </c>
      <c r="AM24" s="143">
        <f>SUM('Raw Data'!AU14:AU15)/3.2808^3</f>
        <v>14.158939807843353</v>
      </c>
      <c r="AN24" s="143">
        <f>SUM('Raw Data'!AV14:AV15)/3.2808^3</f>
        <v>1.4300529205921786</v>
      </c>
      <c r="AO24" s="143"/>
      <c r="AP24" s="143"/>
      <c r="AQ24" s="34">
        <f t="shared" si="13"/>
        <v>470.62900027290516</v>
      </c>
      <c r="AR24" s="34">
        <f>SUM('Raw Data'!AX14:AX15)/3.2808^3</f>
        <v>45.959918616259522</v>
      </c>
      <c r="AS24" s="34"/>
      <c r="AT24" s="34"/>
      <c r="AU24" s="34"/>
      <c r="AV24" s="34"/>
      <c r="AW24" s="34">
        <f>SUM('Raw Data'!BB14:BB15)/3.2808^3</f>
        <v>8.0422778108550244</v>
      </c>
      <c r="AX24" s="34">
        <f>SUM('Raw Data'!BD14:BD15)/3.2808^3</f>
        <v>31.503641072451462</v>
      </c>
      <c r="AY24" s="34">
        <f>SUM('Raw Data'!BC14:BC15)/3.2808^3</f>
        <v>80.904182062016915</v>
      </c>
      <c r="BA24" s="144">
        <f>SUM('Raw Data'!AY14:AY15)/3.2808^3</f>
        <v>121.75272340764499</v>
      </c>
      <c r="BB24" s="144"/>
      <c r="BC24" s="34">
        <f>SUM('Raw Data'!AZ14:AZ15)/3.2808^3</f>
        <v>182.46625730367728</v>
      </c>
      <c r="BD24" s="34"/>
      <c r="BE24" s="139"/>
      <c r="BF24" s="34">
        <f t="shared" si="14"/>
        <v>708.0461029708224</v>
      </c>
    </row>
    <row r="25" spans="1:58">
      <c r="A25" s="9" t="s">
        <v>235</v>
      </c>
      <c r="B25" s="9" t="s">
        <v>231</v>
      </c>
      <c r="C25" s="9"/>
      <c r="D25" s="9"/>
      <c r="E25" s="26">
        <v>60.960741282614002</v>
      </c>
      <c r="F25" s="26">
        <v>10.3633260180444</v>
      </c>
      <c r="G25" s="26">
        <v>5.9436722750548601</v>
      </c>
      <c r="H25" s="26">
        <v>3.2004389173372298</v>
      </c>
      <c r="I25" s="27">
        <f t="shared" si="9"/>
        <v>3754.9508370400631</v>
      </c>
      <c r="J25" s="9"/>
      <c r="K25" s="26">
        <v>1087.18134809036</v>
      </c>
      <c r="L25" s="27">
        <v>86</v>
      </c>
      <c r="M25" s="27"/>
      <c r="N25" s="27">
        <v>12</v>
      </c>
      <c r="O25" s="27">
        <v>8</v>
      </c>
      <c r="P25" s="27">
        <v>66</v>
      </c>
      <c r="Q25" s="27"/>
      <c r="R25" s="27"/>
      <c r="S25" s="27"/>
      <c r="T25" s="33"/>
      <c r="U25" s="33"/>
      <c r="V25" s="34">
        <f t="shared" si="10"/>
        <v>3550.38955416624</v>
      </c>
      <c r="W25" s="34">
        <f>SUM('Raw Data'!AI16:BE16)/3.2808^3</f>
        <v>3035.1174166792052</v>
      </c>
      <c r="X25" s="34">
        <f>SUM('Raw Data'!AI17:BE17)/3.2808^3</f>
        <v>515.27213748703525</v>
      </c>
      <c r="Y25" s="34">
        <f t="shared" si="11"/>
        <v>216.39815655317386</v>
      </c>
      <c r="Z25" s="34">
        <f>SUM('Raw Data'!AJ16:AJ17)/3.2808^3</f>
        <v>110.21318746425266</v>
      </c>
      <c r="AA25" s="34">
        <f>SUM('Raw Data'!AK16:AK17)/3.2808^3</f>
        <v>88.288069171807223</v>
      </c>
      <c r="AB25" s="34">
        <f>SUM('Raw Data'!AL16:AL17)/3.2808^3</f>
        <v>17.896899917113998</v>
      </c>
      <c r="AC25" s="34"/>
      <c r="AD25" s="34"/>
      <c r="AE25" s="34"/>
      <c r="AF25" s="34"/>
      <c r="AG25" s="34"/>
      <c r="AH25" s="34"/>
      <c r="AI25" s="34"/>
      <c r="AJ25" s="34">
        <f t="shared" si="12"/>
        <v>1298.2615088607727</v>
      </c>
      <c r="AK25" s="143">
        <f>SUM('Raw Data'!AS16:AS17)/3.2808^3</f>
        <v>1014.1199047969723</v>
      </c>
      <c r="AL25" s="143">
        <f>SUM('Raw Data'!AT16:AT17)/3.2808^3</f>
        <v>203.09583260370505</v>
      </c>
      <c r="AM25" s="143">
        <f>SUM('Raw Data'!AU16:AU17)/3.2808^3</f>
        <v>81.045771460095352</v>
      </c>
      <c r="AN25" s="143"/>
      <c r="AO25" s="143"/>
      <c r="AP25" s="143"/>
      <c r="AQ25" s="34">
        <f t="shared" si="13"/>
        <v>2035.7298887522934</v>
      </c>
      <c r="AR25" s="34">
        <f>SUM('Raw Data'!AX16:AX17)/3.2808^3</f>
        <v>143.76987480884139</v>
      </c>
      <c r="AS25" s="34"/>
      <c r="AT25" s="34"/>
      <c r="AU25" s="34"/>
      <c r="AV25" s="34">
        <f>SUM('Raw Data'!BA16:BA17)/3.2808^3</f>
        <v>62.978964265287232</v>
      </c>
      <c r="AW25" s="34">
        <f>SUM('Raw Data'!BB16:BB17)/3.2808^3</f>
        <v>287.36984233998868</v>
      </c>
      <c r="AX25" s="34">
        <f>SUM('Raw Data'!BD16:BD17)/3.2808^3</f>
        <v>225.86340781471716</v>
      </c>
      <c r="AY25" s="34">
        <f>SUM('Raw Data'!BC16:BC17)/3.2808^3</f>
        <v>264.81465122609421</v>
      </c>
      <c r="BA25" s="144">
        <f>SUM('Raw Data'!AY16:AY17)/3.2808^3</f>
        <v>509.95545558919014</v>
      </c>
      <c r="BB25" s="144"/>
      <c r="BC25" s="34">
        <f>SUM('Raw Data'!AZ16:AZ17)/3.2808^3</f>
        <v>540.97769270817491</v>
      </c>
      <c r="BD25" s="34"/>
      <c r="BE25" s="139"/>
      <c r="BF25" s="34">
        <f t="shared" si="14"/>
        <v>3324.526146351523</v>
      </c>
    </row>
    <row r="26" spans="1:58">
      <c r="A26" s="9" t="s">
        <v>236</v>
      </c>
      <c r="B26" s="9" t="s">
        <v>231</v>
      </c>
      <c r="C26" s="9"/>
      <c r="D26" s="9"/>
      <c r="E26" s="26">
        <v>77.724945135332803</v>
      </c>
      <c r="F26" s="26">
        <v>11.5825408436967</v>
      </c>
      <c r="G26" s="26">
        <v>7.3152889539136803</v>
      </c>
      <c r="H26" s="26">
        <v>3.9624481833699101</v>
      </c>
      <c r="I26" s="27">
        <f t="shared" si="9"/>
        <v>6585.6060834241207</v>
      </c>
      <c r="J26" s="9"/>
      <c r="K26" s="26">
        <v>1651.49959176268</v>
      </c>
      <c r="L26" s="27">
        <v>109</v>
      </c>
      <c r="M26" s="27"/>
      <c r="N26" s="27">
        <v>13</v>
      </c>
      <c r="O26" s="27">
        <v>10</v>
      </c>
      <c r="P26" s="27">
        <v>84</v>
      </c>
      <c r="Q26" s="27">
        <v>2</v>
      </c>
      <c r="R26" s="27"/>
      <c r="S26" s="27"/>
      <c r="T26" s="33"/>
      <c r="U26" s="33"/>
      <c r="V26" s="34">
        <f t="shared" si="10"/>
        <v>6574.2647726380183</v>
      </c>
      <c r="W26" s="34">
        <f>SUM('Raw Data'!AI18:BE18)/3.2808^3</f>
        <v>5126.4707004666116</v>
      </c>
      <c r="X26" s="34">
        <f>SUM('Raw Data'!AI19:BE19)/3.2808^3</f>
        <v>1447.7940721714065</v>
      </c>
      <c r="Y26" s="34">
        <f t="shared" si="11"/>
        <v>1031.4504471217726</v>
      </c>
      <c r="Z26" s="34">
        <f>SUM('Raw Data'!AJ18:AJ19)/3.2808^3</f>
        <v>559.15777142144577</v>
      </c>
      <c r="AA26" s="34">
        <f>SUM('Raw Data'!AK18:AK19)/3.2808^3</f>
        <v>114.29096212891154</v>
      </c>
      <c r="AB26" s="34">
        <f>SUM('Raw Data'!AL18:AL19)/3.2808^3</f>
        <v>322.32118525564999</v>
      </c>
      <c r="AC26" s="34"/>
      <c r="AD26" s="34"/>
      <c r="AE26" s="34"/>
      <c r="AF26" s="34"/>
      <c r="AG26" s="34">
        <f>SUM('Raw Data'!AP18:AP19)/3.2808^3</f>
        <v>35.680528315765251</v>
      </c>
      <c r="AH26" s="34"/>
      <c r="AI26" s="34"/>
      <c r="AJ26" s="34">
        <f t="shared" si="12"/>
        <v>1846.9699827040299</v>
      </c>
      <c r="AK26" s="143">
        <f>SUM('Raw Data'!AS18:AS19)/3.2808^3</f>
        <v>1354.7981555134913</v>
      </c>
      <c r="AL26" s="143">
        <f>SUM('Raw Data'!AT18:AT19)/3.2808^3</f>
        <v>342.21449568566993</v>
      </c>
      <c r="AM26" s="143">
        <f>SUM('Raw Data'!AU18:AU19)/3.2808^3</f>
        <v>142.25486824940216</v>
      </c>
      <c r="AN26" s="143">
        <f>SUM('Raw Data'!AV18:AV19)/3.2808^3</f>
        <v>7.7024632554667845</v>
      </c>
      <c r="AO26" s="143"/>
      <c r="AP26" s="143"/>
      <c r="AQ26" s="34">
        <f t="shared" si="13"/>
        <v>3695.844342812215</v>
      </c>
      <c r="AR26" s="34">
        <f>SUM('Raw Data'!AX18:AX19)/3.2808^3</f>
        <v>251.00968491344696</v>
      </c>
      <c r="AS26" s="34"/>
      <c r="AT26" s="34"/>
      <c r="AU26" s="34"/>
      <c r="AV26" s="34">
        <f>SUM('Raw Data'!BA18:BA19)/3.2808^3</f>
        <v>132.86749115680203</v>
      </c>
      <c r="AW26" s="34">
        <f>SUM('Raw Data'!BB18:BB19)/3.2808^3</f>
        <v>274.78254485081595</v>
      </c>
      <c r="AX26" s="34">
        <f>SUM('Raw Data'!BD18:BD19)/3.2808^3</f>
        <v>544.97051373398676</v>
      </c>
      <c r="AY26" s="34">
        <f>SUM('Raw Data'!BC18:BC19)/3.2808^3</f>
        <v>432.83878992577132</v>
      </c>
      <c r="BA26" s="144">
        <f>SUM('Raw Data'!AY18:AY19)/3.2808^3</f>
        <v>1050.8906714779414</v>
      </c>
      <c r="BB26" s="144"/>
      <c r="BC26" s="34">
        <f>SUM('Raw Data'!AZ18:AZ19)/3.2808^3</f>
        <v>996.69024989351715</v>
      </c>
      <c r="BD26" s="34">
        <f>SUM('Raw Data'!BE18:BE19)/3.2808^3</f>
        <v>11.794396859933514</v>
      </c>
      <c r="BE26" s="139"/>
      <c r="BF26" s="34">
        <f t="shared" si="14"/>
        <v>6029.2942589040313</v>
      </c>
    </row>
    <row r="27" spans="1:58">
      <c r="A27" s="9" t="s">
        <v>237</v>
      </c>
      <c r="B27" s="9" t="s">
        <v>231</v>
      </c>
      <c r="C27" s="9"/>
      <c r="D27" s="9"/>
      <c r="E27" s="26">
        <v>106.681297244574</v>
      </c>
      <c r="F27" s="26">
        <v>12.8017556693489</v>
      </c>
      <c r="G27" s="26">
        <v>8.3821019263594199</v>
      </c>
      <c r="H27" s="26">
        <v>4.1148500365764402</v>
      </c>
      <c r="I27" s="27">
        <f t="shared" si="9"/>
        <v>11447.502834641258</v>
      </c>
      <c r="J27" s="9"/>
      <c r="K27" s="26">
        <v>3000.4173092624501</v>
      </c>
      <c r="L27" s="27">
        <v>186</v>
      </c>
      <c r="M27" s="27"/>
      <c r="N27" s="27">
        <v>16</v>
      </c>
      <c r="O27" s="27">
        <v>14</v>
      </c>
      <c r="P27" s="27">
        <v>144</v>
      </c>
      <c r="Q27" s="27">
        <v>6</v>
      </c>
      <c r="R27" s="27">
        <v>6</v>
      </c>
      <c r="S27" s="27"/>
      <c r="T27" s="33"/>
      <c r="U27" s="33"/>
      <c r="V27" s="34">
        <f t="shared" si="10"/>
        <v>11008.68897211667</v>
      </c>
      <c r="W27" s="34">
        <f>SUM('Raw Data'!AI20:BE20)/3.2808^3</f>
        <v>7652.1707012693241</v>
      </c>
      <c r="X27" s="34">
        <f>SUM('Raw Data'!AI21:BE21)/3.2808^3</f>
        <v>3356.5182708473453</v>
      </c>
      <c r="Y27" s="34">
        <f t="shared" si="11"/>
        <v>1476.8057398376775</v>
      </c>
      <c r="Z27" s="34">
        <f>SUM('Raw Data'!AJ20:AJ21)/3.2808^3</f>
        <v>577.99624083578135</v>
      </c>
      <c r="AA27" s="34">
        <f>SUM('Raw Data'!AK20:AK21)/3.2808^3</f>
        <v>307.16404019135371</v>
      </c>
      <c r="AB27" s="34">
        <f>SUM('Raw Data'!AL20:AL21)/3.2808^3</f>
        <v>132.6975838791079</v>
      </c>
      <c r="AC27" s="34"/>
      <c r="AD27" s="34">
        <f>SUM('Raw Data'!AN20:AN21)/3.2808^3</f>
        <v>198.64992550404224</v>
      </c>
      <c r="AE27" s="34"/>
      <c r="AF27" s="34"/>
      <c r="AG27" s="34">
        <f>SUM('Raw Data'!AP20:AP21)/3.2808^3</f>
        <v>176.70356880188504</v>
      </c>
      <c r="AH27" s="34">
        <f>SUM('Raw Data'!AQ20:AQ21)/3.2808^3</f>
        <v>83.594380625507156</v>
      </c>
      <c r="AI27" s="34"/>
      <c r="AJ27" s="34">
        <f t="shared" si="12"/>
        <v>2963.4094660223823</v>
      </c>
      <c r="AK27" s="143">
        <f>SUM('Raw Data'!AS20:AS21)/3.2808^3</f>
        <v>2204.3770208035157</v>
      </c>
      <c r="AL27" s="143">
        <f>SUM('Raw Data'!AT20:AT21)/3.2808^3</f>
        <v>567.09385718374199</v>
      </c>
      <c r="AM27" s="143">
        <f>SUM('Raw Data'!AU20:AU21)/3.2808^3</f>
        <v>191.9385880351245</v>
      </c>
      <c r="AN27" s="143"/>
      <c r="AO27" s="143"/>
      <c r="AP27" s="143"/>
      <c r="AQ27" s="34">
        <f t="shared" si="13"/>
        <v>6568.4737662566095</v>
      </c>
      <c r="AR27" s="34">
        <f>SUM('Raw Data'!AX20:AX21)/3.2808^3</f>
        <v>405.22885730047676</v>
      </c>
      <c r="AS27" s="34"/>
      <c r="AT27" s="34"/>
      <c r="AU27" s="34"/>
      <c r="AV27" s="34">
        <f>SUM('Raw Data'!BA20:BA21)/3.2808^3</f>
        <v>207.96650789760318</v>
      </c>
      <c r="AW27" s="34">
        <f>SUM('Raw Data'!BB20:BB21)/3.2808^3</f>
        <v>659.94818444357873</v>
      </c>
      <c r="AX27" s="34">
        <f>SUM('Raw Data'!BD20:BD21)/3.2808^3</f>
        <v>721.39798320961881</v>
      </c>
      <c r="AY27" s="34">
        <f>SUM('Raw Data'!BC20:BC21)/3.2808^3</f>
        <v>1430.7325497029551</v>
      </c>
      <c r="BA27" s="144">
        <f>SUM('Raw Data'!AY20:AY21)/3.2808^3</f>
        <v>1776.7770386066468</v>
      </c>
      <c r="BB27" s="144"/>
      <c r="BC27" s="34">
        <f>SUM('Raw Data'!AZ20:AZ21)/3.2808^3</f>
        <v>1366.4226450957306</v>
      </c>
      <c r="BD27" s="34"/>
      <c r="BE27" s="139"/>
      <c r="BF27" s="34">
        <f t="shared" si="14"/>
        <v>10287.290988907051</v>
      </c>
    </row>
    <row r="28" spans="1:58">
      <c r="A28" s="8"/>
      <c r="B28" s="8"/>
      <c r="C28" s="8"/>
      <c r="D28" s="8"/>
      <c r="E28" s="67"/>
      <c r="F28" s="67"/>
      <c r="G28" s="67"/>
      <c r="H28" s="67"/>
      <c r="I28" s="27"/>
      <c r="J28" s="8"/>
      <c r="K28" s="70"/>
      <c r="L28" s="70"/>
      <c r="M28" s="70"/>
      <c r="N28" s="70"/>
      <c r="O28" s="70"/>
      <c r="P28" s="70"/>
      <c r="Q28" s="70"/>
      <c r="R28" s="70"/>
      <c r="S28" s="70"/>
      <c r="T28" s="79"/>
      <c r="U28" s="79"/>
      <c r="V28" s="80"/>
      <c r="X28" s="80"/>
      <c r="Y28" s="34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Q28" s="80"/>
      <c r="AR28" s="80"/>
      <c r="AS28" s="80"/>
      <c r="AT28" s="80"/>
      <c r="AU28" s="80"/>
      <c r="AV28" s="80"/>
      <c r="AW28" s="80"/>
      <c r="AX28" s="80"/>
      <c r="AY28" s="80"/>
      <c r="BA28" s="80"/>
      <c r="BC28" s="80"/>
      <c r="BD28" s="80"/>
      <c r="BE28" s="140"/>
    </row>
    <row r="29" spans="1:58">
      <c r="A29" s="9" t="s">
        <v>877</v>
      </c>
      <c r="B29" s="9"/>
      <c r="C29" s="9"/>
      <c r="D29" s="9"/>
      <c r="E29" s="26">
        <v>143.56</v>
      </c>
      <c r="F29" s="155">
        <v>17.98</v>
      </c>
      <c r="G29" s="26">
        <v>12.75</v>
      </c>
      <c r="H29" s="26">
        <v>6.32</v>
      </c>
      <c r="I29" s="27">
        <f t="shared" si="9"/>
        <v>32910.412199999999</v>
      </c>
      <c r="J29" s="27">
        <v>7254.3883847549914</v>
      </c>
      <c r="K29" s="27">
        <v>9395.8883847549914</v>
      </c>
      <c r="L29" s="27">
        <v>380</v>
      </c>
      <c r="M29" s="27"/>
      <c r="N29" s="27"/>
      <c r="O29" s="27"/>
      <c r="P29" s="27"/>
      <c r="Q29" s="27"/>
      <c r="R29" s="27"/>
      <c r="S29" s="27"/>
      <c r="T29" s="33"/>
      <c r="U29" s="33"/>
      <c r="V29" s="34">
        <v>32861.757577193996</v>
      </c>
      <c r="W29" s="34">
        <v>27085.83</v>
      </c>
      <c r="X29" s="34">
        <v>5775.93</v>
      </c>
      <c r="Y29" s="34">
        <f t="shared" si="11"/>
        <v>6737.6500000000005</v>
      </c>
      <c r="Z29" s="34">
        <v>3439.9</v>
      </c>
      <c r="AA29" s="34">
        <v>1383.7</v>
      </c>
      <c r="AB29" s="34">
        <v>1835.13</v>
      </c>
      <c r="AC29" s="34"/>
      <c r="AD29" s="34"/>
      <c r="AE29" s="34"/>
      <c r="AF29" s="34"/>
      <c r="AG29" s="34"/>
      <c r="AH29" s="34"/>
      <c r="AI29" s="34">
        <v>78.92</v>
      </c>
      <c r="AJ29" s="34">
        <f>SUM(AK29:AP29)</f>
        <v>8252.01</v>
      </c>
      <c r="AK29" s="143">
        <v>6241.6</v>
      </c>
      <c r="AL29" s="143">
        <v>1118.8</v>
      </c>
      <c r="AM29" s="139">
        <v>138.87</v>
      </c>
      <c r="AN29" s="139">
        <v>324.27999999999997</v>
      </c>
      <c r="AO29" s="139">
        <v>166.13</v>
      </c>
      <c r="AP29" s="139">
        <v>262.33</v>
      </c>
      <c r="AQ29" s="34"/>
      <c r="AR29" s="34">
        <v>286.95</v>
      </c>
      <c r="AS29" s="34">
        <v>455.79</v>
      </c>
      <c r="AT29" s="34"/>
      <c r="AU29" s="34"/>
      <c r="AV29" s="34"/>
      <c r="AW29" s="34"/>
      <c r="AX29" s="34"/>
      <c r="AY29" s="34"/>
      <c r="BA29" s="144"/>
      <c r="BB29" s="144"/>
      <c r="BC29" s="34"/>
      <c r="BD29" s="34"/>
      <c r="BE29" s="139"/>
      <c r="BF29" s="34"/>
    </row>
    <row r="30" spans="1:58">
      <c r="A30" s="9" t="s">
        <v>876</v>
      </c>
      <c r="B30" s="9"/>
      <c r="C30" s="9"/>
      <c r="D30" s="9"/>
      <c r="E30" s="26">
        <v>143.56</v>
      </c>
      <c r="F30" s="155">
        <v>17.98</v>
      </c>
      <c r="G30" s="26">
        <v>12.75</v>
      </c>
      <c r="H30" s="26">
        <v>6.32</v>
      </c>
      <c r="I30" s="27">
        <f t="shared" si="9"/>
        <v>32910.412199999999</v>
      </c>
      <c r="J30" s="27">
        <v>7545.8866073788995</v>
      </c>
      <c r="K30" s="27">
        <v>9872.8959204961066</v>
      </c>
      <c r="L30" s="27">
        <v>314</v>
      </c>
      <c r="M30" s="27"/>
      <c r="N30" s="27">
        <v>32</v>
      </c>
      <c r="O30" s="27">
        <v>27</v>
      </c>
      <c r="P30" s="27">
        <v>255</v>
      </c>
      <c r="Q30" s="27"/>
      <c r="R30" s="27"/>
      <c r="S30" s="27"/>
      <c r="T30" s="33"/>
      <c r="U30" s="33"/>
      <c r="V30" s="34">
        <f>1045846/3.2808^3</f>
        <v>29616.141124547477</v>
      </c>
      <c r="W30" s="34">
        <f>V30-X30</f>
        <v>23440.464666440057</v>
      </c>
      <c r="X30" s="34">
        <f>218084/3.2808^3</f>
        <v>6175.6764581074194</v>
      </c>
      <c r="Y30" s="34">
        <f>SUM(Z30:AI30)</f>
        <v>7014.9334562775266</v>
      </c>
      <c r="Z30" s="34">
        <f>134794/3.2808^3</f>
        <v>3817.0802649168741</v>
      </c>
      <c r="AA30" s="34">
        <f>51629/3.2808^3</f>
        <v>1462.023806678289</v>
      </c>
      <c r="AB30" s="34">
        <f>56982/3.2808^3</f>
        <v>1613.6094162610598</v>
      </c>
      <c r="AC30" s="34"/>
      <c r="AD30" s="34">
        <f>2292/3.2808^3</f>
        <v>64.904580079153931</v>
      </c>
      <c r="AE30" s="34"/>
      <c r="AF30" s="34"/>
      <c r="AG30" s="34"/>
      <c r="AH30" s="34"/>
      <c r="AI30" s="34">
        <f>2024/3.2808^3</f>
        <v>57.315388342149895</v>
      </c>
      <c r="AJ30" s="34">
        <f t="shared" ref="AJ30" si="15">SUM(AK30:AP30)</f>
        <v>4433.3056432338317</v>
      </c>
      <c r="AK30" s="143">
        <f>110031/3.2808^3</f>
        <v>3115.8446119936239</v>
      </c>
      <c r="AL30" s="143">
        <f>20114/3.2808^3</f>
        <v>569.58583058992235</v>
      </c>
      <c r="AM30" s="139"/>
      <c r="AN30" s="154">
        <f>4208/3.2808^3</f>
        <v>119.16163742280966</v>
      </c>
      <c r="AO30" s="154">
        <f>12742/3.2808^3</f>
        <v>360.82642206308003</v>
      </c>
      <c r="AP30" s="139">
        <f>9460/3.2808^3</f>
        <v>267.88714116439621</v>
      </c>
      <c r="AQ30" s="34">
        <f>SUM(AR30:AY30)</f>
        <v>9101.6213693982481</v>
      </c>
      <c r="AR30" s="34">
        <f>10130/3.2808^3</f>
        <v>286.86012050690636</v>
      </c>
      <c r="AS30" s="34">
        <f>17096/3.2808^3</f>
        <v>484.12246990977991</v>
      </c>
      <c r="AT30" s="34">
        <f>15288/3.2808^3</f>
        <v>432.92374356461835</v>
      </c>
      <c r="AU30" s="34">
        <f>8199/3.2808^3</f>
        <v>232.1782949690153</v>
      </c>
      <c r="AV30" s="34">
        <f>11293/3.2808^3</f>
        <v>319.79381449994997</v>
      </c>
      <c r="AW30" s="34">
        <f>58540/3.2808^3</f>
        <v>1657.7286727022997</v>
      </c>
      <c r="AX30" s="34">
        <f>113012/3.2808^3</f>
        <v>3200.2602111279862</v>
      </c>
      <c r="AY30" s="34">
        <f>87851/3.2808^3</f>
        <v>2487.7540421176927</v>
      </c>
      <c r="AZ30" s="153">
        <f>SUM(BA30:BD30)</f>
        <v>8925.0310721148253</v>
      </c>
      <c r="BA30" s="153">
        <f>208380/3.2808^3</f>
        <v>5900.8797543167957</v>
      </c>
      <c r="BB30" s="153">
        <f>353/3.2808^3</f>
        <v>9.996211504337408</v>
      </c>
      <c r="BC30" s="34">
        <f>106440/3.2808^3</f>
        <v>3014.1551062936928</v>
      </c>
      <c r="BD30" s="34"/>
      <c r="BE30" s="139"/>
      <c r="BF30" s="34"/>
    </row>
    <row r="31" spans="1:58">
      <c r="A31" s="9" t="s">
        <v>880</v>
      </c>
      <c r="B31" s="9"/>
      <c r="C31" s="9"/>
      <c r="D31" s="9"/>
      <c r="E31" s="26">
        <v>161.241160692514</v>
      </c>
      <c r="F31" s="155">
        <v>16.764203852718847</v>
      </c>
      <c r="G31" s="26">
        <v>12.801755669348939</v>
      </c>
      <c r="H31" s="26">
        <v>5.4864667154352595</v>
      </c>
      <c r="I31" s="27">
        <f>E31*F31*G31</f>
        <v>34604.16571157299</v>
      </c>
      <c r="J31" s="27">
        <v>7067.9474270585606</v>
      </c>
      <c r="K31" s="27">
        <v>9577.9998690508401</v>
      </c>
      <c r="L31" s="27">
        <v>372</v>
      </c>
      <c r="M31" s="27"/>
      <c r="N31" s="27"/>
      <c r="O31" s="27"/>
      <c r="P31" s="27"/>
      <c r="Q31" s="27"/>
      <c r="R31" s="27"/>
      <c r="S31" s="27"/>
      <c r="T31" s="33"/>
      <c r="U31" s="33"/>
      <c r="V31" s="34">
        <f>1009495.83/3.2808^3</f>
        <v>28586.781386477731</v>
      </c>
      <c r="W31" s="34">
        <f>V31-X31</f>
        <v>19968.820339193931</v>
      </c>
      <c r="X31" s="34">
        <f>304329.32/3.2808^3</f>
        <v>8617.9610472837976</v>
      </c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143"/>
      <c r="AL31" s="143"/>
      <c r="AM31" s="139"/>
      <c r="AN31" s="154"/>
      <c r="AO31" s="154"/>
      <c r="AP31" s="139"/>
      <c r="AQ31" s="34"/>
      <c r="AR31" s="34"/>
      <c r="AS31" s="34"/>
      <c r="AT31" s="34"/>
      <c r="AU31" s="34"/>
      <c r="AV31" s="34"/>
      <c r="AW31" s="34"/>
      <c r="AX31" s="34"/>
      <c r="AY31" s="34"/>
      <c r="AZ31" s="153"/>
      <c r="BA31" s="153"/>
      <c r="BB31" s="153"/>
      <c r="BC31" s="34"/>
      <c r="BD31" s="34"/>
      <c r="BE31" s="139"/>
      <c r="BF31" s="34"/>
    </row>
    <row r="32" spans="1:58">
      <c r="A32" s="9" t="s">
        <v>881</v>
      </c>
      <c r="B32" s="9"/>
      <c r="C32" s="9"/>
      <c r="D32" s="9"/>
      <c r="E32" s="26">
        <v>161.241160692514</v>
      </c>
      <c r="F32" s="155">
        <v>16.764203852718847</v>
      </c>
      <c r="G32" s="26">
        <v>12.801755669348939</v>
      </c>
      <c r="H32" s="26">
        <v>5.4864667154352595</v>
      </c>
      <c r="I32" s="27">
        <f>E32*F32*G32</f>
        <v>34604.16571157299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33"/>
      <c r="U32" s="33"/>
      <c r="V32" s="34">
        <f>1003758.46/3.2808^3</f>
        <v>28424.31123350708</v>
      </c>
      <c r="W32" s="34">
        <f>V32-X32</f>
        <v>19828.454556693694</v>
      </c>
      <c r="X32" s="34">
        <f>303548.74/3.2808^3</f>
        <v>8595.8566768133842</v>
      </c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143"/>
      <c r="AL32" s="143"/>
      <c r="AM32" s="139"/>
      <c r="AN32" s="154"/>
      <c r="AO32" s="154"/>
      <c r="AP32" s="139"/>
      <c r="AQ32" s="34"/>
      <c r="AR32" s="34"/>
      <c r="AS32" s="34"/>
      <c r="AT32" s="34"/>
      <c r="AU32" s="34"/>
      <c r="AV32" s="34"/>
      <c r="AW32" s="34"/>
      <c r="AX32" s="34"/>
      <c r="AY32" s="34"/>
      <c r="AZ32" s="153"/>
      <c r="BA32" s="153"/>
      <c r="BB32" s="153"/>
      <c r="BC32" s="34"/>
      <c r="BD32" s="34"/>
      <c r="BE32" s="139"/>
      <c r="BF32" s="34"/>
    </row>
    <row r="33" spans="1:58" s="61" customFormat="1">
      <c r="A33" s="68"/>
      <c r="B33" s="68"/>
      <c r="C33" s="68"/>
      <c r="D33" s="68"/>
      <c r="E33" s="33"/>
      <c r="F33" s="33"/>
      <c r="G33" s="33"/>
      <c r="H33" s="33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33"/>
      <c r="U33" s="33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57"/>
      <c r="BA33" s="157"/>
      <c r="BB33" s="157"/>
      <c r="BC33" s="139"/>
      <c r="BD33" s="139"/>
      <c r="BE33" s="139"/>
      <c r="BF33" s="139"/>
    </row>
    <row r="34" spans="1:58">
      <c r="T34"/>
      <c r="U34"/>
    </row>
    <row r="35" spans="1:58">
      <c r="T35"/>
      <c r="U35"/>
    </row>
    <row r="36" spans="1:58">
      <c r="T36"/>
      <c r="U36"/>
    </row>
    <row r="37" spans="1:58">
      <c r="T37"/>
      <c r="U37"/>
      <c r="W37" s="34"/>
    </row>
    <row r="38" spans="1:58">
      <c r="T38"/>
      <c r="U38"/>
      <c r="W38" s="34"/>
    </row>
    <row r="39" spans="1:58">
      <c r="T39"/>
      <c r="U39"/>
      <c r="W39" s="34"/>
    </row>
    <row r="40" spans="1:58">
      <c r="T40"/>
      <c r="U40"/>
      <c r="W40" s="34"/>
    </row>
    <row r="41" spans="1:58">
      <c r="T41"/>
      <c r="U41"/>
      <c r="W41" s="34"/>
    </row>
    <row r="42" spans="1:58">
      <c r="T42"/>
      <c r="U42"/>
    </row>
    <row r="43" spans="1:58">
      <c r="T43"/>
      <c r="U43"/>
    </row>
    <row r="44" spans="1:58">
      <c r="T44"/>
      <c r="U44"/>
    </row>
    <row r="45" spans="1:58">
      <c r="T45"/>
      <c r="U45"/>
    </row>
    <row r="46" spans="1:58">
      <c r="T46"/>
      <c r="U46"/>
    </row>
    <row r="47" spans="1:58">
      <c r="T47"/>
      <c r="U47"/>
      <c r="AK47" s="20"/>
      <c r="AL47" s="20"/>
      <c r="AM47" s="20"/>
      <c r="AN47" s="20"/>
      <c r="AO47" s="20"/>
      <c r="AP47" s="20"/>
    </row>
    <row r="48" spans="1:58">
      <c r="T48"/>
      <c r="U48"/>
      <c r="AK48" s="20"/>
      <c r="AL48" s="20"/>
      <c r="AM48" s="20"/>
      <c r="AN48" s="20"/>
      <c r="AO48" s="20"/>
      <c r="AP48" s="20"/>
    </row>
    <row r="49" spans="1:57">
      <c r="A49" s="20"/>
      <c r="B49" s="20"/>
      <c r="C49" s="20"/>
      <c r="D49" s="20"/>
      <c r="E49" s="20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35"/>
      <c r="U49" s="19"/>
      <c r="V49" s="19"/>
      <c r="W49" s="19"/>
      <c r="X49" s="19"/>
      <c r="Y49" s="19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BA49" s="20"/>
      <c r="BC49" s="20"/>
      <c r="BD49" s="20"/>
      <c r="BE49" s="35"/>
    </row>
    <row r="50" spans="1:57"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35"/>
      <c r="U50" s="35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BA50" s="20"/>
      <c r="BC50" s="20"/>
      <c r="BD50" s="20"/>
      <c r="BE50" s="35"/>
    </row>
    <row r="51" spans="1:57"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35"/>
      <c r="U51" s="35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BA51" s="20"/>
      <c r="BC51" s="20"/>
      <c r="BD51" s="20"/>
      <c r="BE51" s="35"/>
    </row>
    <row r="52" spans="1:57"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35"/>
      <c r="U52" s="35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BA52" s="20"/>
      <c r="BC52" s="20"/>
      <c r="BD52" s="20"/>
      <c r="BE52" s="35"/>
    </row>
    <row r="53" spans="1:57"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5"/>
      <c r="U53" s="35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BA53" s="20"/>
      <c r="BC53" s="20"/>
      <c r="BD53" s="20"/>
      <c r="BE53" s="35"/>
    </row>
    <row r="54" spans="1:57"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5"/>
      <c r="U54" s="35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BA54" s="20"/>
      <c r="BC54" s="20"/>
      <c r="BD54" s="20"/>
      <c r="BE54" s="35"/>
    </row>
    <row r="55" spans="1:57"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35"/>
      <c r="U55" s="35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BA55" s="20"/>
      <c r="BC55" s="20"/>
      <c r="BD55" s="20"/>
      <c r="BE55" s="35"/>
    </row>
    <row r="56" spans="1:57"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35"/>
      <c r="U56" s="35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BA56" s="20"/>
      <c r="BC56" s="20"/>
      <c r="BD56" s="20"/>
      <c r="BE56" s="35"/>
    </row>
    <row r="57" spans="1:57"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5"/>
      <c r="U57" s="35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BA57" s="20"/>
      <c r="BC57" s="20"/>
      <c r="BD57" s="20"/>
      <c r="BE57" s="35"/>
    </row>
    <row r="58" spans="1:57"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35"/>
      <c r="U58" s="35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Q58" s="20"/>
      <c r="AR58" s="20"/>
      <c r="AS58" s="20"/>
      <c r="AT58" s="20"/>
      <c r="AU58" s="20"/>
      <c r="AV58" s="20"/>
      <c r="AW58" s="20"/>
      <c r="AX58" s="20"/>
      <c r="AY58" s="20"/>
      <c r="BA58" s="20"/>
      <c r="BC58" s="20"/>
      <c r="BD58" s="20"/>
      <c r="BE58" s="35"/>
    </row>
    <row r="59" spans="1:57"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35"/>
      <c r="U59" s="35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Q59" s="20"/>
      <c r="AR59" s="20"/>
      <c r="AS59" s="20"/>
      <c r="AT59" s="20"/>
      <c r="AU59" s="20"/>
      <c r="AV59" s="20"/>
      <c r="AW59" s="20"/>
      <c r="AX59" s="20"/>
      <c r="AY59" s="20"/>
      <c r="BA59" s="20"/>
      <c r="BC59" s="20"/>
      <c r="BD59" s="20"/>
      <c r="BE59" s="35"/>
    </row>
  </sheetData>
  <sortState ref="A4:BD9">
    <sortCondition ref="K4:K9"/>
  </sortState>
  <mergeCells count="24">
    <mergeCell ref="BA10:BB10"/>
    <mergeCell ref="BA4:BB4"/>
    <mergeCell ref="BA5:BB5"/>
    <mergeCell ref="BA7:BB7"/>
    <mergeCell ref="BA8:BB8"/>
    <mergeCell ref="BA9:BB9"/>
    <mergeCell ref="BA22:BB22"/>
    <mergeCell ref="BA11:BB11"/>
    <mergeCell ref="BA12:BB12"/>
    <mergeCell ref="BA13:BB13"/>
    <mergeCell ref="BA14:BB14"/>
    <mergeCell ref="BA15:BB15"/>
    <mergeCell ref="BA16:BB16"/>
    <mergeCell ref="BA17:BB17"/>
    <mergeCell ref="BA18:BB18"/>
    <mergeCell ref="BA19:BB19"/>
    <mergeCell ref="BA20:BB20"/>
    <mergeCell ref="BA21:BB21"/>
    <mergeCell ref="BA29:BB29"/>
    <mergeCell ref="BA23:BB23"/>
    <mergeCell ref="BA24:BB24"/>
    <mergeCell ref="BA25:BB25"/>
    <mergeCell ref="BA26:BB26"/>
    <mergeCell ref="BA27:BB27"/>
  </mergeCells>
  <pageMargins left="0.75" right="0.75" top="1" bottom="1" header="0.5" footer="0.5"/>
  <pageSetup orientation="portrait" cellComments="asDisplayed" verticalDpi="12409" r:id="rId1"/>
  <headerFooter scaleWithDoc="0"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216"/>
  <sheetViews>
    <sheetView topLeftCell="AS1" workbookViewId="0">
      <selection activeCell="F64" sqref="F64:S64"/>
    </sheetView>
  </sheetViews>
  <sheetFormatPr defaultColWidth="8.6640625" defaultRowHeight="15.5"/>
  <sheetData>
    <row r="1" spans="1:57">
      <c r="A1" s="7" t="s">
        <v>250</v>
      </c>
      <c r="B1" s="8" t="s">
        <v>146</v>
      </c>
      <c r="C1" s="7" t="s">
        <v>147</v>
      </c>
      <c r="D1" s="7" t="s">
        <v>148</v>
      </c>
      <c r="E1" s="7" t="s">
        <v>149</v>
      </c>
      <c r="F1" s="7"/>
      <c r="G1" s="7" t="s">
        <v>150</v>
      </c>
      <c r="H1" s="7" t="s">
        <v>151</v>
      </c>
      <c r="I1" s="7" t="s">
        <v>152</v>
      </c>
      <c r="J1" s="7" t="s">
        <v>153</v>
      </c>
      <c r="K1" s="7" t="s">
        <v>150</v>
      </c>
      <c r="L1" s="7" t="s">
        <v>151</v>
      </c>
      <c r="M1" s="7" t="s">
        <v>152</v>
      </c>
      <c r="N1" s="7" t="s">
        <v>153</v>
      </c>
      <c r="O1" s="7" t="s">
        <v>154</v>
      </c>
      <c r="P1" s="7" t="s">
        <v>155</v>
      </c>
      <c r="Q1" s="7" t="s">
        <v>156</v>
      </c>
      <c r="R1" s="7"/>
      <c r="S1" s="7"/>
      <c r="T1" s="7"/>
      <c r="U1" s="7" t="s">
        <v>157</v>
      </c>
      <c r="V1" s="7" t="s">
        <v>30</v>
      </c>
      <c r="W1" s="7" t="s">
        <v>158</v>
      </c>
      <c r="X1" s="7" t="s">
        <v>159</v>
      </c>
      <c r="Y1" s="7" t="s">
        <v>160</v>
      </c>
      <c r="Z1" s="7" t="s">
        <v>161</v>
      </c>
      <c r="AA1" s="7" t="s">
        <v>162</v>
      </c>
      <c r="AB1" s="7" t="s">
        <v>163</v>
      </c>
      <c r="AC1" s="7" t="s">
        <v>164</v>
      </c>
      <c r="AD1" s="152" t="s">
        <v>165</v>
      </c>
      <c r="AE1" s="152"/>
      <c r="AF1" s="8" t="s">
        <v>166</v>
      </c>
      <c r="AG1" s="8" t="s">
        <v>167</v>
      </c>
      <c r="AH1" s="8" t="s">
        <v>168</v>
      </c>
      <c r="AI1" s="8" t="s">
        <v>169</v>
      </c>
      <c r="AJ1" s="8" t="s">
        <v>170</v>
      </c>
      <c r="AK1" s="8" t="s">
        <v>171</v>
      </c>
      <c r="AL1" s="8" t="s">
        <v>172</v>
      </c>
      <c r="AM1" s="36" t="s">
        <v>173</v>
      </c>
      <c r="AN1" s="36" t="s">
        <v>174</v>
      </c>
      <c r="AO1" s="42" t="s">
        <v>175</v>
      </c>
      <c r="AP1" s="8" t="s">
        <v>176</v>
      </c>
      <c r="AQ1" s="8" t="s">
        <v>177</v>
      </c>
      <c r="AR1" s="8" t="s">
        <v>178</v>
      </c>
      <c r="AS1" s="8" t="s">
        <v>179</v>
      </c>
      <c r="AT1" s="8" t="s">
        <v>180</v>
      </c>
      <c r="AU1" s="8" t="s">
        <v>181</v>
      </c>
      <c r="AV1" s="8" t="s">
        <v>182</v>
      </c>
      <c r="AW1" s="8" t="s">
        <v>183</v>
      </c>
      <c r="AX1" s="8" t="s">
        <v>184</v>
      </c>
      <c r="AY1" s="8" t="s">
        <v>185</v>
      </c>
      <c r="AZ1" s="8" t="s">
        <v>186</v>
      </c>
      <c r="BA1" s="8" t="s">
        <v>187</v>
      </c>
      <c r="BB1" s="8" t="s">
        <v>188</v>
      </c>
      <c r="BC1" s="8" t="s">
        <v>189</v>
      </c>
      <c r="BD1" s="8" t="s">
        <v>190</v>
      </c>
      <c r="BE1" s="8" t="s">
        <v>191</v>
      </c>
    </row>
    <row r="2" spans="1:57" s="1" customForma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32"/>
      <c r="AD2" s="31"/>
      <c r="AE2" s="31"/>
      <c r="AF2" s="7"/>
      <c r="AG2" s="7"/>
      <c r="AH2" s="7"/>
      <c r="AI2" s="37">
        <v>1</v>
      </c>
      <c r="AJ2" s="7">
        <v>1.1000000000000001</v>
      </c>
      <c r="AK2" s="7">
        <v>1.2</v>
      </c>
      <c r="AL2" s="7">
        <v>1.3</v>
      </c>
      <c r="AM2" s="38" t="s">
        <v>192</v>
      </c>
      <c r="AN2" s="38" t="s">
        <v>193</v>
      </c>
      <c r="AO2" s="43">
        <v>1.6</v>
      </c>
      <c r="AP2" s="7" t="s">
        <v>194</v>
      </c>
      <c r="AQ2" s="7" t="s">
        <v>195</v>
      </c>
      <c r="AR2" s="7">
        <v>2</v>
      </c>
      <c r="AS2" s="7" t="s">
        <v>196</v>
      </c>
      <c r="AT2" s="7" t="s">
        <v>197</v>
      </c>
      <c r="AU2" s="7" t="s">
        <v>198</v>
      </c>
      <c r="AV2" s="7" t="s">
        <v>199</v>
      </c>
      <c r="AW2" s="7" t="s">
        <v>200</v>
      </c>
      <c r="AX2" s="7">
        <v>3.1</v>
      </c>
      <c r="AY2" s="7">
        <v>3.2</v>
      </c>
      <c r="AZ2" s="7">
        <v>3.3</v>
      </c>
      <c r="BA2" s="7">
        <v>3.4</v>
      </c>
      <c r="BB2" s="7">
        <v>3.5</v>
      </c>
      <c r="BC2" s="7">
        <v>3.6</v>
      </c>
      <c r="BD2" s="7">
        <v>3.7</v>
      </c>
      <c r="BE2" s="7">
        <v>3.8</v>
      </c>
    </row>
    <row r="3" spans="1:57">
      <c r="A3" s="7" t="s">
        <v>251</v>
      </c>
      <c r="B3" s="9"/>
      <c r="C3" s="9"/>
      <c r="D3" s="9"/>
      <c r="E3" s="9"/>
      <c r="F3" s="9"/>
      <c r="G3" s="9">
        <v>184</v>
      </c>
      <c r="H3" s="9">
        <v>25</v>
      </c>
      <c r="I3" s="9"/>
      <c r="J3" s="9"/>
      <c r="K3" s="26">
        <f t="shared" ref="K3:N4" si="0">G3/3.2808</f>
        <v>56.083881980004875</v>
      </c>
      <c r="L3" s="26">
        <f t="shared" si="0"/>
        <v>7.6200926603267494</v>
      </c>
      <c r="M3" s="26">
        <f t="shared" si="0"/>
        <v>0</v>
      </c>
      <c r="N3" s="26">
        <f t="shared" si="0"/>
        <v>0</v>
      </c>
      <c r="O3" s="27">
        <f>K3*L3*M3</f>
        <v>0</v>
      </c>
      <c r="P3" s="27"/>
      <c r="Q3" s="9">
        <v>320</v>
      </c>
      <c r="R3" s="9"/>
      <c r="S3" s="27">
        <f>Q3*2240/2204.6</f>
        <v>325.1383470924431</v>
      </c>
      <c r="T3" s="9"/>
      <c r="U3" s="27">
        <v>35</v>
      </c>
      <c r="V3" s="27"/>
      <c r="W3" s="27">
        <v>3</v>
      </c>
      <c r="X3" s="27">
        <v>0</v>
      </c>
      <c r="Y3" s="27">
        <v>32</v>
      </c>
      <c r="Z3" s="27"/>
      <c r="AA3" s="27"/>
      <c r="AB3" s="27"/>
      <c r="AC3" s="33"/>
      <c r="AD3" s="33"/>
      <c r="AE3" s="33"/>
      <c r="AF3" s="34"/>
      <c r="AG3" s="34"/>
      <c r="AH3" s="34"/>
      <c r="AI3" s="34"/>
      <c r="AJ3" s="34"/>
      <c r="AK3" s="34"/>
      <c r="AL3" s="34"/>
      <c r="AM3" s="34"/>
      <c r="AN3" s="34"/>
      <c r="AO3" s="4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</row>
    <row r="4" spans="1:57">
      <c r="A4" s="7" t="s">
        <v>252</v>
      </c>
      <c r="B4" s="9"/>
      <c r="C4" s="9"/>
      <c r="D4" s="9"/>
      <c r="E4" s="9"/>
      <c r="F4" s="9"/>
      <c r="G4" s="9">
        <v>234</v>
      </c>
      <c r="H4" s="9">
        <v>28</v>
      </c>
      <c r="I4" s="9">
        <v>19.670000000000002</v>
      </c>
      <c r="J4" s="9"/>
      <c r="K4" s="26">
        <f t="shared" si="0"/>
        <v>71.324067300658371</v>
      </c>
      <c r="L4" s="26">
        <f t="shared" si="0"/>
        <v>8.5345037795659593</v>
      </c>
      <c r="M4" s="26">
        <f t="shared" si="0"/>
        <v>5.9954889051450868</v>
      </c>
      <c r="N4" s="26">
        <f t="shared" si="0"/>
        <v>0</v>
      </c>
      <c r="O4" s="27">
        <f>K4*L4*M4</f>
        <v>3649.547158249733</v>
      </c>
      <c r="P4" s="27"/>
      <c r="Q4" s="9">
        <v>720</v>
      </c>
      <c r="R4" s="9"/>
      <c r="S4" s="27">
        <f>Q4*2240/2204.6</f>
        <v>731.56128095799693</v>
      </c>
      <c r="T4" s="9"/>
      <c r="U4" s="27">
        <v>53</v>
      </c>
      <c r="V4" s="27"/>
      <c r="W4" s="27">
        <v>5</v>
      </c>
      <c r="X4" s="27">
        <v>0</v>
      </c>
      <c r="Y4" s="27">
        <v>48</v>
      </c>
      <c r="Z4" s="27"/>
      <c r="AA4" s="27"/>
      <c r="AB4" s="27"/>
      <c r="AC4" s="33"/>
      <c r="AD4" s="33"/>
      <c r="AE4" s="33"/>
      <c r="AF4" s="34"/>
      <c r="AG4" s="34"/>
      <c r="AH4" s="34"/>
      <c r="AI4" s="34"/>
      <c r="AJ4" s="34"/>
      <c r="AK4" s="34"/>
      <c r="AL4" s="34"/>
      <c r="AM4" s="34"/>
      <c r="AN4" s="34"/>
      <c r="AO4" s="4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</row>
    <row r="5" spans="1:57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1"/>
      <c r="AE5" s="11"/>
      <c r="AF5" s="12"/>
      <c r="AG5" s="12"/>
      <c r="AH5" s="12"/>
      <c r="AI5" s="39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</row>
    <row r="6" spans="1:57" s="2" customFormat="1" ht="13">
      <c r="A6" s="13" t="s">
        <v>251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28"/>
      <c r="N6" s="28"/>
      <c r="O6" s="14"/>
      <c r="P6" s="14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28"/>
      <c r="AE6" s="14"/>
      <c r="AF6" s="15"/>
      <c r="AG6" s="15"/>
      <c r="AH6" s="15"/>
      <c r="AI6" s="15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</row>
    <row r="7" spans="1:57" s="2" customFormat="1" ht="13">
      <c r="A7" s="13" t="s">
        <v>252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28"/>
      <c r="N7" s="28"/>
      <c r="O7" s="14"/>
      <c r="P7" s="1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28"/>
      <c r="AE7" s="14"/>
      <c r="AF7" s="15"/>
      <c r="AG7" s="15"/>
      <c r="AH7" s="15"/>
      <c r="AI7" s="15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</row>
    <row r="8" spans="1:57" s="2" customFormat="1" ht="13">
      <c r="A8" s="151" t="s">
        <v>230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28"/>
      <c r="N8" s="28"/>
      <c r="O8" s="14"/>
      <c r="P8" s="14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28"/>
      <c r="AE8" s="14"/>
      <c r="AF8" s="15"/>
      <c r="AG8" s="15"/>
      <c r="AH8" s="15"/>
      <c r="AI8" s="15"/>
      <c r="AJ8" s="41"/>
      <c r="AK8" s="41"/>
      <c r="AL8" s="41"/>
      <c r="AM8" s="41"/>
      <c r="AN8" s="41"/>
      <c r="AO8" s="41"/>
      <c r="AP8" s="41">
        <v>0</v>
      </c>
      <c r="AQ8" s="41"/>
      <c r="AR8" s="41"/>
      <c r="AS8" s="41"/>
      <c r="AT8" s="41"/>
      <c r="AU8" s="41">
        <v>1139</v>
      </c>
      <c r="AV8" s="41"/>
      <c r="AW8" s="41"/>
      <c r="AX8" s="41">
        <v>0</v>
      </c>
      <c r="AY8" s="41">
        <v>1122</v>
      </c>
      <c r="AZ8" s="41">
        <v>685.5</v>
      </c>
      <c r="BA8" s="41"/>
      <c r="BB8" s="41">
        <v>0</v>
      </c>
      <c r="BC8" s="41">
        <v>379.5</v>
      </c>
      <c r="BD8" s="41"/>
      <c r="BE8" s="41"/>
    </row>
    <row r="9" spans="1:57" s="2" customFormat="1" ht="13">
      <c r="A9" s="151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28"/>
      <c r="N9" s="28"/>
      <c r="O9" s="14"/>
      <c r="P9" s="14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28"/>
      <c r="AE9" s="14"/>
      <c r="AF9" s="15"/>
      <c r="AG9" s="15"/>
      <c r="AH9" s="15"/>
      <c r="AI9" s="15"/>
      <c r="AJ9" s="41"/>
      <c r="AK9" s="41"/>
      <c r="AL9" s="41"/>
      <c r="AM9" s="41"/>
      <c r="AN9" s="41"/>
      <c r="AO9" s="41"/>
      <c r="AP9" s="41">
        <v>575</v>
      </c>
      <c r="AQ9" s="41"/>
      <c r="AR9" s="41"/>
      <c r="AS9" s="41"/>
      <c r="AT9" s="41"/>
      <c r="AU9" s="41">
        <v>0</v>
      </c>
      <c r="AV9" s="41"/>
      <c r="AW9" s="41"/>
      <c r="AX9" s="41">
        <v>502.5</v>
      </c>
      <c r="AY9" s="41">
        <v>0</v>
      </c>
      <c r="AZ9" s="41">
        <v>0</v>
      </c>
      <c r="BA9" s="41"/>
      <c r="BB9" s="41">
        <v>151</v>
      </c>
      <c r="BC9" s="41">
        <v>0</v>
      </c>
      <c r="BD9" s="41"/>
      <c r="BE9" s="41"/>
    </row>
    <row r="10" spans="1:57" s="2" customFormat="1" ht="13">
      <c r="A10" s="151" t="s">
        <v>232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28"/>
      <c r="N10" s="28"/>
      <c r="O10" s="14"/>
      <c r="P10" s="14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28"/>
      <c r="AE10" s="14"/>
      <c r="AF10" s="15"/>
      <c r="AG10" s="15"/>
      <c r="AH10" s="15"/>
      <c r="AI10" s="15"/>
      <c r="AJ10" s="41">
        <v>640</v>
      </c>
      <c r="AK10" s="41">
        <v>0</v>
      </c>
      <c r="AL10" s="41"/>
      <c r="AM10" s="41"/>
      <c r="AN10" s="41"/>
      <c r="AO10" s="41"/>
      <c r="AP10" s="41"/>
      <c r="AQ10" s="41"/>
      <c r="AR10" s="41"/>
      <c r="AS10" s="41">
        <v>2140</v>
      </c>
      <c r="AT10" s="41">
        <v>1454</v>
      </c>
      <c r="AU10" s="41">
        <v>107.5</v>
      </c>
      <c r="AV10" s="41"/>
      <c r="AW10" s="41"/>
      <c r="AX10" s="41">
        <v>0</v>
      </c>
      <c r="AY10" s="41">
        <v>4296.5</v>
      </c>
      <c r="AZ10" s="41">
        <v>1448.5</v>
      </c>
      <c r="BA10" s="41"/>
      <c r="BB10" s="41">
        <v>0</v>
      </c>
      <c r="BC10" s="41">
        <v>1495</v>
      </c>
      <c r="BD10" s="41">
        <v>815</v>
      </c>
      <c r="BE10" s="41"/>
    </row>
    <row r="11" spans="1:57" s="2" customFormat="1" ht="13">
      <c r="A11" s="15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8"/>
      <c r="N11" s="28"/>
      <c r="O11" s="14"/>
      <c r="P11" s="1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28"/>
      <c r="AE11" s="14"/>
      <c r="AF11" s="15"/>
      <c r="AG11" s="15"/>
      <c r="AH11" s="15"/>
      <c r="AI11" s="15"/>
      <c r="AJ11" s="41">
        <v>3.5</v>
      </c>
      <c r="AK11" s="41">
        <v>29</v>
      </c>
      <c r="AL11" s="41"/>
      <c r="AM11" s="41"/>
      <c r="AN11" s="41"/>
      <c r="AO11" s="41"/>
      <c r="AP11" s="41"/>
      <c r="AQ11" s="41"/>
      <c r="AR11" s="41"/>
      <c r="AS11" s="41">
        <v>928.5</v>
      </c>
      <c r="AT11" s="41">
        <v>479</v>
      </c>
      <c r="AU11" s="41">
        <v>241.5</v>
      </c>
      <c r="AV11" s="41"/>
      <c r="AW11" s="41"/>
      <c r="AX11" s="41">
        <v>1548</v>
      </c>
      <c r="AY11" s="41">
        <v>0</v>
      </c>
      <c r="AZ11" s="41">
        <v>349.5</v>
      </c>
      <c r="BA11" s="41"/>
      <c r="BB11" s="41">
        <v>347.5</v>
      </c>
      <c r="BC11" s="41">
        <v>0</v>
      </c>
      <c r="BD11" s="41">
        <v>461</v>
      </c>
      <c r="BE11" s="41"/>
    </row>
    <row r="12" spans="1:57" s="2" customFormat="1" ht="13">
      <c r="A12" s="151" t="s">
        <v>233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8"/>
      <c r="N12" s="28"/>
      <c r="O12" s="14"/>
      <c r="P12" s="14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8"/>
      <c r="AE12" s="14"/>
      <c r="AF12" s="15"/>
      <c r="AG12" s="15"/>
      <c r="AH12" s="15"/>
      <c r="AI12" s="15"/>
      <c r="AJ12" s="41">
        <v>0</v>
      </c>
      <c r="AK12" s="41">
        <v>261</v>
      </c>
      <c r="AL12" s="41"/>
      <c r="AM12" s="41"/>
      <c r="AN12" s="41"/>
      <c r="AO12" s="41"/>
      <c r="AP12" s="41"/>
      <c r="AQ12" s="41"/>
      <c r="AR12" s="41"/>
      <c r="AS12" s="41">
        <v>3850.5</v>
      </c>
      <c r="AT12" s="41">
        <v>1284.5</v>
      </c>
      <c r="AU12" s="41">
        <v>255.5</v>
      </c>
      <c r="AV12" s="41"/>
      <c r="AW12" s="41"/>
      <c r="AX12" s="41">
        <v>0</v>
      </c>
      <c r="AY12" s="41">
        <v>7087.5</v>
      </c>
      <c r="AZ12" s="41">
        <v>1907</v>
      </c>
      <c r="BA12" s="41"/>
      <c r="BB12" s="41">
        <v>436.5</v>
      </c>
      <c r="BC12" s="41">
        <v>1630.5</v>
      </c>
      <c r="BD12" s="41">
        <v>819</v>
      </c>
      <c r="BE12" s="41"/>
    </row>
    <row r="13" spans="1:57" s="2" customFormat="1" ht="13">
      <c r="A13" s="151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28"/>
      <c r="N13" s="28"/>
      <c r="O13" s="14"/>
      <c r="P13" s="14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28"/>
      <c r="AE13" s="14"/>
      <c r="AF13" s="15"/>
      <c r="AG13" s="15"/>
      <c r="AH13" s="15"/>
      <c r="AI13" s="15"/>
      <c r="AJ13" s="41">
        <v>894</v>
      </c>
      <c r="AK13" s="41">
        <v>67.5</v>
      </c>
      <c r="AL13" s="41"/>
      <c r="AM13" s="41"/>
      <c r="AN13" s="41"/>
      <c r="AO13" s="41"/>
      <c r="AP13" s="41"/>
      <c r="AQ13" s="41"/>
      <c r="AR13" s="41"/>
      <c r="AS13" s="41">
        <v>919.5</v>
      </c>
      <c r="AT13" s="41">
        <v>0</v>
      </c>
      <c r="AU13" s="41">
        <v>116</v>
      </c>
      <c r="AV13" s="41"/>
      <c r="AW13" s="41"/>
      <c r="AX13" s="41">
        <v>1015</v>
      </c>
      <c r="AY13" s="41">
        <v>0</v>
      </c>
      <c r="AZ13" s="41">
        <v>147.5</v>
      </c>
      <c r="BA13" s="41"/>
      <c r="BB13" s="41">
        <v>530.5</v>
      </c>
      <c r="BC13" s="41">
        <v>0</v>
      </c>
      <c r="BD13" s="41">
        <v>495</v>
      </c>
      <c r="BE13" s="41"/>
    </row>
    <row r="14" spans="1:57" s="2" customFormat="1" ht="13">
      <c r="A14" s="151" t="s">
        <v>234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28"/>
      <c r="N14" s="28"/>
      <c r="O14" s="14"/>
      <c r="P14" s="14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28"/>
      <c r="AE14" s="14"/>
      <c r="AF14" s="15"/>
      <c r="AG14" s="15"/>
      <c r="AH14" s="15"/>
      <c r="AI14" s="15"/>
      <c r="AJ14" s="41">
        <v>0</v>
      </c>
      <c r="AK14" s="41">
        <v>340</v>
      </c>
      <c r="AL14" s="41"/>
      <c r="AM14" s="41"/>
      <c r="AN14" s="41"/>
      <c r="AO14" s="41"/>
      <c r="AP14" s="41"/>
      <c r="AQ14" s="41"/>
      <c r="AR14" s="41"/>
      <c r="AS14" s="41">
        <v>3912.5</v>
      </c>
      <c r="AT14" s="41">
        <v>1854</v>
      </c>
      <c r="AU14" s="41">
        <v>500</v>
      </c>
      <c r="AV14" s="41">
        <v>0</v>
      </c>
      <c r="AW14" s="41"/>
      <c r="AX14" s="41">
        <v>48</v>
      </c>
      <c r="AY14" s="41">
        <v>4299.5</v>
      </c>
      <c r="AZ14" s="41">
        <v>5801</v>
      </c>
      <c r="BA14" s="41"/>
      <c r="BB14" s="41">
        <v>151</v>
      </c>
      <c r="BC14" s="41">
        <v>2857</v>
      </c>
      <c r="BD14" s="41">
        <v>535</v>
      </c>
      <c r="BE14" s="41"/>
    </row>
    <row r="15" spans="1:57" s="2" customFormat="1" ht="13">
      <c r="A15" s="151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28"/>
      <c r="N15" s="28"/>
      <c r="O15" s="1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28"/>
      <c r="AE15" s="14"/>
      <c r="AF15" s="15"/>
      <c r="AG15" s="15"/>
      <c r="AH15" s="15"/>
      <c r="AI15" s="15"/>
      <c r="AJ15" s="41">
        <v>1032</v>
      </c>
      <c r="AK15" s="41">
        <v>102</v>
      </c>
      <c r="AL15" s="41"/>
      <c r="AM15" s="41"/>
      <c r="AN15" s="41"/>
      <c r="AO15" s="41"/>
      <c r="AP15" s="41"/>
      <c r="AQ15" s="41"/>
      <c r="AR15" s="41"/>
      <c r="AS15" s="41">
        <v>1705.5</v>
      </c>
      <c r="AT15" s="41">
        <v>0</v>
      </c>
      <c r="AU15" s="41">
        <v>0</v>
      </c>
      <c r="AV15" s="41">
        <v>50.5</v>
      </c>
      <c r="AW15" s="41"/>
      <c r="AX15" s="41">
        <v>1575</v>
      </c>
      <c r="AY15" s="41">
        <v>0</v>
      </c>
      <c r="AZ15" s="41">
        <v>642.5</v>
      </c>
      <c r="BA15" s="41"/>
      <c r="BB15" s="41">
        <v>133</v>
      </c>
      <c r="BC15" s="41">
        <v>0</v>
      </c>
      <c r="BD15" s="41">
        <v>577.5</v>
      </c>
      <c r="BE15" s="41"/>
    </row>
    <row r="16" spans="1:57" s="2" customFormat="1" ht="13">
      <c r="A16" s="151" t="s">
        <v>235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28"/>
      <c r="N16" s="28"/>
      <c r="O16" s="14"/>
      <c r="P16" s="14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28"/>
      <c r="AE16" s="14"/>
      <c r="AF16" s="15"/>
      <c r="AG16" s="15"/>
      <c r="AH16" s="15"/>
      <c r="AI16" s="15"/>
      <c r="AJ16" s="41"/>
      <c r="AK16" s="41">
        <v>3053.75</v>
      </c>
      <c r="AL16" s="41">
        <v>632</v>
      </c>
      <c r="AM16" s="41"/>
      <c r="AN16" s="41"/>
      <c r="AO16" s="41"/>
      <c r="AP16" s="41"/>
      <c r="AQ16" s="41"/>
      <c r="AR16" s="41"/>
      <c r="AS16" s="41">
        <v>30776</v>
      </c>
      <c r="AT16" s="41">
        <v>7172</v>
      </c>
      <c r="AU16" s="41">
        <v>2862</v>
      </c>
      <c r="AV16" s="41"/>
      <c r="AW16" s="41"/>
      <c r="AX16" s="41">
        <v>2765</v>
      </c>
      <c r="AY16" s="41">
        <v>18008.25</v>
      </c>
      <c r="AZ16" s="41">
        <v>13527.75</v>
      </c>
      <c r="BA16" s="41">
        <v>2224</v>
      </c>
      <c r="BB16" s="41">
        <v>10052</v>
      </c>
      <c r="BC16" s="41">
        <v>9351.5</v>
      </c>
      <c r="BD16" s="41">
        <v>6756</v>
      </c>
      <c r="BE16" s="41"/>
    </row>
    <row r="17" spans="1:57" s="2" customFormat="1" ht="13">
      <c r="A17" s="151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8"/>
      <c r="N17" s="28"/>
      <c r="O17" s="14"/>
      <c r="P17" s="14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28"/>
      <c r="AE17" s="14"/>
      <c r="AF17" s="15"/>
      <c r="AG17" s="15"/>
      <c r="AH17" s="15"/>
      <c r="AI17" s="15"/>
      <c r="AJ17" s="41">
        <v>3892</v>
      </c>
      <c r="AK17" s="41">
        <v>64</v>
      </c>
      <c r="AL17" s="41"/>
      <c r="AM17" s="41"/>
      <c r="AN17" s="41"/>
      <c r="AO17" s="41"/>
      <c r="AP17" s="41"/>
      <c r="AQ17" s="41"/>
      <c r="AR17" s="41"/>
      <c r="AS17" s="41">
        <v>5036</v>
      </c>
      <c r="AT17" s="41"/>
      <c r="AU17" s="41"/>
      <c r="AV17" s="41"/>
      <c r="AW17" s="41"/>
      <c r="AX17" s="41">
        <v>2312</v>
      </c>
      <c r="AY17" s="41"/>
      <c r="AZ17" s="41">
        <v>5576</v>
      </c>
      <c r="BA17" s="41"/>
      <c r="BB17" s="41">
        <v>96</v>
      </c>
      <c r="BC17" s="41"/>
      <c r="BD17" s="41">
        <v>1220</v>
      </c>
      <c r="BE17" s="41"/>
    </row>
    <row r="18" spans="1:57" s="2" customFormat="1" ht="13">
      <c r="A18" s="151" t="s">
        <v>236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28"/>
      <c r="N18" s="28"/>
      <c r="O18" s="14"/>
      <c r="P18" s="14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28"/>
      <c r="AE18" s="14"/>
      <c r="AF18" s="15"/>
      <c r="AG18" s="15"/>
      <c r="AH18" s="15"/>
      <c r="AI18" s="15"/>
      <c r="AJ18" s="41">
        <v>6787.25</v>
      </c>
      <c r="AK18" s="41">
        <v>3770</v>
      </c>
      <c r="AL18" s="41">
        <v>1574.25</v>
      </c>
      <c r="AM18" s="41"/>
      <c r="AN18" s="41"/>
      <c r="AO18" s="41"/>
      <c r="AP18" s="41"/>
      <c r="AQ18" s="41"/>
      <c r="AR18" s="41"/>
      <c r="AS18" s="41">
        <v>38700.5</v>
      </c>
      <c r="AT18" s="41">
        <v>11436.75</v>
      </c>
      <c r="AU18" s="41">
        <v>5023.5</v>
      </c>
      <c r="AV18" s="41">
        <v>272</v>
      </c>
      <c r="AW18" s="41"/>
      <c r="AX18" s="41">
        <v>4640</v>
      </c>
      <c r="AY18" s="41">
        <v>37110.5</v>
      </c>
      <c r="AZ18" s="41">
        <v>27685.5</v>
      </c>
      <c r="BA18" s="41">
        <v>4692</v>
      </c>
      <c r="BB18" s="41">
        <v>9703.5</v>
      </c>
      <c r="BC18" s="41">
        <v>15285</v>
      </c>
      <c r="BD18" s="41">
        <v>13935.75</v>
      </c>
      <c r="BE18" s="41">
        <v>416.5</v>
      </c>
    </row>
    <row r="19" spans="1:57" s="2" customFormat="1" ht="13">
      <c r="A19" s="151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28"/>
      <c r="N19" s="28"/>
      <c r="O19" s="14"/>
      <c r="P19" s="14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28"/>
      <c r="AE19" s="14"/>
      <c r="AF19" s="15"/>
      <c r="AG19" s="15"/>
      <c r="AH19" s="15"/>
      <c r="AI19" s="15"/>
      <c r="AJ19" s="41">
        <v>12958.5</v>
      </c>
      <c r="AK19" s="41">
        <v>266</v>
      </c>
      <c r="AL19" s="41">
        <v>9808</v>
      </c>
      <c r="AM19" s="41"/>
      <c r="AN19" s="41"/>
      <c r="AO19" s="41"/>
      <c r="AP19" s="41">
        <v>1260</v>
      </c>
      <c r="AQ19" s="41"/>
      <c r="AR19" s="41"/>
      <c r="AS19" s="41">
        <v>9142</v>
      </c>
      <c r="AT19" s="41">
        <v>648</v>
      </c>
      <c r="AU19" s="41"/>
      <c r="AV19" s="41"/>
      <c r="AW19" s="41"/>
      <c r="AX19" s="41">
        <v>4224</v>
      </c>
      <c r="AY19" s="41"/>
      <c r="AZ19" s="41">
        <v>7511</v>
      </c>
      <c r="BA19" s="41"/>
      <c r="BB19" s="41"/>
      <c r="BC19" s="41"/>
      <c r="BD19" s="41">
        <v>5309</v>
      </c>
      <c r="BE19" s="41"/>
    </row>
    <row r="20" spans="1:57" s="2" customFormat="1" ht="13">
      <c r="A20" s="151" t="s">
        <v>237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28"/>
      <c r="N20" s="28"/>
      <c r="O20" s="14"/>
      <c r="P20" s="14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28"/>
      <c r="AE20" s="14"/>
      <c r="AF20" s="15"/>
      <c r="AG20" s="15"/>
      <c r="AH20" s="15"/>
      <c r="AI20" s="15"/>
      <c r="AJ20" s="41">
        <v>1648</v>
      </c>
      <c r="AK20" s="41">
        <v>8895</v>
      </c>
      <c r="AL20" s="41">
        <v>830</v>
      </c>
      <c r="AM20" s="41"/>
      <c r="AN20" s="41">
        <v>7015</v>
      </c>
      <c r="AO20" s="41"/>
      <c r="AP20" s="41"/>
      <c r="AQ20" s="41"/>
      <c r="AR20" s="41"/>
      <c r="AS20" s="41">
        <v>44852</v>
      </c>
      <c r="AT20" s="41">
        <v>4942</v>
      </c>
      <c r="AU20" s="41">
        <v>6073</v>
      </c>
      <c r="AV20" s="41"/>
      <c r="AW20" s="41"/>
      <c r="AX20" s="41">
        <v>6952</v>
      </c>
      <c r="AY20" s="41">
        <v>62744</v>
      </c>
      <c r="AZ20" s="41">
        <v>30870</v>
      </c>
      <c r="BA20" s="41">
        <v>7344</v>
      </c>
      <c r="BB20" s="41">
        <v>23305</v>
      </c>
      <c r="BC20" s="41">
        <v>50524</v>
      </c>
      <c r="BD20" s="41">
        <v>14230</v>
      </c>
      <c r="BE20" s="41"/>
    </row>
    <row r="21" spans="1:57" s="2" customFormat="1" ht="13">
      <c r="A21" s="151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28"/>
      <c r="N21" s="28"/>
      <c r="O21" s="14"/>
      <c r="P21" s="14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28"/>
      <c r="AE21" s="14"/>
      <c r="AF21" s="15"/>
      <c r="AG21" s="15"/>
      <c r="AH21" s="15"/>
      <c r="AI21" s="15"/>
      <c r="AJ21" s="41">
        <v>18763</v>
      </c>
      <c r="AK21" s="41">
        <v>1952</v>
      </c>
      <c r="AL21" s="41">
        <v>3856</v>
      </c>
      <c r="AM21" s="41"/>
      <c r="AN21" s="41"/>
      <c r="AO21" s="41"/>
      <c r="AP21" s="41">
        <v>6240</v>
      </c>
      <c r="AQ21" s="41">
        <v>2952</v>
      </c>
      <c r="AR21" s="41"/>
      <c r="AS21" s="41">
        <v>32992</v>
      </c>
      <c r="AT21" s="41">
        <v>15084</v>
      </c>
      <c r="AU21" s="41">
        <v>705</v>
      </c>
      <c r="AV21" s="41"/>
      <c r="AW21" s="41"/>
      <c r="AX21" s="41">
        <v>7358</v>
      </c>
      <c r="AY21" s="41"/>
      <c r="AZ21" s="41">
        <v>17383</v>
      </c>
      <c r="BA21" s="41"/>
      <c r="BB21" s="41"/>
      <c r="BC21" s="41"/>
      <c r="BD21" s="41">
        <v>11245</v>
      </c>
      <c r="BE21" s="41"/>
    </row>
    <row r="22" spans="1:57" s="2" customFormat="1" ht="13">
      <c r="A22" s="1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</row>
    <row r="23" spans="1:57" s="3" customFormat="1" ht="13">
      <c r="A23" s="17">
        <v>3326</v>
      </c>
      <c r="B23" s="17">
        <v>1228.5</v>
      </c>
      <c r="C23" s="17">
        <v>12396.5</v>
      </c>
      <c r="D23" s="17">
        <v>4387.5</v>
      </c>
      <c r="E23" s="18">
        <v>17532</v>
      </c>
      <c r="F23" s="18">
        <v>4185</v>
      </c>
      <c r="G23" s="18">
        <v>20298</v>
      </c>
      <c r="H23" s="18">
        <v>5818</v>
      </c>
      <c r="I23" s="18"/>
      <c r="J23" s="18">
        <v>117446</v>
      </c>
      <c r="K23" s="18">
        <v>107180.25</v>
      </c>
      <c r="L23" s="18">
        <v>18196</v>
      </c>
      <c r="M23" s="18">
        <v>181033</v>
      </c>
      <c r="N23" s="18">
        <v>51126.5</v>
      </c>
      <c r="O23" s="18">
        <v>270224</v>
      </c>
      <c r="P23" s="18">
        <v>118530</v>
      </c>
      <c r="Q23" s="29">
        <v>3326</v>
      </c>
      <c r="R23" s="29">
        <v>1228.5</v>
      </c>
      <c r="S23" s="29">
        <v>12396.5</v>
      </c>
      <c r="T23" s="29"/>
      <c r="U23" s="29">
        <v>4387.5</v>
      </c>
      <c r="V23" s="29"/>
      <c r="W23" s="29">
        <v>17532</v>
      </c>
      <c r="X23" s="29">
        <v>4185</v>
      </c>
      <c r="Y23" s="29">
        <v>20298</v>
      </c>
      <c r="Z23" s="29">
        <v>5818</v>
      </c>
      <c r="AA23" s="29"/>
      <c r="AB23" s="29">
        <v>117446</v>
      </c>
      <c r="AC23" s="29">
        <v>107180.25</v>
      </c>
      <c r="AD23" s="3">
        <v>18196</v>
      </c>
      <c r="AE23" s="29">
        <v>181033</v>
      </c>
      <c r="AF23" s="29">
        <v>51126.5</v>
      </c>
      <c r="AG23" s="29">
        <v>270224</v>
      </c>
      <c r="AH23" s="3">
        <v>118530</v>
      </c>
      <c r="AJ23" s="3">
        <v>3326</v>
      </c>
      <c r="AK23" s="3">
        <v>1228.5</v>
      </c>
      <c r="AL23" s="3">
        <v>12396.5</v>
      </c>
      <c r="AM23" s="3">
        <v>4387.5</v>
      </c>
      <c r="AN23" s="3">
        <v>17532</v>
      </c>
      <c r="AO23" s="3">
        <v>4185</v>
      </c>
      <c r="AP23" s="3">
        <v>20298</v>
      </c>
      <c r="AQ23" s="3">
        <v>5818</v>
      </c>
      <c r="AS23" s="3">
        <v>117446</v>
      </c>
      <c r="AT23" s="3">
        <v>107180.25</v>
      </c>
      <c r="AU23" s="3">
        <v>18196</v>
      </c>
      <c r="AV23" s="3">
        <v>181033</v>
      </c>
      <c r="AX23" s="3">
        <v>51126.5</v>
      </c>
      <c r="AY23" s="3">
        <v>270224</v>
      </c>
      <c r="AZ23" s="3">
        <v>118530</v>
      </c>
      <c r="BA23" s="3">
        <v>3326</v>
      </c>
      <c r="BB23" s="3">
        <v>1228.5</v>
      </c>
      <c r="BC23" s="3">
        <v>12396.5</v>
      </c>
      <c r="BD23" s="3">
        <v>4387.5</v>
      </c>
      <c r="BE23" s="3">
        <v>17532</v>
      </c>
    </row>
    <row r="24" spans="1:57">
      <c r="A24" s="19"/>
      <c r="B24" s="20"/>
      <c r="C24" s="20"/>
      <c r="D24" s="20"/>
      <c r="E24" s="20"/>
      <c r="F24" s="21"/>
      <c r="G24" s="20"/>
      <c r="H24" s="21"/>
      <c r="I24" s="20"/>
      <c r="J24" s="21"/>
      <c r="K24" s="20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5"/>
      <c r="AD24" s="35"/>
      <c r="AE24" s="19"/>
      <c r="AF24" s="19"/>
      <c r="AG24" s="19"/>
      <c r="AH24" s="19"/>
      <c r="AI24" s="19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</row>
    <row r="25" spans="1:57">
      <c r="A25" s="19"/>
      <c r="B25" s="20"/>
      <c r="C25" s="20"/>
      <c r="D25" s="20"/>
      <c r="E25" s="20"/>
      <c r="F25" s="21"/>
      <c r="G25" s="20"/>
      <c r="H25" s="21"/>
      <c r="I25" s="20"/>
      <c r="J25" s="21"/>
      <c r="K25" s="20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35"/>
      <c r="AD25" s="35"/>
      <c r="AE25" s="19"/>
      <c r="AF25" s="19"/>
      <c r="AG25" s="19"/>
      <c r="AH25" s="19"/>
      <c r="AI25" s="19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</row>
    <row r="26" spans="1:57">
      <c r="A26" s="6" t="s">
        <v>250</v>
      </c>
      <c r="B26" s="19" t="s">
        <v>146</v>
      </c>
      <c r="C26" s="6" t="s">
        <v>147</v>
      </c>
      <c r="D26" s="6" t="s">
        <v>148</v>
      </c>
      <c r="E26" s="6" t="s">
        <v>149</v>
      </c>
      <c r="F26" s="19" t="s">
        <v>166</v>
      </c>
      <c r="G26" s="19" t="s">
        <v>167</v>
      </c>
      <c r="H26" s="19" t="s">
        <v>168</v>
      </c>
      <c r="I26" s="19" t="s">
        <v>170</v>
      </c>
      <c r="J26" s="19" t="s">
        <v>171</v>
      </c>
      <c r="K26" s="19" t="s">
        <v>172</v>
      </c>
      <c r="L26" s="19" t="s">
        <v>175</v>
      </c>
      <c r="M26" s="19" t="s">
        <v>178</v>
      </c>
      <c r="N26" s="19" t="s">
        <v>184</v>
      </c>
      <c r="O26" s="19" t="s">
        <v>185</v>
      </c>
      <c r="P26" s="19" t="s">
        <v>186</v>
      </c>
      <c r="Q26" s="19" t="s">
        <v>187</v>
      </c>
      <c r="R26" s="19" t="s">
        <v>188</v>
      </c>
      <c r="S26" s="19" t="s">
        <v>189</v>
      </c>
      <c r="T26" s="19" t="s">
        <v>190</v>
      </c>
      <c r="U26" s="19" t="s">
        <v>191</v>
      </c>
      <c r="W26" s="19" t="s">
        <v>253</v>
      </c>
      <c r="X26" s="19" t="s">
        <v>254</v>
      </c>
      <c r="AA26" s="6" t="s">
        <v>255</v>
      </c>
      <c r="AB26" s="6" t="s">
        <v>256</v>
      </c>
      <c r="AC26" s="6" t="s">
        <v>257</v>
      </c>
      <c r="AD26" s="6" t="s">
        <v>258</v>
      </c>
      <c r="AE26" s="6" t="s">
        <v>259</v>
      </c>
      <c r="AF26" s="6" t="s">
        <v>260</v>
      </c>
      <c r="AG26" s="6" t="s">
        <v>261</v>
      </c>
    </row>
    <row r="27" spans="1:57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</row>
    <row r="28" spans="1:57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</row>
    <row r="29" spans="1:57" s="4" customFormat="1">
      <c r="A29" s="22"/>
      <c r="B29" s="22" t="s">
        <v>206</v>
      </c>
      <c r="C29" s="22" t="s">
        <v>203</v>
      </c>
      <c r="D29" s="22" t="s">
        <v>207</v>
      </c>
      <c r="E29" s="22" t="s">
        <v>205</v>
      </c>
      <c r="F29" s="23">
        <v>5649.1338045333396</v>
      </c>
      <c r="G29" s="23">
        <v>4551.5327906293196</v>
      </c>
      <c r="H29" s="23">
        <v>1097.60101390402</v>
      </c>
      <c r="I29" s="23">
        <v>334</v>
      </c>
      <c r="J29" s="23">
        <v>566</v>
      </c>
      <c r="K29" s="23">
        <v>0</v>
      </c>
      <c r="L29" s="23">
        <v>0</v>
      </c>
      <c r="M29" s="23">
        <v>1584</v>
      </c>
      <c r="N29" s="23">
        <v>136</v>
      </c>
      <c r="O29" s="23">
        <v>1420</v>
      </c>
      <c r="P29" s="23">
        <v>384</v>
      </c>
      <c r="Q29" s="23">
        <v>77</v>
      </c>
      <c r="R29" s="23">
        <v>745</v>
      </c>
      <c r="S29" s="23">
        <v>158</v>
      </c>
      <c r="T29" s="23">
        <v>243</v>
      </c>
      <c r="U29" s="23">
        <v>0</v>
      </c>
      <c r="V29" s="30"/>
      <c r="W29" s="22">
        <v>170</v>
      </c>
      <c r="X29" s="30">
        <v>9.31658239356093</v>
      </c>
      <c r="AA29" s="23">
        <v>605</v>
      </c>
      <c r="AB29" s="23">
        <v>248</v>
      </c>
      <c r="AC29" s="23">
        <v>52</v>
      </c>
      <c r="AD29" s="23">
        <v>49</v>
      </c>
      <c r="AE29" s="23">
        <v>154</v>
      </c>
      <c r="AF29" s="23">
        <v>163</v>
      </c>
      <c r="AG29" s="23">
        <v>65</v>
      </c>
    </row>
    <row r="30" spans="1:57" s="4" customFormat="1">
      <c r="A30" s="22"/>
      <c r="B30" s="22" t="s">
        <v>202</v>
      </c>
      <c r="C30" s="22" t="s">
        <v>203</v>
      </c>
      <c r="D30" s="22" t="s">
        <v>204</v>
      </c>
      <c r="E30" s="22" t="s">
        <v>205</v>
      </c>
      <c r="F30" s="23">
        <v>6864.25401884246</v>
      </c>
      <c r="G30" s="23">
        <v>6040.4869008221303</v>
      </c>
      <c r="H30" s="23">
        <v>823.76711802032605</v>
      </c>
      <c r="I30" s="23">
        <v>358</v>
      </c>
      <c r="J30" s="23">
        <v>272</v>
      </c>
      <c r="K30" s="23">
        <v>0</v>
      </c>
      <c r="L30" s="23">
        <v>51</v>
      </c>
      <c r="M30" s="23">
        <v>2112</v>
      </c>
      <c r="N30" s="23">
        <v>300</v>
      </c>
      <c r="O30" s="23">
        <v>2347</v>
      </c>
      <c r="P30" s="23">
        <v>331</v>
      </c>
      <c r="Q30" s="23">
        <v>135</v>
      </c>
      <c r="R30" s="23">
        <v>525</v>
      </c>
      <c r="S30" s="23">
        <v>59</v>
      </c>
      <c r="T30" s="23">
        <v>372</v>
      </c>
      <c r="U30" s="23">
        <v>0</v>
      </c>
      <c r="V30" s="30"/>
      <c r="W30" s="22">
        <v>176</v>
      </c>
      <c r="X30" s="30">
        <v>12.0067809570512</v>
      </c>
      <c r="AA30" s="23">
        <v>589</v>
      </c>
      <c r="AB30" s="23">
        <v>228</v>
      </c>
      <c r="AC30" s="23">
        <v>82</v>
      </c>
      <c r="AD30" s="23">
        <v>44</v>
      </c>
      <c r="AE30" s="23">
        <v>146</v>
      </c>
      <c r="AF30" s="23">
        <v>138</v>
      </c>
      <c r="AG30" s="23">
        <v>41</v>
      </c>
    </row>
    <row r="31" spans="1:57" s="4" customFormat="1">
      <c r="A31" s="22"/>
      <c r="B31" s="22" t="s">
        <v>208</v>
      </c>
      <c r="C31" s="22" t="s">
        <v>203</v>
      </c>
      <c r="D31" s="22" t="s">
        <v>209</v>
      </c>
      <c r="E31" s="22" t="s">
        <v>205</v>
      </c>
      <c r="F31" s="23">
        <v>8224.0785979877292</v>
      </c>
      <c r="G31" s="23">
        <v>7036.7099057019896</v>
      </c>
      <c r="H31" s="23">
        <v>1187.3686922857401</v>
      </c>
      <c r="I31" s="23">
        <v>672</v>
      </c>
      <c r="J31" s="23">
        <v>315</v>
      </c>
      <c r="K31" s="23">
        <v>356</v>
      </c>
      <c r="L31" s="23">
        <v>84</v>
      </c>
      <c r="M31" s="23">
        <v>2155</v>
      </c>
      <c r="N31" s="23">
        <v>266</v>
      </c>
      <c r="O31" s="23">
        <v>2017</v>
      </c>
      <c r="P31" s="23">
        <v>526</v>
      </c>
      <c r="Q31" s="23">
        <v>101</v>
      </c>
      <c r="R31" s="23">
        <v>909</v>
      </c>
      <c r="S31" s="23">
        <v>236</v>
      </c>
      <c r="T31" s="23">
        <v>588</v>
      </c>
      <c r="U31" s="23">
        <v>0</v>
      </c>
      <c r="V31" s="30"/>
      <c r="W31" s="22">
        <v>195</v>
      </c>
      <c r="X31" s="30">
        <v>11.043973050117801</v>
      </c>
      <c r="AA31" s="23">
        <v>814</v>
      </c>
      <c r="AB31" s="23">
        <v>299</v>
      </c>
      <c r="AC31" s="23">
        <v>82</v>
      </c>
      <c r="AD31" s="23">
        <v>117</v>
      </c>
      <c r="AE31" s="23">
        <v>253</v>
      </c>
      <c r="AF31" s="23">
        <v>166</v>
      </c>
      <c r="AG31" s="23">
        <v>71</v>
      </c>
    </row>
    <row r="32" spans="1:57" s="4" customFormat="1">
      <c r="A32" s="22"/>
      <c r="B32" s="22" t="s">
        <v>210</v>
      </c>
      <c r="C32" s="22" t="s">
        <v>203</v>
      </c>
      <c r="D32" s="22" t="s">
        <v>211</v>
      </c>
      <c r="E32" s="22" t="s">
        <v>205</v>
      </c>
      <c r="F32" s="23">
        <v>11542.9340889462</v>
      </c>
      <c r="G32" s="23">
        <v>9374.3508679769293</v>
      </c>
      <c r="H32" s="23">
        <v>2168.5832209692899</v>
      </c>
      <c r="I32" s="23">
        <v>938</v>
      </c>
      <c r="J32" s="23">
        <v>1095</v>
      </c>
      <c r="K32" s="23">
        <v>321</v>
      </c>
      <c r="L32" s="23">
        <v>91</v>
      </c>
      <c r="M32" s="23">
        <v>2762</v>
      </c>
      <c r="N32" s="23">
        <v>389</v>
      </c>
      <c r="O32" s="23">
        <v>2252</v>
      </c>
      <c r="P32" s="23">
        <v>1194</v>
      </c>
      <c r="Q32" s="23">
        <v>121</v>
      </c>
      <c r="R32" s="23">
        <v>1229</v>
      </c>
      <c r="S32" s="23">
        <v>167</v>
      </c>
      <c r="T32" s="23">
        <v>920</v>
      </c>
      <c r="U32" s="23">
        <v>64</v>
      </c>
      <c r="V32" s="30"/>
      <c r="W32" s="22">
        <v>247</v>
      </c>
      <c r="X32" s="30">
        <v>11.128926688964899</v>
      </c>
      <c r="AA32" s="23">
        <v>1140</v>
      </c>
      <c r="AB32" s="23">
        <v>365</v>
      </c>
      <c r="AC32" s="23">
        <v>115</v>
      </c>
      <c r="AD32" s="23">
        <v>153</v>
      </c>
      <c r="AE32" s="23">
        <v>325</v>
      </c>
      <c r="AF32" s="23">
        <v>268</v>
      </c>
      <c r="AG32" s="23">
        <v>100</v>
      </c>
    </row>
    <row r="33" spans="1:33" s="4" customFormat="1">
      <c r="A33" s="22"/>
      <c r="B33" s="22" t="s">
        <v>213</v>
      </c>
      <c r="C33" s="22" t="s">
        <v>203</v>
      </c>
      <c r="D33" s="22" t="s">
        <v>214</v>
      </c>
      <c r="E33" s="22" t="s">
        <v>205</v>
      </c>
      <c r="F33" s="23">
        <v>14336.2097342376</v>
      </c>
      <c r="G33" s="23">
        <v>10338.857847687201</v>
      </c>
      <c r="H33" s="23">
        <v>3997.3518865503402</v>
      </c>
      <c r="I33" s="23">
        <v>1531</v>
      </c>
      <c r="J33" s="23">
        <v>1090</v>
      </c>
      <c r="K33" s="23">
        <v>458</v>
      </c>
      <c r="L33" s="23">
        <v>86</v>
      </c>
      <c r="M33" s="23">
        <v>3059</v>
      </c>
      <c r="N33" s="23">
        <v>437</v>
      </c>
      <c r="O33" s="23">
        <v>3139</v>
      </c>
      <c r="P33" s="23">
        <v>984</v>
      </c>
      <c r="Q33" s="23">
        <v>191</v>
      </c>
      <c r="R33" s="23">
        <v>1421</v>
      </c>
      <c r="S33" s="23">
        <v>78</v>
      </c>
      <c r="T33" s="23">
        <v>1755</v>
      </c>
      <c r="U33" s="23">
        <v>25</v>
      </c>
      <c r="V33" s="30"/>
      <c r="W33" s="22">
        <v>244</v>
      </c>
      <c r="X33" s="30">
        <v>12.5448206697492</v>
      </c>
      <c r="AA33" s="23">
        <v>1351</v>
      </c>
      <c r="AB33" s="23">
        <v>445</v>
      </c>
      <c r="AC33" s="23">
        <v>137</v>
      </c>
      <c r="AD33" s="23">
        <v>215</v>
      </c>
      <c r="AE33" s="23">
        <v>389</v>
      </c>
      <c r="AF33" s="23">
        <v>284</v>
      </c>
      <c r="AG33" s="23">
        <v>151</v>
      </c>
    </row>
    <row r="34" spans="1:33" s="4" customFormat="1">
      <c r="A34" s="22"/>
      <c r="B34" s="22" t="s">
        <v>18</v>
      </c>
      <c r="C34" s="22" t="s">
        <v>203</v>
      </c>
      <c r="D34" s="22" t="s">
        <v>212</v>
      </c>
      <c r="E34" s="22" t="s">
        <v>205</v>
      </c>
      <c r="F34" s="23">
        <v>15064.545597953</v>
      </c>
      <c r="G34" s="23">
        <v>10720.866043702799</v>
      </c>
      <c r="H34" s="23">
        <v>4343.6795542501804</v>
      </c>
      <c r="I34" s="23">
        <v>1020</v>
      </c>
      <c r="J34" s="23">
        <v>498</v>
      </c>
      <c r="K34" s="23">
        <v>1495</v>
      </c>
      <c r="L34" s="23">
        <v>0</v>
      </c>
      <c r="M34" s="23">
        <v>2986</v>
      </c>
      <c r="N34" s="23">
        <v>840</v>
      </c>
      <c r="O34" s="23">
        <v>3075</v>
      </c>
      <c r="P34" s="23">
        <v>908</v>
      </c>
      <c r="Q34" s="23">
        <v>185</v>
      </c>
      <c r="R34" s="23">
        <v>1660</v>
      </c>
      <c r="S34" s="23">
        <v>356</v>
      </c>
      <c r="T34" s="23">
        <v>2026</v>
      </c>
      <c r="U34" s="23">
        <v>0</v>
      </c>
      <c r="V34" s="30"/>
      <c r="W34" s="22">
        <v>185</v>
      </c>
      <c r="X34" s="30">
        <v>16.1411913809414</v>
      </c>
      <c r="AA34" s="23">
        <v>1277</v>
      </c>
      <c r="AB34" s="23">
        <v>293</v>
      </c>
      <c r="AC34" s="23">
        <v>198</v>
      </c>
      <c r="AD34" s="23">
        <v>121</v>
      </c>
      <c r="AE34" s="23">
        <v>486</v>
      </c>
      <c r="AF34" s="23">
        <v>330</v>
      </c>
      <c r="AG34" s="23">
        <v>97</v>
      </c>
    </row>
    <row r="35" spans="1:33">
      <c r="A35" s="19"/>
    </row>
    <row r="36" spans="1:33">
      <c r="A36" s="6" t="s">
        <v>250</v>
      </c>
      <c r="B36" s="19" t="s">
        <v>146</v>
      </c>
      <c r="C36" s="6" t="s">
        <v>147</v>
      </c>
      <c r="D36" s="6" t="s">
        <v>148</v>
      </c>
      <c r="E36" s="6" t="s">
        <v>149</v>
      </c>
      <c r="F36" s="19" t="s">
        <v>262</v>
      </c>
      <c r="G36" s="19" t="s">
        <v>263</v>
      </c>
      <c r="H36" s="19" t="s">
        <v>264</v>
      </c>
      <c r="I36" s="19" t="s">
        <v>265</v>
      </c>
      <c r="J36" s="19" t="s">
        <v>266</v>
      </c>
      <c r="K36" s="19" t="s">
        <v>267</v>
      </c>
      <c r="L36" s="19" t="s">
        <v>268</v>
      </c>
      <c r="M36" s="19" t="s">
        <v>269</v>
      </c>
      <c r="N36" s="19" t="s">
        <v>270</v>
      </c>
    </row>
    <row r="37" spans="1:33">
      <c r="A37" s="19"/>
    </row>
    <row r="38" spans="1:33">
      <c r="A38" s="19"/>
    </row>
    <row r="39" spans="1:33" s="5" customFormat="1">
      <c r="A39" s="24"/>
      <c r="B39" s="24" t="s">
        <v>206</v>
      </c>
      <c r="C39" s="24" t="s">
        <v>203</v>
      </c>
      <c r="D39" s="24" t="s">
        <v>271</v>
      </c>
      <c r="E39" s="24" t="s">
        <v>205</v>
      </c>
      <c r="F39" s="25">
        <v>6.4473684210526301</v>
      </c>
      <c r="G39" s="25">
        <v>9.6052631578947398</v>
      </c>
      <c r="H39" s="25">
        <v>0</v>
      </c>
      <c r="I39" s="25">
        <v>0</v>
      </c>
      <c r="J39" s="25">
        <v>28.421052631578899</v>
      </c>
      <c r="K39" s="25">
        <v>30.526315789473699</v>
      </c>
      <c r="L39" s="25">
        <v>8.1578947368421098</v>
      </c>
      <c r="M39" s="25">
        <v>12.3684210526316</v>
      </c>
      <c r="N39" s="25">
        <v>4.4736842105263204</v>
      </c>
      <c r="O39" s="24">
        <f t="shared" ref="O39:O49" si="1">SUM(F39:N39)</f>
        <v>100</v>
      </c>
    </row>
    <row r="40" spans="1:33" s="5" customFormat="1">
      <c r="A40" s="24"/>
      <c r="B40" s="24" t="s">
        <v>202</v>
      </c>
      <c r="C40" s="24" t="s">
        <v>203</v>
      </c>
      <c r="D40" s="24" t="s">
        <v>272</v>
      </c>
      <c r="E40" s="24" t="s">
        <v>205</v>
      </c>
      <c r="F40" s="25">
        <v>5.2631578947368398</v>
      </c>
      <c r="G40" s="25">
        <v>3.8157894736842102</v>
      </c>
      <c r="H40" s="25">
        <v>0</v>
      </c>
      <c r="I40" s="25">
        <v>1.0526315789473699</v>
      </c>
      <c r="J40" s="25">
        <v>30.526315789473699</v>
      </c>
      <c r="K40" s="25">
        <v>31.447368421052602</v>
      </c>
      <c r="L40" s="25">
        <v>16.052631578947398</v>
      </c>
      <c r="M40" s="25">
        <v>5.6578947368421</v>
      </c>
      <c r="N40" s="25">
        <v>6.1842105263157903</v>
      </c>
      <c r="O40" s="24">
        <f t="shared" si="1"/>
        <v>100</v>
      </c>
    </row>
    <row r="41" spans="1:33" s="5" customFormat="1">
      <c r="A41" s="24"/>
      <c r="B41" s="24" t="s">
        <v>208</v>
      </c>
      <c r="C41" s="24" t="s">
        <v>203</v>
      </c>
      <c r="D41" s="24" t="s">
        <v>273</v>
      </c>
      <c r="E41" s="24" t="s">
        <v>205</v>
      </c>
      <c r="F41" s="25">
        <v>7.1052631578947398</v>
      </c>
      <c r="G41" s="25">
        <v>5.2631578947368398</v>
      </c>
      <c r="H41" s="25">
        <v>3.42105263157895</v>
      </c>
      <c r="I41" s="25">
        <v>2.6315789473684199</v>
      </c>
      <c r="J41" s="25">
        <v>25.394736842105299</v>
      </c>
      <c r="K41" s="25">
        <v>20.657894736842099</v>
      </c>
      <c r="L41" s="25">
        <v>17.7631578947368</v>
      </c>
      <c r="M41" s="25">
        <v>10.789473684210501</v>
      </c>
      <c r="N41" s="25">
        <v>6.9736842105263097</v>
      </c>
      <c r="O41" s="24">
        <f t="shared" si="1"/>
        <v>99.999999999999972</v>
      </c>
    </row>
    <row r="42" spans="1:33" s="5" customFormat="1">
      <c r="A42" s="24"/>
      <c r="B42" s="24" t="s">
        <v>210</v>
      </c>
      <c r="C42" s="24" t="s">
        <v>203</v>
      </c>
      <c r="D42" s="24" t="s">
        <v>274</v>
      </c>
      <c r="E42" s="24" t="s">
        <v>205</v>
      </c>
      <c r="F42" s="25">
        <v>8.0263157894736796</v>
      </c>
      <c r="G42" s="25">
        <v>9.6052631578947398</v>
      </c>
      <c r="H42" s="25">
        <v>2.2368421052631602</v>
      </c>
      <c r="I42" s="25">
        <v>1.57894736842105</v>
      </c>
      <c r="J42" s="25">
        <v>17.5</v>
      </c>
      <c r="K42" s="25">
        <v>22.894736842105299</v>
      </c>
      <c r="L42" s="25">
        <v>20.657894736842099</v>
      </c>
      <c r="M42" s="25">
        <v>9.3421052631578902</v>
      </c>
      <c r="N42" s="25">
        <v>8.1578947368421098</v>
      </c>
      <c r="O42" s="24">
        <f t="shared" si="1"/>
        <v>100.00000000000003</v>
      </c>
    </row>
    <row r="43" spans="1:33" s="5" customFormat="1">
      <c r="A43" s="24"/>
      <c r="B43" s="24" t="s">
        <v>213</v>
      </c>
      <c r="C43" s="24" t="s">
        <v>203</v>
      </c>
      <c r="D43" s="24" t="s">
        <v>275</v>
      </c>
      <c r="E43" s="24" t="s">
        <v>205</v>
      </c>
      <c r="F43" s="25">
        <v>10.1315789473684</v>
      </c>
      <c r="G43" s="25">
        <v>8.5526315789473699</v>
      </c>
      <c r="H43" s="25">
        <v>1.9736842105263199</v>
      </c>
      <c r="I43" s="25">
        <v>1.57894736842105</v>
      </c>
      <c r="J43" s="25">
        <v>21.184210526315798</v>
      </c>
      <c r="K43" s="25">
        <v>19.210526315789501</v>
      </c>
      <c r="L43" s="25">
        <v>17.6315789473684</v>
      </c>
      <c r="M43" s="25">
        <v>6.7105263157894699</v>
      </c>
      <c r="N43" s="25">
        <v>13.026315789473699</v>
      </c>
      <c r="O43" s="24">
        <f t="shared" si="1"/>
        <v>100</v>
      </c>
    </row>
    <row r="44" spans="1:33" s="5" customFormat="1">
      <c r="A44" s="24"/>
      <c r="B44" s="24" t="s">
        <v>18</v>
      </c>
      <c r="C44" s="24" t="s">
        <v>203</v>
      </c>
      <c r="D44" s="24" t="s">
        <v>276</v>
      </c>
      <c r="E44" s="24" t="s">
        <v>205</v>
      </c>
      <c r="F44" s="25">
        <v>6.5789473684210504</v>
      </c>
      <c r="G44" s="25">
        <v>2.6315789473684199</v>
      </c>
      <c r="H44" s="25">
        <v>9.4736842105263204</v>
      </c>
      <c r="I44" s="25">
        <v>0.92105263157894901</v>
      </c>
      <c r="J44" s="25">
        <v>19.8684210526316</v>
      </c>
      <c r="K44" s="25">
        <v>18.421052631578899</v>
      </c>
      <c r="L44" s="25">
        <v>19.7368421052632</v>
      </c>
      <c r="M44" s="25">
        <v>8.1578947368421098</v>
      </c>
      <c r="N44" s="25">
        <v>14.210526315789499</v>
      </c>
      <c r="O44" s="24">
        <f t="shared" si="1"/>
        <v>100.00000000000004</v>
      </c>
    </row>
    <row r="45" spans="1:33" s="5" customFormat="1">
      <c r="A45" s="24"/>
      <c r="B45" s="24" t="s">
        <v>215</v>
      </c>
      <c r="C45" s="24" t="s">
        <v>216</v>
      </c>
      <c r="D45" s="24" t="s">
        <v>277</v>
      </c>
      <c r="E45" s="24" t="s">
        <v>205</v>
      </c>
      <c r="F45" s="25">
        <v>9.2105263157894708</v>
      </c>
      <c r="G45" s="25">
        <v>3.5526315789473699</v>
      </c>
      <c r="H45" s="25">
        <v>4.7368421052631602</v>
      </c>
      <c r="I45" s="25">
        <v>0.26315789473684098</v>
      </c>
      <c r="J45" s="25">
        <v>21.842105263157901</v>
      </c>
      <c r="K45" s="25">
        <v>16.052631578947398</v>
      </c>
      <c r="L45" s="25">
        <v>27.2368421052632</v>
      </c>
      <c r="M45" s="25">
        <v>9.0789473684210602</v>
      </c>
      <c r="N45" s="25">
        <v>8.0263157894736707</v>
      </c>
      <c r="O45" s="24">
        <f t="shared" si="1"/>
        <v>100.00000000000007</v>
      </c>
    </row>
    <row r="46" spans="1:33" s="5" customFormat="1">
      <c r="A46" s="24"/>
      <c r="B46" s="24" t="s">
        <v>218</v>
      </c>
      <c r="C46" s="24" t="s">
        <v>216</v>
      </c>
      <c r="D46" s="24" t="s">
        <v>278</v>
      </c>
      <c r="E46" s="24" t="s">
        <v>205</v>
      </c>
      <c r="F46" s="25">
        <v>9.0789473684210495</v>
      </c>
      <c r="G46" s="25">
        <v>3.9473684210526301</v>
      </c>
      <c r="H46" s="25">
        <v>3.2894736842105301</v>
      </c>
      <c r="I46" s="25">
        <v>0.394736842105262</v>
      </c>
      <c r="J46" s="25">
        <v>24.078947368421101</v>
      </c>
      <c r="K46" s="25">
        <v>17.2368421052632</v>
      </c>
      <c r="L46" s="25">
        <v>22.2368421052632</v>
      </c>
      <c r="M46" s="25">
        <v>8.2894736842105203</v>
      </c>
      <c r="N46" s="25">
        <v>11.4473684210526</v>
      </c>
      <c r="O46" s="24">
        <f t="shared" si="1"/>
        <v>100.0000000000001</v>
      </c>
    </row>
    <row r="47" spans="1:33" s="5" customFormat="1">
      <c r="A47" s="24"/>
      <c r="B47" s="24" t="s">
        <v>220</v>
      </c>
      <c r="C47" s="24" t="s">
        <v>216</v>
      </c>
      <c r="D47" s="24" t="s">
        <v>279</v>
      </c>
      <c r="E47" s="24" t="s">
        <v>205</v>
      </c>
      <c r="F47" s="25">
        <v>9.6052631578947398</v>
      </c>
      <c r="G47" s="25">
        <v>6.0526315789473699</v>
      </c>
      <c r="H47" s="25">
        <v>3.42105263157895</v>
      </c>
      <c r="I47" s="25">
        <v>0.92105263157894601</v>
      </c>
      <c r="J47" s="25">
        <v>19.605263157894701</v>
      </c>
      <c r="K47" s="25">
        <v>23.552631578947398</v>
      </c>
      <c r="L47" s="25">
        <v>18.421052631578899</v>
      </c>
      <c r="M47" s="25">
        <v>8.2894736842105203</v>
      </c>
      <c r="N47" s="25">
        <v>10.1315789473684</v>
      </c>
      <c r="O47" s="24">
        <f t="shared" si="1"/>
        <v>99.999999999999915</v>
      </c>
    </row>
    <row r="48" spans="1:33" s="5" customFormat="1">
      <c r="A48" s="24" t="s">
        <v>222</v>
      </c>
      <c r="C48" s="24" t="s">
        <v>223</v>
      </c>
      <c r="D48" s="24" t="s">
        <v>280</v>
      </c>
      <c r="E48" s="24" t="s">
        <v>205</v>
      </c>
      <c r="F48" s="25">
        <v>4.8684210526315796</v>
      </c>
      <c r="G48" s="25">
        <v>6.8421052631578902</v>
      </c>
      <c r="H48" s="25">
        <v>5</v>
      </c>
      <c r="I48" s="25">
        <v>0</v>
      </c>
      <c r="J48" s="25">
        <v>28.026315789473699</v>
      </c>
      <c r="K48" s="25">
        <v>23.026315789473699</v>
      </c>
      <c r="L48" s="25">
        <v>17.5</v>
      </c>
      <c r="M48" s="25">
        <v>4.2105263157894797</v>
      </c>
      <c r="N48" s="25">
        <v>10.526315789473699</v>
      </c>
      <c r="O48" s="24">
        <f t="shared" si="1"/>
        <v>100.00000000000004</v>
      </c>
    </row>
    <row r="49" spans="1:18" s="5" customFormat="1">
      <c r="A49" s="24" t="s">
        <v>281</v>
      </c>
      <c r="C49" s="24" t="s">
        <v>282</v>
      </c>
      <c r="D49" s="24" t="s">
        <v>283</v>
      </c>
      <c r="E49" s="24" t="s">
        <v>284</v>
      </c>
      <c r="F49" s="25">
        <v>11.710526315789499</v>
      </c>
      <c r="G49" s="25">
        <v>5</v>
      </c>
      <c r="H49" s="25">
        <v>0</v>
      </c>
      <c r="I49" s="25">
        <v>0</v>
      </c>
      <c r="J49" s="25">
        <v>27.2368421052632</v>
      </c>
      <c r="K49" s="25">
        <v>20.921052631578899</v>
      </c>
      <c r="L49" s="25">
        <v>16.578947368421101</v>
      </c>
      <c r="M49" s="25">
        <v>11.973684210526301</v>
      </c>
      <c r="N49" s="25">
        <v>6.5789473684210504</v>
      </c>
      <c r="O49" s="24">
        <f t="shared" si="1"/>
        <v>100.00000000000006</v>
      </c>
    </row>
    <row r="50" spans="1:18">
      <c r="A50" s="19"/>
    </row>
    <row r="51" spans="1:18">
      <c r="A51" s="6" t="s">
        <v>250</v>
      </c>
      <c r="B51" s="19" t="s">
        <v>146</v>
      </c>
      <c r="C51" s="6" t="s">
        <v>147</v>
      </c>
      <c r="D51" s="6" t="s">
        <v>148</v>
      </c>
      <c r="E51" s="6" t="s">
        <v>149</v>
      </c>
      <c r="F51" s="19" t="s">
        <v>285</v>
      </c>
      <c r="G51" s="19" t="s">
        <v>286</v>
      </c>
      <c r="H51" s="19" t="s">
        <v>287</v>
      </c>
      <c r="I51" s="19" t="s">
        <v>288</v>
      </c>
      <c r="J51" s="19" t="s">
        <v>289</v>
      </c>
      <c r="K51" s="19" t="s">
        <v>290</v>
      </c>
    </row>
    <row r="52" spans="1:18">
      <c r="A52" s="19"/>
    </row>
    <row r="53" spans="1:18">
      <c r="A53" s="19"/>
    </row>
    <row r="54" spans="1:18" s="5" customFormat="1">
      <c r="A54" s="24"/>
      <c r="B54" s="24" t="s">
        <v>206</v>
      </c>
      <c r="C54" s="24" t="s">
        <v>203</v>
      </c>
      <c r="D54" s="24" t="s">
        <v>291</v>
      </c>
      <c r="E54" s="24" t="s">
        <v>205</v>
      </c>
      <c r="F54" s="25">
        <v>27.555110220440898</v>
      </c>
      <c r="G54" s="25">
        <v>25.350701402805601</v>
      </c>
      <c r="H54" s="25">
        <v>15.5310621242485</v>
      </c>
      <c r="I54" s="25">
        <v>10.2204408817635</v>
      </c>
      <c r="J54" s="25">
        <v>5.2104208416833702</v>
      </c>
      <c r="K54" s="25">
        <v>16.132264529058101</v>
      </c>
      <c r="L54" s="24">
        <f t="shared" ref="L54:L62" si="2">SUM(F54:K54)</f>
        <v>99.999999999999972</v>
      </c>
    </row>
    <row r="55" spans="1:18" s="5" customFormat="1">
      <c r="A55" s="24"/>
      <c r="B55" s="24" t="s">
        <v>202</v>
      </c>
      <c r="C55" s="24" t="s">
        <v>203</v>
      </c>
      <c r="D55" s="24" t="s">
        <v>292</v>
      </c>
      <c r="E55" s="24" t="s">
        <v>205</v>
      </c>
      <c r="F55" s="25">
        <v>30.3</v>
      </c>
      <c r="G55" s="25">
        <v>34.1</v>
      </c>
      <c r="H55" s="25">
        <v>8.5</v>
      </c>
      <c r="I55" s="25">
        <v>11.3</v>
      </c>
      <c r="J55" s="25">
        <v>5.6</v>
      </c>
      <c r="K55" s="25">
        <v>10.199999999999999</v>
      </c>
      <c r="L55" s="24">
        <f t="shared" si="2"/>
        <v>100</v>
      </c>
    </row>
    <row r="56" spans="1:18" s="5" customFormat="1">
      <c r="A56" s="24"/>
      <c r="B56" s="24" t="s">
        <v>208</v>
      </c>
      <c r="C56" s="24" t="s">
        <v>203</v>
      </c>
      <c r="D56" s="24" t="s">
        <v>293</v>
      </c>
      <c r="E56" s="24" t="s">
        <v>205</v>
      </c>
      <c r="F56" s="25">
        <v>25.8</v>
      </c>
      <c r="G56" s="25">
        <v>24.9</v>
      </c>
      <c r="H56" s="25">
        <v>13.5</v>
      </c>
      <c r="I56" s="25">
        <v>12.4</v>
      </c>
      <c r="J56" s="25">
        <v>7.1</v>
      </c>
      <c r="K56" s="25">
        <v>16.3</v>
      </c>
      <c r="L56" s="24">
        <f t="shared" si="2"/>
        <v>100</v>
      </c>
    </row>
    <row r="57" spans="1:18" s="5" customFormat="1">
      <c r="A57" s="24"/>
      <c r="B57" s="24" t="s">
        <v>210</v>
      </c>
      <c r="C57" s="24" t="s">
        <v>203</v>
      </c>
      <c r="D57" s="24" t="s">
        <v>294</v>
      </c>
      <c r="E57" s="24" t="s">
        <v>205</v>
      </c>
      <c r="F57" s="25">
        <v>23.8</v>
      </c>
      <c r="G57" s="25">
        <v>19.7</v>
      </c>
      <c r="H57" s="25">
        <v>11.2</v>
      </c>
      <c r="I57" s="25">
        <v>15</v>
      </c>
      <c r="J57" s="25">
        <v>8.6</v>
      </c>
      <c r="K57" s="25">
        <v>21.7</v>
      </c>
      <c r="L57" s="24">
        <f t="shared" si="2"/>
        <v>100</v>
      </c>
    </row>
    <row r="58" spans="1:18" s="5" customFormat="1">
      <c r="A58" s="24"/>
      <c r="B58" s="24" t="s">
        <v>213</v>
      </c>
      <c r="C58" s="24" t="s">
        <v>203</v>
      </c>
      <c r="D58" s="24" t="s">
        <v>295</v>
      </c>
      <c r="E58" s="24" t="s">
        <v>205</v>
      </c>
      <c r="F58" s="25">
        <v>21.4214214214214</v>
      </c>
      <c r="G58" s="25">
        <v>21.9219219219219</v>
      </c>
      <c r="H58" s="25">
        <v>10.8108108108108</v>
      </c>
      <c r="I58" s="25">
        <v>11.1111111111111</v>
      </c>
      <c r="J58" s="25">
        <v>12.512512512512499</v>
      </c>
      <c r="K58" s="25">
        <v>22.2222222222222</v>
      </c>
      <c r="L58" s="24">
        <f t="shared" si="2"/>
        <v>99.999999999999901</v>
      </c>
    </row>
    <row r="59" spans="1:18" s="5" customFormat="1">
      <c r="A59" s="24"/>
      <c r="B59" s="24" t="s">
        <v>18</v>
      </c>
      <c r="C59" s="24" t="s">
        <v>203</v>
      </c>
      <c r="D59" s="24" t="s">
        <v>296</v>
      </c>
      <c r="E59" s="24" t="s">
        <v>205</v>
      </c>
      <c r="F59" s="25">
        <v>19.2</v>
      </c>
      <c r="G59" s="25">
        <v>21.4</v>
      </c>
      <c r="H59" s="25">
        <v>13.3</v>
      </c>
      <c r="I59" s="25">
        <v>13.1</v>
      </c>
      <c r="J59" s="25">
        <v>13.6</v>
      </c>
      <c r="K59" s="25">
        <v>19.399999999999999</v>
      </c>
      <c r="L59" s="24">
        <f t="shared" si="2"/>
        <v>99.999999999999972</v>
      </c>
    </row>
    <row r="60" spans="1:18" s="5" customFormat="1">
      <c r="A60" s="24"/>
      <c r="B60" s="24" t="s">
        <v>215</v>
      </c>
      <c r="C60" s="24" t="s">
        <v>216</v>
      </c>
      <c r="D60" s="24" t="s">
        <v>297</v>
      </c>
      <c r="E60" s="24" t="s">
        <v>205</v>
      </c>
      <c r="F60" s="25">
        <v>22.7227227227227</v>
      </c>
      <c r="G60" s="25">
        <v>24.424424424424402</v>
      </c>
      <c r="H60" s="25">
        <v>13.3133133133133</v>
      </c>
      <c r="I60" s="25">
        <v>13.6136136136136</v>
      </c>
      <c r="J60" s="25">
        <v>8.1081081081081106</v>
      </c>
      <c r="K60" s="25">
        <v>17.817817817817801</v>
      </c>
      <c r="L60" s="24">
        <f t="shared" si="2"/>
        <v>99.999999999999915</v>
      </c>
    </row>
    <row r="61" spans="1:18" s="5" customFormat="1">
      <c r="A61" s="24" t="s">
        <v>222</v>
      </c>
      <c r="C61" s="24" t="s">
        <v>223</v>
      </c>
      <c r="D61" s="24" t="s">
        <v>298</v>
      </c>
      <c r="E61" s="24" t="s">
        <v>205</v>
      </c>
      <c r="F61" s="25">
        <v>28.1</v>
      </c>
      <c r="G61" s="25">
        <v>23.1</v>
      </c>
      <c r="H61" s="25">
        <v>10.4</v>
      </c>
      <c r="I61" s="25">
        <v>11.7</v>
      </c>
      <c r="J61" s="25">
        <v>10</v>
      </c>
      <c r="K61" s="25">
        <v>16.7</v>
      </c>
      <c r="L61" s="24">
        <f t="shared" si="2"/>
        <v>100</v>
      </c>
    </row>
    <row r="62" spans="1:18" s="5" customFormat="1">
      <c r="A62" s="24" t="s">
        <v>281</v>
      </c>
      <c r="C62" s="24" t="s">
        <v>282</v>
      </c>
      <c r="D62" s="24" t="s">
        <v>299</v>
      </c>
      <c r="E62" s="24" t="s">
        <v>284</v>
      </c>
      <c r="F62" s="25">
        <v>26.4</v>
      </c>
      <c r="G62" s="25">
        <v>21.7</v>
      </c>
      <c r="H62" s="25">
        <v>11.6</v>
      </c>
      <c r="I62" s="25">
        <v>16.7</v>
      </c>
      <c r="J62" s="25">
        <v>6.9</v>
      </c>
      <c r="K62" s="25">
        <v>16.7</v>
      </c>
      <c r="L62" s="24">
        <f t="shared" si="2"/>
        <v>100</v>
      </c>
    </row>
    <row r="63" spans="1:18">
      <c r="A63" s="19"/>
    </row>
    <row r="64" spans="1:18">
      <c r="A64" s="6" t="s">
        <v>250</v>
      </c>
      <c r="B64" s="19" t="s">
        <v>146</v>
      </c>
      <c r="C64" s="6" t="s">
        <v>147</v>
      </c>
      <c r="D64" s="6" t="s">
        <v>148</v>
      </c>
      <c r="E64" s="6" t="s">
        <v>149</v>
      </c>
      <c r="F64" s="19" t="s">
        <v>238</v>
      </c>
      <c r="G64" s="19" t="s">
        <v>239</v>
      </c>
      <c r="H64" s="19" t="s">
        <v>240</v>
      </c>
      <c r="I64" s="19" t="s">
        <v>241</v>
      </c>
      <c r="J64" s="19" t="s">
        <v>242</v>
      </c>
      <c r="K64" s="19" t="s">
        <v>243</v>
      </c>
      <c r="L64" s="19" t="s">
        <v>244</v>
      </c>
      <c r="M64" s="19" t="s">
        <v>245</v>
      </c>
      <c r="N64" s="19" t="s">
        <v>246</v>
      </c>
      <c r="O64" s="19" t="s">
        <v>247</v>
      </c>
      <c r="P64" s="19" t="s">
        <v>248</v>
      </c>
      <c r="Q64" s="19" t="s">
        <v>249</v>
      </c>
      <c r="R64" s="19" t="s">
        <v>300</v>
      </c>
    </row>
    <row r="65" spans="1:19">
      <c r="A65" s="19"/>
    </row>
    <row r="66" spans="1:19">
      <c r="A66" s="19"/>
    </row>
    <row r="67" spans="1:19">
      <c r="A67" s="19"/>
      <c r="B67" s="19" t="s">
        <v>206</v>
      </c>
      <c r="C67" s="19" t="s">
        <v>203</v>
      </c>
      <c r="D67" s="19" t="s">
        <v>301</v>
      </c>
      <c r="E67" s="19" t="s">
        <v>205</v>
      </c>
      <c r="F67" s="45">
        <v>274.043996280839</v>
      </c>
      <c r="G67" s="45">
        <v>292.31359603289502</v>
      </c>
      <c r="H67" s="45">
        <v>0</v>
      </c>
      <c r="I67" s="45">
        <v>0</v>
      </c>
      <c r="J67" s="45">
        <v>1808.6903754535399</v>
      </c>
      <c r="K67" s="45">
        <v>182.69599752056001</v>
      </c>
      <c r="L67" s="45">
        <v>1443.2983804124201</v>
      </c>
      <c r="M67" s="45">
        <v>383.66159479317503</v>
      </c>
      <c r="N67" s="45">
        <v>182.69599752055899</v>
      </c>
      <c r="O67" s="45">
        <v>712.51439033018096</v>
      </c>
      <c r="P67" s="45">
        <v>91.347998760279594</v>
      </c>
      <c r="Q67" s="45">
        <v>292.31359603289502</v>
      </c>
      <c r="R67" s="45">
        <f t="shared" ref="R67:R78" si="3">SUM(F67:Q67)</f>
        <v>5663.5759231373449</v>
      </c>
      <c r="S67" s="45">
        <f t="shared" ref="S67:S78" si="4">R67*3.2808^3</f>
        <v>200000.00000000015</v>
      </c>
    </row>
    <row r="68" spans="1:19">
      <c r="A68" s="19"/>
      <c r="B68" s="19" t="s">
        <v>202</v>
      </c>
      <c r="C68" s="19" t="s">
        <v>203</v>
      </c>
      <c r="D68" s="19" t="s">
        <v>302</v>
      </c>
      <c r="E68" s="19" t="s">
        <v>205</v>
      </c>
      <c r="F68" s="45">
        <v>401.93119454523099</v>
      </c>
      <c r="G68" s="45">
        <v>237.50479677672701</v>
      </c>
      <c r="H68" s="45">
        <v>0</v>
      </c>
      <c r="I68" s="45">
        <v>0</v>
      </c>
      <c r="J68" s="45">
        <v>2137.5431709905401</v>
      </c>
      <c r="K68" s="45">
        <v>328.85279553700701</v>
      </c>
      <c r="L68" s="45">
        <v>2320.2391685111002</v>
      </c>
      <c r="M68" s="45">
        <v>237.504796776728</v>
      </c>
      <c r="N68" s="45">
        <v>219.235197024672</v>
      </c>
      <c r="O68" s="45">
        <v>529.81839280962197</v>
      </c>
      <c r="P68" s="45">
        <v>73.078399008222704</v>
      </c>
      <c r="Q68" s="45">
        <v>438.47039404934299</v>
      </c>
      <c r="R68" s="45">
        <f t="shared" si="3"/>
        <v>6924.1783060291928</v>
      </c>
      <c r="S68" s="45">
        <f t="shared" si="4"/>
        <v>244516.12903225777</v>
      </c>
    </row>
    <row r="69" spans="1:19">
      <c r="A69" s="19"/>
      <c r="B69" s="19" t="s">
        <v>208</v>
      </c>
      <c r="C69" s="19" t="s">
        <v>203</v>
      </c>
      <c r="D69" s="19" t="s">
        <v>303</v>
      </c>
      <c r="E69" s="19" t="s">
        <v>205</v>
      </c>
      <c r="F69" s="45">
        <v>675.97519082607005</v>
      </c>
      <c r="G69" s="45">
        <v>255.774396528783</v>
      </c>
      <c r="H69" s="45">
        <v>347.12239528906298</v>
      </c>
      <c r="I69" s="45">
        <v>164.42639776850299</v>
      </c>
      <c r="J69" s="45">
        <v>2101.0039714864301</v>
      </c>
      <c r="K69" s="45">
        <v>292.31359603289502</v>
      </c>
      <c r="L69" s="45">
        <v>1826.9599752055899</v>
      </c>
      <c r="M69" s="45">
        <v>657.70559107401402</v>
      </c>
      <c r="N69" s="45">
        <v>146.156798016447</v>
      </c>
      <c r="O69" s="45">
        <v>876.94078809868597</v>
      </c>
      <c r="P69" s="45">
        <v>328.85279553700599</v>
      </c>
      <c r="Q69" s="45">
        <v>657.70559107401402</v>
      </c>
      <c r="R69" s="45">
        <f t="shared" si="3"/>
        <v>8330.9374869375024</v>
      </c>
      <c r="S69" s="45">
        <f t="shared" si="4"/>
        <v>294193.54838709655</v>
      </c>
    </row>
    <row r="70" spans="1:19">
      <c r="A70" s="19"/>
      <c r="B70" s="19" t="s">
        <v>210</v>
      </c>
      <c r="C70" s="19" t="s">
        <v>203</v>
      </c>
      <c r="D70" s="19" t="s">
        <v>304</v>
      </c>
      <c r="E70" s="19" t="s">
        <v>205</v>
      </c>
      <c r="F70" s="45">
        <v>913.479987602797</v>
      </c>
      <c r="G70" s="45">
        <v>1132.7151846274701</v>
      </c>
      <c r="H70" s="45">
        <v>328.85279553700701</v>
      </c>
      <c r="I70" s="45">
        <v>0</v>
      </c>
      <c r="J70" s="45">
        <v>2813.5183618166102</v>
      </c>
      <c r="K70" s="45">
        <v>456.73999380139901</v>
      </c>
      <c r="L70" s="45">
        <v>2192.3519702467102</v>
      </c>
      <c r="M70" s="45">
        <v>1205.7935836356901</v>
      </c>
      <c r="N70" s="45">
        <v>146.156798016447</v>
      </c>
      <c r="O70" s="45">
        <v>1187.5239838836401</v>
      </c>
      <c r="P70" s="45">
        <v>164.42639776850399</v>
      </c>
      <c r="Q70" s="45">
        <v>1059.6367856192401</v>
      </c>
      <c r="R70" s="45">
        <f t="shared" si="3"/>
        <v>11601.195842555513</v>
      </c>
      <c r="S70" s="45">
        <f t="shared" si="4"/>
        <v>409677.41935483844</v>
      </c>
    </row>
    <row r="71" spans="1:19">
      <c r="A71" s="19"/>
      <c r="B71" s="19" t="s">
        <v>213</v>
      </c>
      <c r="C71" s="19" t="s">
        <v>203</v>
      </c>
      <c r="D71" s="19" t="s">
        <v>305</v>
      </c>
      <c r="E71" s="19" t="s">
        <v>205</v>
      </c>
      <c r="F71" s="45">
        <v>1534.6463791727001</v>
      </c>
      <c r="G71" s="45">
        <v>1114.4455848754101</v>
      </c>
      <c r="H71" s="45">
        <v>420.20079429728702</v>
      </c>
      <c r="I71" s="45">
        <v>164.42639776850299</v>
      </c>
      <c r="J71" s="45">
        <v>2977.9447595851202</v>
      </c>
      <c r="K71" s="45">
        <v>475.00959355345498</v>
      </c>
      <c r="L71" s="45">
        <v>3160.6407571056802</v>
      </c>
      <c r="M71" s="45">
        <v>931.749587354852</v>
      </c>
      <c r="N71" s="45">
        <v>219.235197024673</v>
      </c>
      <c r="O71" s="45">
        <v>1406.7591809083101</v>
      </c>
      <c r="P71" s="45">
        <v>200.96559727261399</v>
      </c>
      <c r="Q71" s="45">
        <v>1826.9599752055899</v>
      </c>
      <c r="R71" s="45">
        <f t="shared" si="3"/>
        <v>14432.983804124193</v>
      </c>
      <c r="S71" s="45">
        <f t="shared" si="4"/>
        <v>509677.41935483873</v>
      </c>
    </row>
    <row r="72" spans="1:19">
      <c r="A72" s="19"/>
      <c r="B72" s="19" t="s">
        <v>18</v>
      </c>
      <c r="C72" s="19" t="s">
        <v>203</v>
      </c>
      <c r="D72" s="19" t="s">
        <v>306</v>
      </c>
      <c r="E72" s="19" t="s">
        <v>205</v>
      </c>
      <c r="F72" s="45">
        <v>1059.6367856192401</v>
      </c>
      <c r="G72" s="45">
        <v>401.93119454523099</v>
      </c>
      <c r="H72" s="45">
        <v>1607.7247781809201</v>
      </c>
      <c r="I72" s="45">
        <v>0</v>
      </c>
      <c r="J72" s="45">
        <v>2813.5183618166202</v>
      </c>
      <c r="K72" s="45">
        <v>895.21038785074097</v>
      </c>
      <c r="L72" s="45">
        <v>3124.1015576015702</v>
      </c>
      <c r="M72" s="45">
        <v>876.94078809868404</v>
      </c>
      <c r="N72" s="45">
        <v>219.235197024673</v>
      </c>
      <c r="O72" s="45">
        <v>1717.3423766932599</v>
      </c>
      <c r="P72" s="45">
        <v>255.774396528783</v>
      </c>
      <c r="Q72" s="45">
        <v>2174.0823704946602</v>
      </c>
      <c r="R72" s="45">
        <f t="shared" si="3"/>
        <v>15145.498194454382</v>
      </c>
      <c r="S72" s="45">
        <f t="shared" si="4"/>
        <v>534838.70967741963</v>
      </c>
    </row>
    <row r="73" spans="1:19">
      <c r="A73" s="19"/>
      <c r="B73" s="19" t="s">
        <v>215</v>
      </c>
      <c r="C73" s="19" t="s">
        <v>216</v>
      </c>
      <c r="D73" s="19" t="s">
        <v>217</v>
      </c>
      <c r="E73" s="19" t="s">
        <v>205</v>
      </c>
      <c r="F73" s="45">
        <v>1260.6023828918601</v>
      </c>
      <c r="G73" s="45">
        <v>383.66159479317503</v>
      </c>
      <c r="H73" s="45">
        <v>548.08799256167799</v>
      </c>
      <c r="I73" s="45">
        <v>0</v>
      </c>
      <c r="J73" s="45">
        <v>2850.0575613207302</v>
      </c>
      <c r="K73" s="45">
        <v>621.16639156990198</v>
      </c>
      <c r="L73" s="45">
        <v>2192.3519702467102</v>
      </c>
      <c r="M73" s="45">
        <v>2027.9255724782099</v>
      </c>
      <c r="N73" s="45">
        <v>164.42639776850399</v>
      </c>
      <c r="O73" s="45">
        <v>1260.6023828918601</v>
      </c>
      <c r="P73" s="45">
        <v>383.66159479317503</v>
      </c>
      <c r="Q73" s="45">
        <v>1096.1759851233601</v>
      </c>
      <c r="R73" s="45">
        <f t="shared" si="3"/>
        <v>12788.719826439165</v>
      </c>
      <c r="S73" s="45">
        <f t="shared" si="4"/>
        <v>451612.90322580672</v>
      </c>
    </row>
    <row r="74" spans="1:19">
      <c r="A74" s="19"/>
      <c r="B74" s="19" t="s">
        <v>218</v>
      </c>
      <c r="C74" s="19" t="s">
        <v>216</v>
      </c>
      <c r="D74" s="19" t="s">
        <v>219</v>
      </c>
      <c r="E74" s="19" t="s">
        <v>205</v>
      </c>
      <c r="F74" s="45">
        <v>1552.9159789247501</v>
      </c>
      <c r="G74" s="45">
        <v>584.62719206579004</v>
      </c>
      <c r="H74" s="45">
        <v>566.35759231373504</v>
      </c>
      <c r="I74" s="45">
        <v>0</v>
      </c>
      <c r="J74" s="45">
        <v>3781.8071486755798</v>
      </c>
      <c r="K74" s="45">
        <v>0</v>
      </c>
      <c r="L74" s="45">
        <v>3087.5623580974502</v>
      </c>
      <c r="M74" s="45">
        <v>0</v>
      </c>
      <c r="N74" s="45">
        <v>0</v>
      </c>
      <c r="O74" s="45">
        <v>3672.1895501632398</v>
      </c>
      <c r="P74" s="45">
        <v>1406.7591809083101</v>
      </c>
      <c r="Q74" s="45">
        <v>1973.1167732220399</v>
      </c>
      <c r="R74" s="45">
        <f t="shared" si="3"/>
        <v>16625.335774370891</v>
      </c>
      <c r="S74" s="45">
        <f t="shared" si="4"/>
        <v>587096.7741935479</v>
      </c>
    </row>
    <row r="75" spans="1:19">
      <c r="A75" s="19"/>
      <c r="B75" s="19" t="s">
        <v>220</v>
      </c>
      <c r="C75" s="19" t="s">
        <v>216</v>
      </c>
      <c r="D75" s="19" t="s">
        <v>221</v>
      </c>
      <c r="E75" s="19" t="s">
        <v>205</v>
      </c>
      <c r="F75" s="45">
        <v>1315.4111821480301</v>
      </c>
      <c r="G75" s="45">
        <v>876.94078809868495</v>
      </c>
      <c r="H75" s="45">
        <v>548.08799256167799</v>
      </c>
      <c r="I75" s="45">
        <v>0</v>
      </c>
      <c r="J75" s="45">
        <v>3873.1551474358598</v>
      </c>
      <c r="K75" s="45">
        <v>0</v>
      </c>
      <c r="L75" s="45">
        <v>2466.3959665275502</v>
      </c>
      <c r="M75" s="45">
        <v>0</v>
      </c>
      <c r="N75" s="45">
        <v>0</v>
      </c>
      <c r="O75" s="45">
        <v>2649.0919640481102</v>
      </c>
      <c r="P75" s="45">
        <v>1224.0631833877501</v>
      </c>
      <c r="Q75" s="45">
        <v>1479.8375799165301</v>
      </c>
      <c r="R75" s="45">
        <f t="shared" si="3"/>
        <v>14432.983804124193</v>
      </c>
      <c r="S75" s="45">
        <f t="shared" si="4"/>
        <v>509677.41935483873</v>
      </c>
    </row>
    <row r="76" spans="1:19">
      <c r="A76" s="19" t="s">
        <v>222</v>
      </c>
      <c r="C76" s="19" t="s">
        <v>223</v>
      </c>
      <c r="D76" s="19" t="s">
        <v>224</v>
      </c>
      <c r="E76" s="19" t="s">
        <v>205</v>
      </c>
      <c r="F76" s="45">
        <v>365.391995041119</v>
      </c>
      <c r="G76" s="45">
        <v>712.51439033018198</v>
      </c>
      <c r="H76" s="45">
        <v>493.27919330550998</v>
      </c>
      <c r="I76" s="45">
        <v>0</v>
      </c>
      <c r="J76" s="45">
        <v>2375.0479677672702</v>
      </c>
      <c r="K76" s="45">
        <v>749.05358983429301</v>
      </c>
      <c r="L76" s="45">
        <v>2228.8911697508202</v>
      </c>
      <c r="M76" s="45">
        <v>621.16639156990198</v>
      </c>
      <c r="N76" s="45">
        <v>109.61759851233499</v>
      </c>
      <c r="O76" s="45">
        <v>438.47039404934299</v>
      </c>
      <c r="P76" s="45">
        <v>511.548793057566</v>
      </c>
      <c r="Q76" s="45">
        <v>913.479987602797</v>
      </c>
      <c r="R76" s="45">
        <f t="shared" si="3"/>
        <v>9518.4614708211375</v>
      </c>
      <c r="S76" s="45">
        <f t="shared" si="4"/>
        <v>336129.03225806425</v>
      </c>
    </row>
    <row r="77" spans="1:19">
      <c r="A77" s="19"/>
      <c r="B77" s="19" t="s">
        <v>225</v>
      </c>
      <c r="C77" s="19" t="s">
        <v>226</v>
      </c>
      <c r="D77" s="19" t="s">
        <v>227</v>
      </c>
      <c r="E77" s="19" t="s">
        <v>205</v>
      </c>
      <c r="F77" s="45">
        <v>1260.6023828918601</v>
      </c>
      <c r="G77" s="45">
        <v>895.21038785074097</v>
      </c>
      <c r="H77" s="45">
        <v>931.749587354852</v>
      </c>
      <c r="I77" s="45">
        <v>0</v>
      </c>
      <c r="J77" s="45">
        <v>4384.7039404934303</v>
      </c>
      <c r="K77" s="45">
        <v>602.89679181784697</v>
      </c>
      <c r="L77" s="45">
        <v>3087.5623580974502</v>
      </c>
      <c r="M77" s="45">
        <v>1023.09758611513</v>
      </c>
      <c r="N77" s="45">
        <v>182.69599752056101</v>
      </c>
      <c r="O77" s="45">
        <v>383.66159479317298</v>
      </c>
      <c r="P77" s="45">
        <v>475.00959355345498</v>
      </c>
      <c r="Q77" s="45">
        <v>2667.3615638001702</v>
      </c>
      <c r="R77" s="45">
        <f t="shared" si="3"/>
        <v>15894.551784288669</v>
      </c>
      <c r="S77" s="45">
        <f t="shared" si="4"/>
        <v>561290.32258064521</v>
      </c>
    </row>
    <row r="78" spans="1:19">
      <c r="A78" s="19" t="s">
        <v>228</v>
      </c>
      <c r="C78" s="19" t="s">
        <v>152</v>
      </c>
      <c r="D78" s="19" t="s">
        <v>229</v>
      </c>
      <c r="E78" s="19" t="s">
        <v>205</v>
      </c>
      <c r="F78" s="45">
        <v>1132.7151846274701</v>
      </c>
      <c r="G78" s="45">
        <v>511.548793057566</v>
      </c>
      <c r="H78" s="45">
        <v>895.21038785074097</v>
      </c>
      <c r="I78" s="45">
        <v>0</v>
      </c>
      <c r="J78" s="45">
        <v>3306.7975551221198</v>
      </c>
      <c r="K78" s="45">
        <v>566.35759231373504</v>
      </c>
      <c r="L78" s="45">
        <v>3526.0327521467998</v>
      </c>
      <c r="M78" s="45">
        <v>968.28878685896404</v>
      </c>
      <c r="N78" s="45">
        <v>328.85279553700599</v>
      </c>
      <c r="O78" s="45">
        <v>1004.82798636308</v>
      </c>
      <c r="P78" s="45">
        <v>1096.1759851233601</v>
      </c>
      <c r="Q78" s="45">
        <v>1571.1855786768101</v>
      </c>
      <c r="R78" s="45">
        <f t="shared" si="3"/>
        <v>14907.993397677652</v>
      </c>
      <c r="S78" s="45">
        <f t="shared" si="4"/>
        <v>526451.61290322605</v>
      </c>
    </row>
    <row r="79" spans="1:19">
      <c r="A79" s="19"/>
    </row>
    <row r="80" spans="1:19" s="5" customFormat="1">
      <c r="A80" s="46" t="s">
        <v>250</v>
      </c>
      <c r="B80" s="24" t="s">
        <v>146</v>
      </c>
      <c r="C80" s="46" t="s">
        <v>147</v>
      </c>
      <c r="D80" s="24" t="s">
        <v>148</v>
      </c>
      <c r="E80" s="24" t="s">
        <v>149</v>
      </c>
      <c r="F80" s="24" t="s">
        <v>307</v>
      </c>
      <c r="G80" s="24" t="s">
        <v>308</v>
      </c>
    </row>
    <row r="81" spans="1:31" s="5" customFormat="1">
      <c r="A81" s="24"/>
      <c r="B81" s="24"/>
      <c r="C81" s="24"/>
      <c r="D81" s="24"/>
      <c r="E81" s="24"/>
      <c r="F81" s="24"/>
      <c r="G81" s="24" t="s">
        <v>309</v>
      </c>
    </row>
    <row r="82" spans="1:31" s="5" customFormat="1">
      <c r="A82" s="24"/>
    </row>
    <row r="83" spans="1:31" s="5" customFormat="1">
      <c r="A83" s="24" t="s">
        <v>310</v>
      </c>
      <c r="C83" s="24" t="s">
        <v>311</v>
      </c>
      <c r="D83" s="24" t="s">
        <v>312</v>
      </c>
      <c r="E83" s="24" t="s">
        <v>205</v>
      </c>
      <c r="F83" s="24">
        <v>1943</v>
      </c>
      <c r="G83" s="24">
        <v>3.65</v>
      </c>
    </row>
    <row r="84" spans="1:31" s="5" customFormat="1">
      <c r="A84" s="24" t="s">
        <v>313</v>
      </c>
      <c r="C84" s="24" t="s">
        <v>311</v>
      </c>
      <c r="D84" s="24" t="s">
        <v>314</v>
      </c>
      <c r="E84" s="24" t="s">
        <v>205</v>
      </c>
      <c r="F84" s="24">
        <v>1954</v>
      </c>
      <c r="G84" s="24">
        <v>4.24</v>
      </c>
    </row>
    <row r="85" spans="1:31" s="5" customFormat="1">
      <c r="A85" s="24" t="s">
        <v>315</v>
      </c>
      <c r="C85" s="24" t="s">
        <v>311</v>
      </c>
      <c r="D85" s="24" t="s">
        <v>316</v>
      </c>
      <c r="E85" s="24" t="s">
        <v>205</v>
      </c>
      <c r="F85" s="24">
        <v>1964</v>
      </c>
      <c r="G85" s="24">
        <v>4.57</v>
      </c>
    </row>
    <row r="86" spans="1:31" s="5" customFormat="1">
      <c r="A86" s="24" t="s">
        <v>317</v>
      </c>
      <c r="C86" s="24" t="s">
        <v>311</v>
      </c>
      <c r="D86" s="24" t="s">
        <v>318</v>
      </c>
      <c r="E86" s="24" t="s">
        <v>205</v>
      </c>
      <c r="F86" s="24">
        <v>1980</v>
      </c>
      <c r="G86" s="24">
        <v>5.04</v>
      </c>
    </row>
    <row r="87" spans="1:31" s="5" customFormat="1">
      <c r="A87" s="24" t="s">
        <v>319</v>
      </c>
      <c r="C87" s="24" t="s">
        <v>282</v>
      </c>
      <c r="D87" s="24" t="s">
        <v>320</v>
      </c>
      <c r="E87" s="24" t="s">
        <v>284</v>
      </c>
      <c r="F87" s="24">
        <v>1949</v>
      </c>
      <c r="G87" s="24">
        <v>3.51</v>
      </c>
    </row>
    <row r="88" spans="1:31" s="5" customFormat="1">
      <c r="A88" s="24" t="s">
        <v>321</v>
      </c>
      <c r="C88" s="24" t="s">
        <v>282</v>
      </c>
      <c r="D88" s="24" t="s">
        <v>322</v>
      </c>
      <c r="E88" s="24" t="s">
        <v>284</v>
      </c>
      <c r="F88" s="24">
        <v>1955</v>
      </c>
      <c r="G88" s="24">
        <v>3.73</v>
      </c>
    </row>
    <row r="89" spans="1:31" s="5" customFormat="1">
      <c r="A89" s="24" t="s">
        <v>323</v>
      </c>
      <c r="C89" s="24" t="s">
        <v>282</v>
      </c>
      <c r="D89" s="24" t="s">
        <v>324</v>
      </c>
      <c r="E89" s="24" t="s">
        <v>284</v>
      </c>
      <c r="F89" s="24">
        <v>1967</v>
      </c>
      <c r="G89" s="24">
        <v>4.0999999999999996</v>
      </c>
    </row>
    <row r="90" spans="1:31" s="5" customFormat="1">
      <c r="A90" s="24" t="s">
        <v>325</v>
      </c>
      <c r="C90" s="24" t="s">
        <v>282</v>
      </c>
      <c r="D90" s="24" t="s">
        <v>326</v>
      </c>
      <c r="E90" s="24" t="s">
        <v>284</v>
      </c>
      <c r="F90" s="24">
        <v>1980</v>
      </c>
      <c r="G90" s="24">
        <v>4.51</v>
      </c>
    </row>
    <row r="91" spans="1:31">
      <c r="A91" s="19"/>
    </row>
    <row r="92" spans="1:31">
      <c r="A92" s="47" t="s">
        <v>250</v>
      </c>
      <c r="B92" s="47" t="s">
        <v>146</v>
      </c>
      <c r="C92" s="47" t="s">
        <v>147</v>
      </c>
      <c r="D92" s="47" t="s">
        <v>148</v>
      </c>
      <c r="E92" s="19" t="s">
        <v>149</v>
      </c>
      <c r="G92" s="48" t="s">
        <v>327</v>
      </c>
      <c r="I92" s="48" t="s">
        <v>151</v>
      </c>
      <c r="K92" s="48" t="s">
        <v>153</v>
      </c>
      <c r="L92" s="45" t="s">
        <v>328</v>
      </c>
      <c r="M92" s="19" t="s">
        <v>329</v>
      </c>
      <c r="N92" s="19" t="s">
        <v>330</v>
      </c>
      <c r="O92" s="19" t="s">
        <v>331</v>
      </c>
      <c r="Q92" s="19" t="s">
        <v>332</v>
      </c>
      <c r="R92" s="19" t="s">
        <v>333</v>
      </c>
      <c r="S92" s="19" t="s">
        <v>334</v>
      </c>
      <c r="T92" s="19" t="s">
        <v>335</v>
      </c>
      <c r="U92" s="19" t="s">
        <v>336</v>
      </c>
      <c r="V92" s="19" t="s">
        <v>337</v>
      </c>
      <c r="W92" s="19" t="s">
        <v>338</v>
      </c>
      <c r="X92" s="19" t="s">
        <v>339</v>
      </c>
      <c r="Y92" s="19" t="s">
        <v>340</v>
      </c>
      <c r="Z92" s="19" t="s">
        <v>341</v>
      </c>
      <c r="AA92" s="19" t="s">
        <v>342</v>
      </c>
      <c r="AB92" s="19" t="s">
        <v>343</v>
      </c>
      <c r="AC92" s="19" t="s">
        <v>152</v>
      </c>
      <c r="AD92" s="19" t="s">
        <v>344</v>
      </c>
      <c r="AE92" s="19" t="s">
        <v>345</v>
      </c>
    </row>
    <row r="93" spans="1:31">
      <c r="A93" s="19"/>
      <c r="B93" s="19"/>
      <c r="C93" s="19"/>
      <c r="D93" s="19"/>
      <c r="E93" s="19"/>
      <c r="F93" s="19"/>
      <c r="G93" s="48"/>
      <c r="I93" s="48"/>
      <c r="K93" s="48"/>
      <c r="L93" s="45"/>
      <c r="Q93" s="19" t="s">
        <v>346</v>
      </c>
      <c r="R93" s="19" t="s">
        <v>347</v>
      </c>
      <c r="S93" s="19" t="s">
        <v>347</v>
      </c>
      <c r="X93" s="19" t="s">
        <v>348</v>
      </c>
    </row>
    <row r="94" spans="1:31">
      <c r="A94" s="19"/>
      <c r="B94" s="19"/>
      <c r="C94" s="19"/>
      <c r="D94" s="19"/>
      <c r="E94" s="19"/>
      <c r="F94" s="19"/>
      <c r="G94" s="48"/>
      <c r="I94" s="48"/>
      <c r="K94" s="48"/>
      <c r="L94" s="45"/>
    </row>
    <row r="95" spans="1:31">
      <c r="A95" s="19"/>
      <c r="B95" s="19" t="s">
        <v>349</v>
      </c>
      <c r="C95" s="19" t="s">
        <v>311</v>
      </c>
      <c r="D95" s="19" t="s">
        <v>350</v>
      </c>
      <c r="E95" s="19" t="s">
        <v>351</v>
      </c>
      <c r="G95" s="21">
        <v>124.05208358733</v>
      </c>
      <c r="I95" s="21">
        <v>13.5024749457463</v>
      </c>
      <c r="K95" s="21">
        <v>4.4195459754700002</v>
      </c>
      <c r="L95" s="45">
        <v>3982.94475188243</v>
      </c>
      <c r="M95" s="45">
        <v>9259.9466343295499</v>
      </c>
      <c r="N95" s="45">
        <v>2744.0025347600399</v>
      </c>
      <c r="O95" s="45">
        <v>12003.949169089599</v>
      </c>
      <c r="Q95" s="19">
        <v>23.1</v>
      </c>
      <c r="R95" s="19">
        <v>4.49</v>
      </c>
      <c r="S95" s="19">
        <v>4.92</v>
      </c>
      <c r="T95" s="19">
        <v>0.52600000000000002</v>
      </c>
      <c r="U95" s="19">
        <v>0.82699999999999996</v>
      </c>
      <c r="V95" s="19">
        <v>0.63600000000000001</v>
      </c>
      <c r="W95" s="19">
        <v>0.77100000000000002</v>
      </c>
      <c r="X95" s="19">
        <v>0.53</v>
      </c>
      <c r="Y95" s="19">
        <v>58.1</v>
      </c>
      <c r="Z95" s="19">
        <v>4.9000000000000002E-2</v>
      </c>
      <c r="AA95" s="19">
        <v>16</v>
      </c>
      <c r="AB95" s="19">
        <v>5.3</v>
      </c>
      <c r="AC95" s="48">
        <v>7.6944599888080596</v>
      </c>
      <c r="AD95" s="48">
        <v>6.9037249701953698</v>
      </c>
      <c r="AE95" s="19">
        <v>5.6000000000000001E-2</v>
      </c>
    </row>
    <row r="96" spans="1:31">
      <c r="A96" s="19"/>
      <c r="B96" s="19" t="s">
        <v>352</v>
      </c>
      <c r="C96" s="19" t="s">
        <v>311</v>
      </c>
      <c r="D96" s="19" t="s">
        <v>353</v>
      </c>
      <c r="E96" s="19" t="s">
        <v>351</v>
      </c>
      <c r="G96" s="21">
        <v>156.97008119772701</v>
      </c>
      <c r="I96" s="21">
        <v>12.9233620248226</v>
      </c>
      <c r="K96" s="21">
        <v>3.74899417229524</v>
      </c>
      <c r="L96" s="45">
        <v>4115.0322053887303</v>
      </c>
      <c r="M96" s="45">
        <v>11865.1915589727</v>
      </c>
      <c r="N96" s="45">
        <v>1373.41716136081</v>
      </c>
      <c r="O96" s="45">
        <v>13238.608720333499</v>
      </c>
      <c r="Q96" s="19">
        <v>23.1</v>
      </c>
      <c r="R96" s="19">
        <v>4.29</v>
      </c>
      <c r="S96" s="19">
        <v>4.68</v>
      </c>
      <c r="T96" s="19">
        <v>0.52600000000000002</v>
      </c>
      <c r="U96" s="19">
        <v>0.82699999999999996</v>
      </c>
      <c r="V96" s="19">
        <v>0.63600000000000001</v>
      </c>
      <c r="W96" s="19">
        <v>0.77100000000000002</v>
      </c>
      <c r="X96" s="19">
        <v>0.53</v>
      </c>
      <c r="Y96" s="19">
        <v>29.6</v>
      </c>
      <c r="Z96" s="19">
        <v>4.9000000000000002E-2</v>
      </c>
      <c r="AA96" s="19">
        <v>15.7</v>
      </c>
      <c r="AB96" s="19">
        <v>5.3</v>
      </c>
      <c r="AC96" s="48">
        <v>7.7066251429405597</v>
      </c>
      <c r="AD96" s="48">
        <v>8.3939563514269704</v>
      </c>
      <c r="AE96" s="19">
        <v>5.3499999999999999E-2</v>
      </c>
    </row>
    <row r="97" spans="1:147">
      <c r="A97" s="19"/>
      <c r="B97" s="19" t="s">
        <v>354</v>
      </c>
      <c r="C97" s="19" t="s">
        <v>311</v>
      </c>
      <c r="D97" s="19" t="s">
        <v>355</v>
      </c>
      <c r="E97" s="19" t="s">
        <v>351</v>
      </c>
      <c r="G97" s="21">
        <v>108.202677330472</v>
      </c>
      <c r="I97" s="21">
        <v>13.9596693570018</v>
      </c>
      <c r="K97" s="21">
        <v>4.8462607593084801</v>
      </c>
      <c r="L97" s="45">
        <v>3952.4630318425102</v>
      </c>
      <c r="M97" s="45">
        <v>8155.5493293177697</v>
      </c>
      <c r="N97" s="45">
        <v>3851.2316277333898</v>
      </c>
      <c r="O97" s="45">
        <v>12006.7809570512</v>
      </c>
      <c r="Q97" s="19">
        <v>23.1</v>
      </c>
      <c r="R97" s="19">
        <v>4.62</v>
      </c>
      <c r="S97" s="19">
        <v>4.99</v>
      </c>
      <c r="T97" s="19">
        <v>0.52600000000000002</v>
      </c>
      <c r="U97" s="19">
        <v>0.82699999999999996</v>
      </c>
      <c r="V97" s="19">
        <v>0.63600000000000001</v>
      </c>
      <c r="W97" s="19">
        <v>0.77100000000000002</v>
      </c>
      <c r="X97" s="19">
        <v>0.53</v>
      </c>
      <c r="Y97" s="19">
        <v>86.9</v>
      </c>
      <c r="Z97" s="19">
        <v>4.9000000000000002E-2</v>
      </c>
      <c r="AA97" s="19">
        <v>16.3</v>
      </c>
      <c r="AB97" s="19">
        <v>5.6</v>
      </c>
      <c r="AC97" s="48">
        <v>7.7613683365368198</v>
      </c>
      <c r="AD97" s="48">
        <v>6.1738157222451999</v>
      </c>
      <c r="AE97" s="19">
        <v>5.7200000000000001E-2</v>
      </c>
    </row>
    <row r="98" spans="1:147">
      <c r="A98" s="19"/>
      <c r="B98" s="19" t="s">
        <v>356</v>
      </c>
      <c r="C98" s="19" t="s">
        <v>311</v>
      </c>
      <c r="D98" s="19" t="s">
        <v>357</v>
      </c>
      <c r="E98" s="19" t="s">
        <v>351</v>
      </c>
      <c r="G98" s="21">
        <v>156.97008119772701</v>
      </c>
      <c r="I98" s="21">
        <v>12.6185657506523</v>
      </c>
      <c r="K98" s="21">
        <v>5.0291385238106896</v>
      </c>
      <c r="L98" s="45">
        <v>4165.8350721219304</v>
      </c>
      <c r="M98" s="45">
        <v>11720.7703729327</v>
      </c>
      <c r="N98" s="45">
        <v>1373.41716136081</v>
      </c>
      <c r="O98" s="45">
        <v>13094.1875342935</v>
      </c>
      <c r="Q98" s="19">
        <v>23.1</v>
      </c>
      <c r="R98" s="19">
        <v>4.2</v>
      </c>
      <c r="S98" s="19">
        <v>4.53</v>
      </c>
      <c r="T98" s="19">
        <v>0.40799999999999997</v>
      </c>
      <c r="U98" s="19">
        <v>0.64100000000000001</v>
      </c>
      <c r="V98" s="19">
        <v>0.63600000000000001</v>
      </c>
      <c r="W98" s="19">
        <v>0.77100000000000002</v>
      </c>
      <c r="X98" s="19">
        <v>0.53</v>
      </c>
      <c r="Y98" s="19">
        <v>30</v>
      </c>
      <c r="Z98" s="19">
        <v>4.9000000000000002E-2</v>
      </c>
      <c r="AA98" s="19">
        <v>18.3</v>
      </c>
      <c r="AB98" s="19">
        <v>5.0999999999999996</v>
      </c>
      <c r="AC98" s="48">
        <v>8.9778837497871091</v>
      </c>
      <c r="AD98" s="48">
        <v>8.3939563514269704</v>
      </c>
      <c r="AE98" s="19">
        <v>5.3499999999999999E-2</v>
      </c>
    </row>
    <row r="99" spans="1:147">
      <c r="A99" s="19"/>
    </row>
    <row r="100" spans="1:147">
      <c r="A100" s="6" t="s">
        <v>250</v>
      </c>
      <c r="B100" s="19" t="s">
        <v>146</v>
      </c>
      <c r="C100" s="6" t="s">
        <v>147</v>
      </c>
      <c r="D100" s="6" t="s">
        <v>148</v>
      </c>
      <c r="E100" s="6" t="s">
        <v>149</v>
      </c>
      <c r="F100" s="6" t="s">
        <v>358</v>
      </c>
      <c r="G100" s="6" t="s">
        <v>327</v>
      </c>
      <c r="H100" s="6" t="s">
        <v>359</v>
      </c>
      <c r="I100" s="6" t="s">
        <v>360</v>
      </c>
      <c r="J100" s="6" t="s">
        <v>361</v>
      </c>
      <c r="K100" s="6" t="s">
        <v>153</v>
      </c>
      <c r="L100" s="6" t="s">
        <v>328</v>
      </c>
      <c r="Q100" s="6" t="s">
        <v>255</v>
      </c>
      <c r="R100" s="6" t="s">
        <v>256</v>
      </c>
      <c r="S100" s="6" t="s">
        <v>257</v>
      </c>
      <c r="T100" s="6" t="s">
        <v>258</v>
      </c>
      <c r="U100" s="6" t="s">
        <v>259</v>
      </c>
      <c r="V100" s="6" t="s">
        <v>260</v>
      </c>
      <c r="W100" s="6" t="s">
        <v>261</v>
      </c>
      <c r="X100" s="19" t="s">
        <v>362</v>
      </c>
      <c r="Y100" s="19" t="s">
        <v>363</v>
      </c>
      <c r="Z100" s="19" t="s">
        <v>364</v>
      </c>
      <c r="AA100" s="19" t="s">
        <v>365</v>
      </c>
      <c r="AB100" s="19" t="s">
        <v>366</v>
      </c>
      <c r="AC100" s="19" t="s">
        <v>367</v>
      </c>
      <c r="AD100" s="19" t="s">
        <v>368</v>
      </c>
      <c r="AE100" s="19" t="s">
        <v>369</v>
      </c>
      <c r="AF100" s="19" t="s">
        <v>370</v>
      </c>
      <c r="AG100" s="19" t="s">
        <v>331</v>
      </c>
      <c r="AH100" s="19" t="s">
        <v>371</v>
      </c>
      <c r="AI100" s="19" t="s">
        <v>372</v>
      </c>
      <c r="AJ100" s="19" t="s">
        <v>373</v>
      </c>
      <c r="AK100" s="19" t="s">
        <v>374</v>
      </c>
      <c r="AL100" s="19" t="s">
        <v>375</v>
      </c>
      <c r="AM100" s="19" t="s">
        <v>376</v>
      </c>
      <c r="AN100" s="19" t="s">
        <v>377</v>
      </c>
      <c r="AO100" s="19" t="s">
        <v>378</v>
      </c>
      <c r="AP100" s="19" t="s">
        <v>379</v>
      </c>
      <c r="AQ100" s="19" t="s">
        <v>380</v>
      </c>
      <c r="AR100" s="19" t="s">
        <v>381</v>
      </c>
      <c r="AS100" s="19" t="s">
        <v>382</v>
      </c>
      <c r="AT100" s="19" t="s">
        <v>383</v>
      </c>
      <c r="AU100" s="19" t="s">
        <v>384</v>
      </c>
      <c r="AV100" s="19" t="s">
        <v>385</v>
      </c>
      <c r="AW100" s="19" t="s">
        <v>253</v>
      </c>
      <c r="AX100" s="19" t="s">
        <v>386</v>
      </c>
      <c r="AY100" s="19" t="s">
        <v>387</v>
      </c>
      <c r="AZ100" s="19" t="s">
        <v>388</v>
      </c>
      <c r="BA100" s="19" t="s">
        <v>389</v>
      </c>
      <c r="BB100" s="19" t="s">
        <v>390</v>
      </c>
    </row>
    <row r="101" spans="1:147">
      <c r="A101" s="19"/>
    </row>
    <row r="102" spans="1:147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45"/>
      <c r="AA102" s="45"/>
      <c r="AB102" s="45"/>
      <c r="AC102" s="45"/>
      <c r="AD102" s="45"/>
      <c r="AE102" s="45"/>
      <c r="AG102" s="45"/>
      <c r="AX102" s="45"/>
    </row>
    <row r="103" spans="1:147" s="4" customFormat="1">
      <c r="A103" s="22"/>
      <c r="B103" s="22" t="s">
        <v>391</v>
      </c>
      <c r="C103" s="22" t="s">
        <v>282</v>
      </c>
      <c r="D103" s="22" t="s">
        <v>392</v>
      </c>
      <c r="E103" s="22" t="s">
        <v>284</v>
      </c>
      <c r="F103" s="30">
        <v>185.320653499147</v>
      </c>
      <c r="G103" s="30">
        <v>170.99487929773201</v>
      </c>
      <c r="H103" s="30"/>
      <c r="I103" s="30">
        <v>18.593026091197299</v>
      </c>
      <c r="J103" s="30">
        <v>13.716166788588099</v>
      </c>
      <c r="K103" s="30">
        <v>6.4008778346744704</v>
      </c>
      <c r="L103" s="23">
        <f>AF103</f>
        <v>10363.784813571619</v>
      </c>
      <c r="Q103" s="23">
        <v>3908.02886569263</v>
      </c>
      <c r="R103" s="23">
        <v>801.02455011091297</v>
      </c>
      <c r="S103" s="23">
        <v>347.91975408857797</v>
      </c>
      <c r="T103" s="23">
        <v>574.47215209974502</v>
      </c>
      <c r="U103" s="23">
        <v>931.49445789412903</v>
      </c>
      <c r="V103" s="23">
        <v>493.56058138147102</v>
      </c>
      <c r="W103" s="23">
        <v>436.92248187868</v>
      </c>
      <c r="X103" s="23">
        <f t="shared" ref="X103:X109" si="5">SUM(Q103:W103)</f>
        <v>7493.4228431461443</v>
      </c>
      <c r="Y103" s="23">
        <v>0</v>
      </c>
      <c r="Z103" s="23">
        <v>2324.9037766686101</v>
      </c>
      <c r="AA103" s="23">
        <v>196.72262725657399</v>
      </c>
      <c r="AB103" s="23">
        <v>250.37425287200401</v>
      </c>
      <c r="AC103" s="23">
        <v>98.361313628287206</v>
      </c>
      <c r="AD103" s="23">
        <v>348.73556650029099</v>
      </c>
      <c r="AE103" s="23">
        <f t="shared" ref="AE103:AE109" si="6">SUM(Y103:AD103)-AB103-AC103</f>
        <v>2870.3619704254752</v>
      </c>
      <c r="AF103" s="23">
        <f t="shared" ref="AF103:AF109" si="7">X103+AE103</f>
        <v>10363.784813571619</v>
      </c>
      <c r="AG103" s="23">
        <f>SUM(AH103:AS103)</f>
        <v>34689.402529216219</v>
      </c>
      <c r="AH103" s="23">
        <v>7065.0514316122599</v>
      </c>
      <c r="AI103" s="23">
        <v>7677.3558890186596</v>
      </c>
      <c r="AJ103" s="23">
        <v>353.25257158061299</v>
      </c>
      <c r="AK103" s="23">
        <v>235.501714387075</v>
      </c>
      <c r="AL103" s="23">
        <v>235.501714387075</v>
      </c>
      <c r="AM103" s="23">
        <v>1624.9618292708201</v>
      </c>
      <c r="AN103" s="23">
        <v>282.60205726449101</v>
      </c>
      <c r="AO103" s="23">
        <v>871.35634323217903</v>
      </c>
      <c r="AP103" s="23">
        <v>2590.5188582578298</v>
      </c>
      <c r="AQ103" s="23">
        <v>7983.5081177218599</v>
      </c>
      <c r="AR103" s="23">
        <v>282.60205726449101</v>
      </c>
      <c r="AS103" s="23">
        <v>5487.18994521886</v>
      </c>
      <c r="AT103" s="22">
        <v>33</v>
      </c>
      <c r="AU103" s="22">
        <v>16</v>
      </c>
      <c r="AV103" s="23">
        <v>10000</v>
      </c>
      <c r="AW103" s="23">
        <v>480</v>
      </c>
      <c r="AX103" s="23">
        <f>AZ103+BA103</f>
        <v>90266</v>
      </c>
      <c r="AY103" s="22" t="s">
        <v>393</v>
      </c>
      <c r="AZ103" s="23">
        <v>9698</v>
      </c>
      <c r="BA103" s="23">
        <v>80568</v>
      </c>
      <c r="BB103" s="22" t="s">
        <v>394</v>
      </c>
    </row>
    <row r="104" spans="1:147">
      <c r="A104" s="19"/>
      <c r="B104" s="19" t="s">
        <v>325</v>
      </c>
      <c r="C104" s="19" t="s">
        <v>282</v>
      </c>
      <c r="D104" s="19" t="s">
        <v>395</v>
      </c>
      <c r="E104" s="19" t="s">
        <v>284</v>
      </c>
      <c r="F104" s="48"/>
      <c r="G104" s="48">
        <v>145.69999999999999</v>
      </c>
      <c r="H104" s="48">
        <v>17.399999999999999</v>
      </c>
      <c r="I104" s="48">
        <v>16.5</v>
      </c>
      <c r="J104" s="48">
        <v>10.61</v>
      </c>
      <c r="K104" s="48">
        <v>6.25</v>
      </c>
      <c r="L104" s="45">
        <v>8075</v>
      </c>
      <c r="Q104" s="45">
        <v>2897.6057055527299</v>
      </c>
      <c r="R104" s="45">
        <v>971.98166072338302</v>
      </c>
      <c r="S104" s="45">
        <v>296.48497198166098</v>
      </c>
      <c r="T104" s="45">
        <v>272.03260315843102</v>
      </c>
      <c r="U104" s="45">
        <v>633.72389200203804</v>
      </c>
      <c r="V104" s="45">
        <v>498.217014773306</v>
      </c>
      <c r="W104" s="45">
        <v>429.954151808456</v>
      </c>
      <c r="X104" s="45">
        <f t="shared" si="5"/>
        <v>6000.0000000000045</v>
      </c>
      <c r="Y104" s="45">
        <v>0</v>
      </c>
      <c r="Z104" s="45">
        <v>1751.9461077844301</v>
      </c>
      <c r="AA104" s="45">
        <v>99.401197604790397</v>
      </c>
      <c r="AB104" s="45"/>
      <c r="AC104" s="45"/>
      <c r="AD104" s="45">
        <v>223.65269461077801</v>
      </c>
      <c r="AE104" s="45">
        <f t="shared" si="6"/>
        <v>2074.9999999999986</v>
      </c>
      <c r="AF104" s="45">
        <f t="shared" si="7"/>
        <v>8075.0000000000036</v>
      </c>
      <c r="AG104" s="45">
        <v>27000</v>
      </c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21">
        <v>33</v>
      </c>
      <c r="AU104" s="52"/>
      <c r="AV104" s="45"/>
      <c r="AW104" s="45">
        <v>330</v>
      </c>
      <c r="AX104" s="19">
        <v>61172</v>
      </c>
      <c r="AY104" s="48" t="s">
        <v>282</v>
      </c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8"/>
    </row>
    <row r="105" spans="1:147">
      <c r="A105" s="19"/>
      <c r="B105" s="19" t="s">
        <v>396</v>
      </c>
      <c r="C105" s="19" t="s">
        <v>223</v>
      </c>
      <c r="D105" s="19" t="s">
        <v>397</v>
      </c>
      <c r="E105" s="19" t="s">
        <v>205</v>
      </c>
      <c r="F105" s="48">
        <v>122.698732016581</v>
      </c>
      <c r="G105" s="48">
        <v>113.972201901975</v>
      </c>
      <c r="H105" s="48"/>
      <c r="I105" s="48">
        <v>12.533528407705401</v>
      </c>
      <c r="J105" s="48"/>
      <c r="K105" s="48">
        <v>3.9319678127286002</v>
      </c>
      <c r="L105" s="45">
        <f>2941.3*2240/2204.6</f>
        <v>2988.5294384468839</v>
      </c>
      <c r="Q105" s="45"/>
      <c r="R105" s="45"/>
      <c r="S105" s="45"/>
      <c r="T105" s="45"/>
      <c r="U105" s="45"/>
      <c r="V105" s="45"/>
      <c r="W105" s="45"/>
      <c r="X105" s="45">
        <v>2344.8571169373099</v>
      </c>
      <c r="Y105" s="45"/>
      <c r="Z105" s="45"/>
      <c r="AA105" s="45"/>
      <c r="AB105" s="45"/>
      <c r="AC105" s="45"/>
      <c r="AD105" s="45"/>
      <c r="AE105" s="45">
        <v>2988.5294384468798</v>
      </c>
      <c r="AF105" s="45"/>
      <c r="AG105" s="45">
        <v>11598.5220866318</v>
      </c>
      <c r="AT105" s="19">
        <v>32.5</v>
      </c>
      <c r="AU105" s="19">
        <v>16</v>
      </c>
      <c r="AV105" s="45">
        <v>5500</v>
      </c>
      <c r="AW105" s="45">
        <v>232</v>
      </c>
    </row>
    <row r="106" spans="1:147">
      <c r="A106" s="19"/>
      <c r="B106" s="19" t="s">
        <v>228</v>
      </c>
      <c r="C106" s="19" t="s">
        <v>398</v>
      </c>
      <c r="D106" s="19" t="s">
        <v>399</v>
      </c>
      <c r="E106" s="19" t="s">
        <v>205</v>
      </c>
      <c r="F106" s="48">
        <v>130.486466715435</v>
      </c>
      <c r="G106" s="48">
        <v>121.799561082663</v>
      </c>
      <c r="H106" s="48"/>
      <c r="I106" s="48">
        <v>14.386734942696901</v>
      </c>
      <c r="J106" s="48"/>
      <c r="K106" s="48">
        <v>4.2672518897829796</v>
      </c>
      <c r="L106" s="45">
        <f>3544.1*2240/2204.6</f>
        <v>3601.0087997822734</v>
      </c>
      <c r="Q106" s="45"/>
      <c r="R106" s="45"/>
      <c r="S106" s="45"/>
      <c r="T106" s="45"/>
      <c r="U106" s="45"/>
      <c r="V106" s="45"/>
      <c r="W106" s="45"/>
      <c r="X106" s="45">
        <v>2767.0289394901602</v>
      </c>
      <c r="Y106" s="45"/>
      <c r="Z106" s="45"/>
      <c r="AA106" s="45"/>
      <c r="AB106" s="45"/>
      <c r="AC106" s="45"/>
      <c r="AD106" s="45"/>
      <c r="AE106" s="45">
        <v>3601.0087997822702</v>
      </c>
      <c r="AF106" s="45"/>
      <c r="AG106" s="45">
        <v>14833.528336048201</v>
      </c>
      <c r="AT106" s="19">
        <v>30</v>
      </c>
      <c r="AU106" s="19">
        <v>20</v>
      </c>
      <c r="AV106" s="45">
        <v>4000</v>
      </c>
      <c r="AW106" s="45">
        <v>165</v>
      </c>
    </row>
    <row r="107" spans="1:147">
      <c r="A107" s="19"/>
      <c r="B107" s="19" t="s">
        <v>400</v>
      </c>
      <c r="C107" s="19" t="s">
        <v>282</v>
      </c>
      <c r="D107" s="19" t="s">
        <v>401</v>
      </c>
      <c r="E107" s="19" t="s">
        <v>284</v>
      </c>
      <c r="F107" s="48"/>
      <c r="G107" s="48">
        <v>230.12679834186801</v>
      </c>
      <c r="H107" s="48"/>
      <c r="I107" s="48">
        <v>22.8602779809802</v>
      </c>
      <c r="J107" s="48"/>
      <c r="K107" s="48">
        <v>7.4676908071202099</v>
      </c>
      <c r="L107" s="45">
        <f>23100*2240/2204.6</f>
        <v>23470.924430735737</v>
      </c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T107" s="19">
        <v>34</v>
      </c>
      <c r="AV107" s="45"/>
      <c r="AW107" s="45">
        <v>800</v>
      </c>
      <c r="AX107" s="19">
        <v>104440</v>
      </c>
      <c r="AY107" s="19" t="s">
        <v>402</v>
      </c>
    </row>
    <row r="108" spans="1:147">
      <c r="A108" s="19"/>
      <c r="B108" s="19" t="s">
        <v>317</v>
      </c>
      <c r="C108" s="19" t="s">
        <v>311</v>
      </c>
      <c r="D108" s="19" t="s">
        <v>403</v>
      </c>
      <c r="E108" s="19" t="s">
        <v>284</v>
      </c>
      <c r="F108" s="48"/>
      <c r="G108" s="48">
        <v>161.19999999999999</v>
      </c>
      <c r="H108" s="48">
        <v>16.8</v>
      </c>
      <c r="I108" s="48">
        <v>16.8</v>
      </c>
      <c r="J108" s="48">
        <v>10.06</v>
      </c>
      <c r="K108" s="48">
        <v>6.49</v>
      </c>
      <c r="L108" s="45">
        <v>9174</v>
      </c>
      <c r="Q108" s="45">
        <v>3494.6484121383201</v>
      </c>
      <c r="R108" s="45">
        <v>820.53239237826403</v>
      </c>
      <c r="S108" s="45">
        <v>397.40070571630201</v>
      </c>
      <c r="T108" s="45">
        <v>291.61778405081202</v>
      </c>
      <c r="U108" s="45">
        <v>952.99929428369796</v>
      </c>
      <c r="V108" s="45">
        <v>529.86760762173606</v>
      </c>
      <c r="W108" s="45">
        <v>264.93380381086803</v>
      </c>
      <c r="X108" s="45">
        <f t="shared" si="5"/>
        <v>6752</v>
      </c>
      <c r="Y108" s="45">
        <v>0</v>
      </c>
      <c r="Z108" s="45">
        <v>230.98319039451101</v>
      </c>
      <c r="AA108" s="45">
        <v>115.491595197256</v>
      </c>
      <c r="AB108" s="45"/>
      <c r="AC108" s="45"/>
      <c r="AD108" s="45">
        <v>2075.5252144082301</v>
      </c>
      <c r="AE108" s="45">
        <f t="shared" si="6"/>
        <v>2421.9999999999973</v>
      </c>
      <c r="AF108" s="45">
        <f t="shared" si="7"/>
        <v>9173.9999999999964</v>
      </c>
      <c r="AG108" s="45">
        <v>34000</v>
      </c>
      <c r="AT108" s="19">
        <v>30</v>
      </c>
      <c r="AV108" s="45"/>
      <c r="AW108" s="45">
        <v>363</v>
      </c>
      <c r="AX108" s="19">
        <v>46252</v>
      </c>
      <c r="AY108" s="19" t="s">
        <v>404</v>
      </c>
    </row>
    <row r="109" spans="1:147" s="4" customFormat="1">
      <c r="A109" s="22"/>
      <c r="B109" s="22" t="s">
        <v>405</v>
      </c>
      <c r="C109" s="22" t="s">
        <v>311</v>
      </c>
      <c r="D109" s="22" t="s">
        <v>406</v>
      </c>
      <c r="E109" s="22" t="s">
        <v>284</v>
      </c>
      <c r="L109" s="23">
        <v>9761.4</v>
      </c>
      <c r="Q109" s="23">
        <v>3611.7179999999998</v>
      </c>
      <c r="R109" s="23">
        <v>725.27202</v>
      </c>
      <c r="S109" s="23">
        <v>380.69459999999998</v>
      </c>
      <c r="T109" s="23">
        <v>490.02228000000002</v>
      </c>
      <c r="U109" s="23">
        <v>961.49789999999996</v>
      </c>
      <c r="V109" s="23">
        <v>598.37382000000002</v>
      </c>
      <c r="W109" s="23">
        <v>363.12407999999999</v>
      </c>
      <c r="X109" s="23">
        <f t="shared" si="5"/>
        <v>7130.7026999999998</v>
      </c>
      <c r="Y109" s="22">
        <v>163.01537999999999</v>
      </c>
      <c r="Z109" s="22">
        <v>2013.77682</v>
      </c>
      <c r="AA109" s="22">
        <v>163.01537999999999</v>
      </c>
      <c r="AB109" s="22">
        <v>145.44486000000001</v>
      </c>
      <c r="AC109" s="22">
        <v>145.44486000000001</v>
      </c>
      <c r="AD109" s="22">
        <v>290.88972000000001</v>
      </c>
      <c r="AE109" s="23">
        <f t="shared" si="6"/>
        <v>2630.6972999999998</v>
      </c>
      <c r="AF109" s="23">
        <f t="shared" si="7"/>
        <v>9761.4</v>
      </c>
      <c r="AG109" s="23">
        <f>SUM(AH109:AS109)</f>
        <v>31303.869300000006</v>
      </c>
      <c r="AH109" s="23">
        <v>7807.9657999999999</v>
      </c>
      <c r="AI109" s="23">
        <v>4921.4603999999999</v>
      </c>
      <c r="AJ109" s="23">
        <v>259.84809999999999</v>
      </c>
      <c r="AK109" s="23">
        <v>212.88759999999999</v>
      </c>
      <c r="AL109" s="23">
        <v>519.69619999999998</v>
      </c>
      <c r="AM109" s="23">
        <v>2272.8881999999999</v>
      </c>
      <c r="AN109" s="23">
        <v>472.73570000000001</v>
      </c>
      <c r="AO109" s="23">
        <v>1183.4046000000001</v>
      </c>
      <c r="AP109" s="23">
        <v>3124.4386</v>
      </c>
      <c r="AQ109" s="23">
        <v>6956.4153999999999</v>
      </c>
      <c r="AR109" s="23">
        <v>259.84809999999999</v>
      </c>
      <c r="AS109" s="23">
        <v>3312.2806</v>
      </c>
    </row>
    <row r="110" spans="1:147">
      <c r="A110" s="19"/>
    </row>
    <row r="111" spans="1:147" s="6" customFormat="1" ht="12.5">
      <c r="A111" s="6" t="s">
        <v>250</v>
      </c>
      <c r="B111" s="6" t="s">
        <v>146</v>
      </c>
      <c r="C111" s="6" t="s">
        <v>147</v>
      </c>
      <c r="D111" s="6" t="s">
        <v>148</v>
      </c>
      <c r="E111" s="6" t="s">
        <v>149</v>
      </c>
      <c r="F111" s="49" t="s">
        <v>358</v>
      </c>
      <c r="G111" s="49" t="s">
        <v>327</v>
      </c>
      <c r="H111" s="50" t="s">
        <v>360</v>
      </c>
      <c r="I111" s="50" t="s">
        <v>361</v>
      </c>
      <c r="J111" s="50" t="s">
        <v>153</v>
      </c>
      <c r="K111" s="6" t="s">
        <v>328</v>
      </c>
      <c r="L111" s="6" t="s">
        <v>335</v>
      </c>
      <c r="M111" s="6" t="s">
        <v>337</v>
      </c>
      <c r="N111" s="6" t="s">
        <v>407</v>
      </c>
      <c r="O111" s="6" t="s">
        <v>408</v>
      </c>
      <c r="P111" s="50" t="s">
        <v>409</v>
      </c>
      <c r="Q111" s="50" t="s">
        <v>410</v>
      </c>
      <c r="R111" s="50" t="s">
        <v>411</v>
      </c>
      <c r="S111" s="19" t="s">
        <v>412</v>
      </c>
      <c r="T111" s="19" t="s">
        <v>413</v>
      </c>
      <c r="U111" s="19" t="s">
        <v>414</v>
      </c>
      <c r="V111" s="49" t="s">
        <v>415</v>
      </c>
      <c r="W111" s="54" t="s">
        <v>154</v>
      </c>
      <c r="X111" s="54" t="s">
        <v>416</v>
      </c>
      <c r="Y111" s="54" t="s">
        <v>166</v>
      </c>
      <c r="Z111" s="54" t="s">
        <v>167</v>
      </c>
      <c r="AA111" s="54" t="s">
        <v>168</v>
      </c>
      <c r="AB111" s="54" t="s">
        <v>417</v>
      </c>
      <c r="AC111" s="19" t="s">
        <v>418</v>
      </c>
      <c r="AD111" s="19" t="s">
        <v>419</v>
      </c>
      <c r="AE111" s="54" t="s">
        <v>420</v>
      </c>
      <c r="AF111" s="54" t="s">
        <v>421</v>
      </c>
      <c r="AG111" s="54" t="s">
        <v>383</v>
      </c>
      <c r="AH111" s="19" t="s">
        <v>422</v>
      </c>
      <c r="AI111" s="19" t="s">
        <v>423</v>
      </c>
      <c r="AJ111" s="19" t="s">
        <v>424</v>
      </c>
      <c r="AK111" s="19" t="s">
        <v>425</v>
      </c>
      <c r="AL111" s="19" t="s">
        <v>426</v>
      </c>
      <c r="AM111" s="19" t="s">
        <v>427</v>
      </c>
      <c r="AN111" s="6" t="s">
        <v>428</v>
      </c>
      <c r="AO111" s="54" t="s">
        <v>157</v>
      </c>
      <c r="AP111" s="54" t="s">
        <v>429</v>
      </c>
      <c r="AQ111" s="54" t="s">
        <v>430</v>
      </c>
      <c r="AR111" s="54" t="s">
        <v>255</v>
      </c>
      <c r="AS111" s="54" t="s">
        <v>256</v>
      </c>
      <c r="AT111" s="54" t="s">
        <v>257</v>
      </c>
      <c r="AU111" s="54" t="s">
        <v>258</v>
      </c>
      <c r="AV111" s="54" t="s">
        <v>259</v>
      </c>
      <c r="AW111" s="54" t="s">
        <v>260</v>
      </c>
      <c r="AX111" s="54" t="s">
        <v>261</v>
      </c>
      <c r="AY111" s="54" t="s">
        <v>363</v>
      </c>
      <c r="AZ111" s="54" t="s">
        <v>431</v>
      </c>
      <c r="BA111" s="54" t="s">
        <v>369</v>
      </c>
      <c r="BB111" s="54" t="s">
        <v>432</v>
      </c>
      <c r="BC111" s="49" t="s">
        <v>433</v>
      </c>
      <c r="BD111" s="49" t="s">
        <v>434</v>
      </c>
      <c r="BE111" s="49" t="s">
        <v>435</v>
      </c>
      <c r="BF111" s="49" t="s">
        <v>436</v>
      </c>
      <c r="BG111" s="49" t="s">
        <v>437</v>
      </c>
      <c r="BH111" s="49" t="s">
        <v>438</v>
      </c>
      <c r="BI111" s="49" t="s">
        <v>439</v>
      </c>
      <c r="BJ111" s="49" t="s">
        <v>440</v>
      </c>
      <c r="BK111" s="50" t="s">
        <v>441</v>
      </c>
      <c r="BL111" s="50" t="s">
        <v>442</v>
      </c>
      <c r="BM111" s="50" t="s">
        <v>443</v>
      </c>
      <c r="BN111" s="50" t="s">
        <v>444</v>
      </c>
      <c r="BO111" s="50" t="s">
        <v>445</v>
      </c>
      <c r="BP111" s="50" t="s">
        <v>446</v>
      </c>
      <c r="BQ111" s="50" t="s">
        <v>447</v>
      </c>
      <c r="BR111" s="50" t="s">
        <v>448</v>
      </c>
      <c r="BS111" s="50" t="s">
        <v>449</v>
      </c>
      <c r="BT111" s="50" t="s">
        <v>450</v>
      </c>
      <c r="BU111" s="50" t="s">
        <v>451</v>
      </c>
      <c r="BV111" s="50" t="s">
        <v>452</v>
      </c>
      <c r="BW111" s="50" t="s">
        <v>453</v>
      </c>
      <c r="BX111" s="50" t="s">
        <v>454</v>
      </c>
      <c r="BY111" s="50" t="s">
        <v>455</v>
      </c>
      <c r="BZ111" s="50" t="s">
        <v>456</v>
      </c>
      <c r="CA111" s="50" t="s">
        <v>457</v>
      </c>
      <c r="CB111" s="50" t="s">
        <v>458</v>
      </c>
      <c r="CC111" s="50" t="s">
        <v>459</v>
      </c>
      <c r="CD111" s="50" t="s">
        <v>460</v>
      </c>
      <c r="CE111" s="6" t="s">
        <v>461</v>
      </c>
      <c r="CF111" s="6" t="s">
        <v>462</v>
      </c>
      <c r="CG111" s="6" t="s">
        <v>463</v>
      </c>
      <c r="CH111" s="54" t="s">
        <v>464</v>
      </c>
      <c r="CI111" s="6" t="s">
        <v>465</v>
      </c>
      <c r="CJ111" s="6" t="s">
        <v>466</v>
      </c>
      <c r="CK111" s="6" t="s">
        <v>467</v>
      </c>
      <c r="CL111" s="6" t="s">
        <v>468</v>
      </c>
      <c r="CM111" s="6" t="s">
        <v>469</v>
      </c>
      <c r="CN111" s="6" t="s">
        <v>470</v>
      </c>
      <c r="CO111" s="6" t="s">
        <v>471</v>
      </c>
      <c r="CP111" s="6" t="s">
        <v>472</v>
      </c>
      <c r="CQ111" s="6" t="s">
        <v>473</v>
      </c>
      <c r="CR111" s="6" t="s">
        <v>474</v>
      </c>
      <c r="CS111" s="6" t="s">
        <v>475</v>
      </c>
    </row>
    <row r="112" spans="1:147">
      <c r="A112" s="19" t="s">
        <v>476</v>
      </c>
      <c r="B112" s="19" t="s">
        <v>476</v>
      </c>
      <c r="C112" s="19" t="s">
        <v>477</v>
      </c>
      <c r="D112" s="19" t="s">
        <v>478</v>
      </c>
      <c r="E112" s="19" t="s">
        <v>284</v>
      </c>
      <c r="F112" s="21">
        <v>56.083881980004897</v>
      </c>
      <c r="G112" s="21">
        <v>49.987807851743497</v>
      </c>
      <c r="H112" s="21">
        <v>8.7478663740551106</v>
      </c>
      <c r="I112" s="51">
        <v>4.9784605380801397</v>
      </c>
      <c r="J112" s="21">
        <v>2.1945866861740999</v>
      </c>
      <c r="K112" s="19">
        <v>456.20974326408401</v>
      </c>
      <c r="L112" s="52">
        <v>0.45500000000000002</v>
      </c>
      <c r="M112" s="52">
        <v>0.78500000000000003</v>
      </c>
      <c r="N112" s="52">
        <v>0.57999999999999996</v>
      </c>
      <c r="O112" s="52">
        <v>0.06</v>
      </c>
      <c r="P112" s="48">
        <f>G112/I112</f>
        <v>10.040816326530623</v>
      </c>
      <c r="Q112" s="48">
        <f>G112/H112</f>
        <v>5.7142857142857153</v>
      </c>
      <c r="R112" s="48">
        <f>H112/J112</f>
        <v>3.9861111111111192</v>
      </c>
      <c r="S112" s="48">
        <f>G112/J112</f>
        <v>22.777777777777828</v>
      </c>
      <c r="T112" s="48">
        <v>8.1999999999999993</v>
      </c>
      <c r="U112" s="51">
        <v>439.462041005456</v>
      </c>
      <c r="V112" s="21">
        <f>(K112*2204.6/2240)/(0.01*G112*3.2808)^3</f>
        <v>101.79226940990388</v>
      </c>
      <c r="W112" s="45">
        <f>G112*H112*I112</f>
        <v>2177.0143976601985</v>
      </c>
      <c r="X112" s="45">
        <f>G112*(H112+I112)</f>
        <v>686.14899219403253</v>
      </c>
      <c r="Y112" s="45">
        <v>2438.8773819010198</v>
      </c>
      <c r="Z112" s="45">
        <v>1879.5143058523599</v>
      </c>
      <c r="AA112" s="45">
        <f>Y112-Z112</f>
        <v>559.36307604865988</v>
      </c>
      <c r="AB112" s="45">
        <v>6830.6510607169002</v>
      </c>
      <c r="AC112" s="45">
        <v>2</v>
      </c>
      <c r="AD112" s="45">
        <f>AE112/AC112</f>
        <v>13236.175000000001</v>
      </c>
      <c r="AE112" s="55">
        <f>35500*0.7457</f>
        <v>26472.350000000002</v>
      </c>
      <c r="AF112" s="45">
        <f>AE112^0.5</f>
        <v>162.70325749658488</v>
      </c>
      <c r="AG112" s="45">
        <v>44</v>
      </c>
      <c r="AH112" s="45">
        <v>41</v>
      </c>
      <c r="AI112" s="45">
        <v>15</v>
      </c>
      <c r="AJ112" s="45">
        <v>2300</v>
      </c>
      <c r="AK112" s="45">
        <v>10</v>
      </c>
      <c r="AL112" s="45">
        <v>1300</v>
      </c>
      <c r="AM112" s="45">
        <v>600</v>
      </c>
      <c r="AN112" s="19" t="s">
        <v>479</v>
      </c>
      <c r="AO112" s="45">
        <v>41</v>
      </c>
      <c r="AP112" s="45">
        <f>AO112*W112</f>
        <v>89257.590304068144</v>
      </c>
      <c r="AQ112" s="45">
        <v>91</v>
      </c>
      <c r="AR112" s="45">
        <v>118.878708155675</v>
      </c>
      <c r="AS112" s="45">
        <v>57.915268075841396</v>
      </c>
      <c r="AT112" s="45">
        <v>31.497777374580401</v>
      </c>
      <c r="AU112" s="45">
        <v>16.2569173546222</v>
      </c>
      <c r="AV112" s="45">
        <v>50.8028667331942</v>
      </c>
      <c r="AW112" s="45">
        <v>41.6583507212193</v>
      </c>
      <c r="AX112" s="45">
        <v>31.497777374580401</v>
      </c>
      <c r="AY112" s="45">
        <v>0</v>
      </c>
      <c r="AZ112" s="45">
        <v>348.50766578971201</v>
      </c>
      <c r="BA112" s="45">
        <v>107.702077474372</v>
      </c>
      <c r="BB112" s="45">
        <v>456.20974326408401</v>
      </c>
      <c r="BC112" s="21">
        <v>34.110787172011698</v>
      </c>
      <c r="BD112" s="21">
        <v>16.618075801749299</v>
      </c>
      <c r="BE112" s="21">
        <v>9.0379008746355698</v>
      </c>
      <c r="BF112" s="21">
        <v>4.6647230320699702</v>
      </c>
      <c r="BG112" s="21">
        <v>14.5772594752187</v>
      </c>
      <c r="BH112" s="21">
        <v>11.9533527696793</v>
      </c>
      <c r="BI112" s="21">
        <v>9.0379008746355698</v>
      </c>
      <c r="BJ112" s="21">
        <v>0</v>
      </c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5">
        <v>190.17714796011799</v>
      </c>
      <c r="CF112" s="19">
        <v>10.591204136518501</v>
      </c>
      <c r="CG112" s="19">
        <v>11.984783628165699</v>
      </c>
      <c r="CH112" s="48">
        <v>212.75313572480201</v>
      </c>
      <c r="CI112" s="48">
        <v>177.44912193640701</v>
      </c>
      <c r="CJ112" s="48">
        <v>47.474608015447103</v>
      </c>
      <c r="CK112" s="48">
        <v>224.923729951854</v>
      </c>
      <c r="CL112" s="48">
        <v>4.6452649721572499</v>
      </c>
      <c r="CM112" s="48">
        <v>147.161994317942</v>
      </c>
      <c r="CN112" s="48">
        <v>32.145233607328201</v>
      </c>
      <c r="CO112" s="48">
        <v>24.062472555774502</v>
      </c>
      <c r="CP112" s="48">
        <v>71.072554074005893</v>
      </c>
      <c r="CQ112" s="48">
        <v>14.957753210346301</v>
      </c>
      <c r="CR112" s="48">
        <v>294.045272737554</v>
      </c>
      <c r="CS112" s="48">
        <v>731.72213841421001</v>
      </c>
    </row>
    <row r="113" spans="1:97">
      <c r="A113" s="19" t="s">
        <v>480</v>
      </c>
      <c r="B113" s="19" t="s">
        <v>480</v>
      </c>
      <c r="C113" s="19" t="s">
        <v>481</v>
      </c>
      <c r="D113" s="19" t="s">
        <v>482</v>
      </c>
      <c r="E113" s="19" t="s">
        <v>284</v>
      </c>
      <c r="F113" s="21">
        <v>61.692270178005401</v>
      </c>
      <c r="G113" s="21">
        <v>57.973664959765898</v>
      </c>
      <c r="H113" s="21">
        <v>7.1933674713484503</v>
      </c>
      <c r="I113" s="51">
        <v>5.2511582540843698</v>
      </c>
      <c r="J113" s="21">
        <v>2.5298707632284798</v>
      </c>
      <c r="K113" s="19">
        <v>487.70752063866502</v>
      </c>
      <c r="L113" s="52">
        <v>0.45400000000000001</v>
      </c>
      <c r="M113" s="52">
        <v>0.67300000000000004</v>
      </c>
      <c r="N113" s="52">
        <v>0.67500000000000004</v>
      </c>
      <c r="O113" s="52">
        <v>5.3999999999999999E-2</v>
      </c>
      <c r="P113" s="48">
        <f>G113/I113</f>
        <v>11.040167169723704</v>
      </c>
      <c r="Q113" s="48">
        <f>G113/H113</f>
        <v>8.0593220338983045</v>
      </c>
      <c r="R113" s="48">
        <f>H113/J113</f>
        <v>2.8433734939759043</v>
      </c>
      <c r="S113" s="48">
        <f>G113/J113</f>
        <v>22.915662650602414</v>
      </c>
      <c r="T113" s="48">
        <v>4.3</v>
      </c>
      <c r="U113" s="51">
        <v>418.29682021281599</v>
      </c>
      <c r="V113" s="21">
        <f>(K113*2204.6/2240)/(0.01*G113*3.2808)^3</f>
        <v>69.760518453476209</v>
      </c>
      <c r="W113" s="45">
        <f>G113*H113*I113</f>
        <v>2189.8688694351122</v>
      </c>
      <c r="X113" s="45">
        <f>G113*(H113+I113)</f>
        <v>721.45476498943003</v>
      </c>
      <c r="Y113" s="45">
        <v>1652.9429510472501</v>
      </c>
      <c r="Z113" s="45">
        <v>1337.45345424888</v>
      </c>
      <c r="AA113" s="45">
        <f>Y113-Z113</f>
        <v>315.48949679837006</v>
      </c>
      <c r="AB113" s="45">
        <v>4815.2889539136804</v>
      </c>
      <c r="AC113" s="45">
        <v>4</v>
      </c>
      <c r="AD113" s="45">
        <f>AE113/AC113</f>
        <v>3281.08</v>
      </c>
      <c r="AE113" s="55">
        <f>17600*0.7457</f>
        <v>13124.32</v>
      </c>
      <c r="AF113" s="45">
        <f>AE113^0.5</f>
        <v>114.5614245721482</v>
      </c>
      <c r="AG113" s="45">
        <v>32</v>
      </c>
      <c r="AH113" s="45">
        <v>30</v>
      </c>
      <c r="AI113" s="45">
        <v>16</v>
      </c>
      <c r="AJ113" s="45">
        <v>3000</v>
      </c>
      <c r="AK113" s="45">
        <v>12</v>
      </c>
      <c r="AL113" s="45">
        <v>3000</v>
      </c>
      <c r="AM113" s="45">
        <v>1500</v>
      </c>
      <c r="AN113" s="19" t="s">
        <v>92</v>
      </c>
      <c r="AO113" s="45">
        <v>44</v>
      </c>
      <c r="AP113" s="45">
        <f>AO113*W113</f>
        <v>96354.230255144939</v>
      </c>
      <c r="AQ113" s="45">
        <v>110</v>
      </c>
      <c r="AR113" s="45">
        <v>135.13562551029699</v>
      </c>
      <c r="AS113" s="45">
        <v>80.268529438446905</v>
      </c>
      <c r="AT113" s="45">
        <v>19.305089358613799</v>
      </c>
      <c r="AU113" s="45">
        <v>23.3693186972693</v>
      </c>
      <c r="AV113" s="45">
        <v>44.706522725210903</v>
      </c>
      <c r="AW113" s="45">
        <v>28.449605370588799</v>
      </c>
      <c r="AX113" s="45">
        <v>21.337204027941599</v>
      </c>
      <c r="AY113" s="45">
        <v>0</v>
      </c>
      <c r="AZ113" s="45">
        <v>352.571895128368</v>
      </c>
      <c r="BA113" s="45">
        <v>135.13562551029699</v>
      </c>
      <c r="BB113" s="45">
        <v>487.70752063866502</v>
      </c>
      <c r="BC113" s="21">
        <v>38.328530259365998</v>
      </c>
      <c r="BD113" s="21">
        <v>22.766570605187301</v>
      </c>
      <c r="BE113" s="21">
        <v>5.4755043227665698</v>
      </c>
      <c r="BF113" s="21">
        <v>6.6282420749279503</v>
      </c>
      <c r="BG113" s="21">
        <v>12.680115273775201</v>
      </c>
      <c r="BH113" s="21">
        <v>8.0691642651296807</v>
      </c>
      <c r="BI113" s="21">
        <v>6.05187319884726</v>
      </c>
      <c r="BJ113" s="21">
        <v>0</v>
      </c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5">
        <v>94.577594833121594</v>
      </c>
      <c r="CF113" s="19">
        <v>13.378363119812899</v>
      </c>
      <c r="CG113" s="19">
        <v>8.8260034470987705</v>
      </c>
      <c r="CH113" s="48">
        <v>116.781961400033</v>
      </c>
      <c r="CI113" s="48">
        <v>74.138428955629706</v>
      </c>
      <c r="CJ113" s="48">
        <v>27.871589832943499</v>
      </c>
      <c r="CK113" s="48">
        <v>102.01001878857301</v>
      </c>
      <c r="CL113" s="48">
        <v>0</v>
      </c>
      <c r="CM113" s="48">
        <v>0</v>
      </c>
      <c r="CN113" s="48">
        <v>9.2905299443144909</v>
      </c>
      <c r="CO113" s="48">
        <v>16.072616803664101</v>
      </c>
      <c r="CP113" s="48">
        <v>29.079358725704399</v>
      </c>
      <c r="CQ113" s="48">
        <v>4.6452649721572499</v>
      </c>
      <c r="CR113" s="48">
        <v>59.087770445840199</v>
      </c>
      <c r="CS113" s="48">
        <v>277.87975063444702</v>
      </c>
    </row>
    <row r="114" spans="1:97">
      <c r="A114" s="19"/>
      <c r="B114" s="19" t="s">
        <v>483</v>
      </c>
      <c r="C114" s="19" t="s">
        <v>203</v>
      </c>
      <c r="D114" s="19" t="s">
        <v>484</v>
      </c>
      <c r="E114" s="19" t="s">
        <v>284</v>
      </c>
      <c r="F114" s="21">
        <v>58.034625701048498</v>
      </c>
      <c r="G114" s="21">
        <v>54.255059741526502</v>
      </c>
      <c r="H114" s="21">
        <v>8.1992197025115807</v>
      </c>
      <c r="I114" s="51">
        <v>4.2159108399439003</v>
      </c>
      <c r="J114" s="21">
        <v>2.1945866861740999</v>
      </c>
      <c r="K114" s="19">
        <v>518.18924067858097</v>
      </c>
      <c r="L114" s="52">
        <v>0.47</v>
      </c>
      <c r="M114" s="52">
        <v>0.66100000000000003</v>
      </c>
      <c r="N114" s="52">
        <v>0.71099999999999997</v>
      </c>
      <c r="O114" s="52">
        <v>4.7E-2</v>
      </c>
      <c r="P114" s="48">
        <f>G114/I114</f>
        <v>12.869119343673894</v>
      </c>
      <c r="Q114" s="48">
        <f>G114/H114</f>
        <v>6.6171003717472185</v>
      </c>
      <c r="R114" s="48">
        <f>H114/J114</f>
        <v>3.7361111111111169</v>
      </c>
      <c r="S114" s="48">
        <f>G114/J114</f>
        <v>24.722222222222289</v>
      </c>
      <c r="T114" s="48">
        <v>5.9</v>
      </c>
      <c r="U114" s="51">
        <v>431.17349471563602</v>
      </c>
      <c r="V114" s="21">
        <f>(K114*2204.6/2240)/(0.01*G114*3.2808)^3</f>
        <v>90.429508247880122</v>
      </c>
      <c r="W114" s="45">
        <f>G114*H114*I114</f>
        <v>1875.4443738345026</v>
      </c>
      <c r="X114" s="45">
        <f>G114*(H114+I114)</f>
        <v>673.58364927977243</v>
      </c>
      <c r="Y114" s="45">
        <v>1728.1552393065101</v>
      </c>
      <c r="Z114" s="45">
        <v>1210.6459893298399</v>
      </c>
      <c r="AA114" s="45">
        <f>Y114-Z114</f>
        <v>517.50924997667016</v>
      </c>
      <c r="AB114" s="45">
        <v>5632.7724945135296</v>
      </c>
      <c r="AC114" s="45">
        <v>2</v>
      </c>
      <c r="AD114" s="45">
        <f>AE114/AC114</f>
        <v>9917.81</v>
      </c>
      <c r="AE114" s="55">
        <f>26600*0.7457</f>
        <v>19835.62</v>
      </c>
      <c r="AF114" s="45">
        <f>AE114^0.5</f>
        <v>140.83898607984935</v>
      </c>
      <c r="AG114" s="45">
        <v>34</v>
      </c>
      <c r="AH114" s="45">
        <v>32</v>
      </c>
      <c r="AI114" s="45">
        <v>14</v>
      </c>
      <c r="AJ114" s="45">
        <v>2900</v>
      </c>
      <c r="AK114" s="45">
        <v>12</v>
      </c>
      <c r="AL114" s="45">
        <v>2250</v>
      </c>
      <c r="AM114" s="45">
        <v>600</v>
      </c>
      <c r="AN114" s="19" t="s">
        <v>485</v>
      </c>
      <c r="AO114" s="45">
        <v>38</v>
      </c>
      <c r="AP114" s="45">
        <f>AO114*W114</f>
        <v>71266.886205711096</v>
      </c>
      <c r="AQ114" s="45">
        <v>98</v>
      </c>
      <c r="AR114" s="45">
        <v>142.24802685294401</v>
      </c>
      <c r="AS114" s="45">
        <v>83.3167014424385</v>
      </c>
      <c r="AT114" s="45">
        <v>26.417490701260999</v>
      </c>
      <c r="AU114" s="45">
        <v>16.2569173546222</v>
      </c>
      <c r="AV114" s="45">
        <v>86.364873446430195</v>
      </c>
      <c r="AW114" s="45">
        <v>30.4817200399165</v>
      </c>
      <c r="AX114" s="45">
        <v>21.337204027941599</v>
      </c>
      <c r="AY114" s="45">
        <v>0</v>
      </c>
      <c r="AZ114" s="45">
        <v>406.422933865554</v>
      </c>
      <c r="BA114" s="45">
        <v>111.766306813027</v>
      </c>
      <c r="BB114" s="45">
        <v>518.18924067858097</v>
      </c>
      <c r="BC114" s="21">
        <v>35</v>
      </c>
      <c r="BD114" s="21">
        <v>20.5</v>
      </c>
      <c r="BE114" s="21">
        <v>6.5</v>
      </c>
      <c r="BF114" s="21">
        <v>4</v>
      </c>
      <c r="BG114" s="21">
        <v>21.25</v>
      </c>
      <c r="BH114" s="21">
        <v>7.5</v>
      </c>
      <c r="BI114" s="21">
        <v>5.25</v>
      </c>
      <c r="BJ114" s="21">
        <v>0</v>
      </c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5">
        <v>115.481287207829</v>
      </c>
      <c r="CF114" s="19">
        <v>12.542215424824599</v>
      </c>
      <c r="CG114" s="19">
        <v>0</v>
      </c>
      <c r="CH114" s="48">
        <v>128.02350263265399</v>
      </c>
      <c r="CI114" s="48">
        <v>68.1924897912684</v>
      </c>
      <c r="CJ114" s="48">
        <v>30.194222319022099</v>
      </c>
      <c r="CK114" s="48">
        <v>98.386712110290503</v>
      </c>
      <c r="CL114" s="48">
        <v>7.8040451532241804</v>
      </c>
      <c r="CM114" s="48">
        <v>48.124945111549103</v>
      </c>
      <c r="CN114" s="48">
        <v>45.1519755293684</v>
      </c>
      <c r="CO114" s="48">
        <v>13.192552520926601</v>
      </c>
      <c r="CP114" s="48">
        <v>73.395186560084497</v>
      </c>
      <c r="CQ114" s="48">
        <v>0</v>
      </c>
      <c r="CR114" s="48">
        <v>187.668704875153</v>
      </c>
      <c r="CS114" s="48">
        <v>414.07891961809702</v>
      </c>
    </row>
    <row r="115" spans="1:97">
      <c r="A115" s="19"/>
    </row>
    <row r="116" spans="1:97" s="6" customFormat="1" ht="12.5">
      <c r="A116" s="6" t="s">
        <v>146</v>
      </c>
      <c r="B116" s="6" t="s">
        <v>250</v>
      </c>
      <c r="C116" s="6" t="s">
        <v>147</v>
      </c>
      <c r="D116" s="6" t="s">
        <v>148</v>
      </c>
      <c r="E116" s="6" t="s">
        <v>149</v>
      </c>
      <c r="F116" s="6" t="s">
        <v>358</v>
      </c>
      <c r="G116" s="6" t="s">
        <v>327</v>
      </c>
      <c r="H116" s="6" t="s">
        <v>360</v>
      </c>
      <c r="I116" s="6" t="s">
        <v>153</v>
      </c>
      <c r="J116" s="6" t="s">
        <v>152</v>
      </c>
      <c r="K116" s="6" t="s">
        <v>431</v>
      </c>
      <c r="L116" s="6" t="s">
        <v>432</v>
      </c>
      <c r="M116" s="6" t="s">
        <v>486</v>
      </c>
      <c r="N116" s="6" t="s">
        <v>383</v>
      </c>
      <c r="O116" s="6" t="s">
        <v>487</v>
      </c>
      <c r="P116" s="6" t="s">
        <v>488</v>
      </c>
      <c r="Q116" s="6" t="s">
        <v>157</v>
      </c>
      <c r="R116" s="6" t="s">
        <v>489</v>
      </c>
      <c r="S116" s="6" t="s">
        <v>490</v>
      </c>
      <c r="T116" s="6" t="s">
        <v>491</v>
      </c>
      <c r="U116" s="6" t="s">
        <v>492</v>
      </c>
      <c r="V116" s="6" t="s">
        <v>493</v>
      </c>
      <c r="W116" s="6" t="s">
        <v>410</v>
      </c>
      <c r="X116" s="6" t="s">
        <v>411</v>
      </c>
      <c r="Y116" s="6" t="s">
        <v>412</v>
      </c>
      <c r="Z116" s="6" t="s">
        <v>335</v>
      </c>
      <c r="AA116" s="6" t="s">
        <v>337</v>
      </c>
      <c r="AB116" s="6" t="s">
        <v>407</v>
      </c>
      <c r="AC116" s="6" t="s">
        <v>494</v>
      </c>
      <c r="AD116" s="6" t="s">
        <v>408</v>
      </c>
      <c r="AE116" s="6" t="s">
        <v>495</v>
      </c>
      <c r="AF116" s="6" t="s">
        <v>496</v>
      </c>
      <c r="AG116" s="6" t="s">
        <v>497</v>
      </c>
      <c r="AH116" s="6" t="s">
        <v>498</v>
      </c>
      <c r="AI116" s="6" t="s">
        <v>499</v>
      </c>
      <c r="AJ116" s="6" t="s">
        <v>500</v>
      </c>
      <c r="AK116" s="6" t="s">
        <v>501</v>
      </c>
    </row>
    <row r="117" spans="1:97">
      <c r="A117" s="19"/>
    </row>
    <row r="118" spans="1:97">
      <c r="A118" s="19"/>
    </row>
    <row r="119" spans="1:97">
      <c r="A119" s="19" t="s">
        <v>502</v>
      </c>
      <c r="C119" s="19" t="s">
        <v>216</v>
      </c>
      <c r="D119" s="19" t="s">
        <v>503</v>
      </c>
      <c r="E119" s="19" t="s">
        <v>205</v>
      </c>
      <c r="F119" s="21">
        <v>60</v>
      </c>
      <c r="G119" s="21">
        <v>57</v>
      </c>
      <c r="H119" s="21">
        <v>10</v>
      </c>
      <c r="I119" s="48">
        <v>2.5</v>
      </c>
      <c r="J119" s="21">
        <v>7.4</v>
      </c>
      <c r="K119" s="19">
        <v>570</v>
      </c>
      <c r="L119" s="19">
        <v>700</v>
      </c>
      <c r="M119" s="45">
        <v>3015</v>
      </c>
      <c r="N119" s="21">
        <v>16.3</v>
      </c>
      <c r="O119" s="21">
        <v>12</v>
      </c>
      <c r="P119" s="45">
        <v>3015</v>
      </c>
      <c r="Q119" s="45">
        <v>45</v>
      </c>
      <c r="R119" s="45">
        <v>12</v>
      </c>
      <c r="S119" s="52">
        <v>0.13</v>
      </c>
      <c r="T119" s="52">
        <v>0.122</v>
      </c>
      <c r="U119" s="45">
        <v>208</v>
      </c>
      <c r="V119" s="48">
        <f t="shared" ref="V119:V127" si="8">L119/(0.1*G119)^3</f>
        <v>3.7798404907312908</v>
      </c>
      <c r="W119" s="48">
        <f t="shared" ref="W119:W127" si="9">G119/H119</f>
        <v>5.7</v>
      </c>
      <c r="X119" s="48">
        <f t="shared" ref="X119:X127" si="10">H119/I119</f>
        <v>4</v>
      </c>
      <c r="Y119" s="48">
        <f>G119/I119</f>
        <v>22.8</v>
      </c>
      <c r="Z119" s="52">
        <f>L119/1.025/(G119*H119*I119)</f>
        <v>0.47924689773213525</v>
      </c>
      <c r="AA119" s="52"/>
      <c r="AB119" s="52"/>
      <c r="AC119" s="52"/>
      <c r="AD119" s="56"/>
      <c r="AG119" s="19">
        <v>0.61</v>
      </c>
      <c r="AH119" s="19" t="s">
        <v>504</v>
      </c>
      <c r="AI119" s="19">
        <v>231.9</v>
      </c>
      <c r="AJ119" s="19">
        <v>27.6</v>
      </c>
      <c r="AK119" s="19">
        <v>12.78</v>
      </c>
      <c r="AN119" s="45"/>
      <c r="AP119" s="21"/>
      <c r="AQ119" s="21"/>
      <c r="AR119" s="21"/>
      <c r="AS119" s="21"/>
      <c r="AT119" s="21"/>
      <c r="AU119" s="21"/>
      <c r="AV119" s="21"/>
    </row>
    <row r="120" spans="1:97">
      <c r="A120" s="19" t="s">
        <v>505</v>
      </c>
      <c r="C120" s="19" t="s">
        <v>216</v>
      </c>
      <c r="D120" s="19" t="s">
        <v>506</v>
      </c>
      <c r="E120" s="19" t="s">
        <v>507</v>
      </c>
      <c r="F120" s="21">
        <v>60</v>
      </c>
      <c r="G120" s="21">
        <v>57</v>
      </c>
      <c r="H120" s="21">
        <v>10</v>
      </c>
      <c r="I120" s="48">
        <f t="shared" ref="I120:I127" si="11">G120/Y120</f>
        <v>2.8643216080402012</v>
      </c>
      <c r="J120" s="21">
        <v>7.4</v>
      </c>
      <c r="L120" s="45">
        <f>V120*(0.1*G120)^3</f>
        <v>648.17550000000006</v>
      </c>
      <c r="M120" s="45"/>
      <c r="N120" s="21"/>
      <c r="O120" s="21"/>
      <c r="P120" s="45"/>
      <c r="Q120" s="45"/>
      <c r="R120" s="45"/>
      <c r="S120" s="52"/>
      <c r="T120" s="52"/>
      <c r="U120" s="45"/>
      <c r="V120" s="48">
        <v>3.5</v>
      </c>
      <c r="W120" s="48">
        <f>G119/H119</f>
        <v>5.7</v>
      </c>
      <c r="X120" s="48">
        <v>3.61</v>
      </c>
      <c r="Y120" s="48">
        <v>19.899999999999999</v>
      </c>
      <c r="Z120" s="52">
        <v>0.47</v>
      </c>
      <c r="AA120" s="52">
        <v>0.53200000000000003</v>
      </c>
      <c r="AB120" s="52">
        <v>0.88300000000000001</v>
      </c>
      <c r="AC120" s="52">
        <v>0.70799999999999996</v>
      </c>
      <c r="AD120" s="56">
        <v>4.3099999999999999E-2</v>
      </c>
      <c r="AE120" s="48">
        <v>2.66</v>
      </c>
      <c r="AF120" s="19">
        <v>15.35</v>
      </c>
      <c r="AG120" s="19">
        <v>0.61</v>
      </c>
      <c r="AH120" s="19" t="s">
        <v>504</v>
      </c>
      <c r="AN120" s="45"/>
      <c r="AP120" s="21"/>
      <c r="AQ120" s="21"/>
      <c r="AR120" s="21"/>
      <c r="AS120" s="21"/>
      <c r="AT120" s="21"/>
      <c r="AU120" s="21"/>
      <c r="AV120" s="21"/>
    </row>
    <row r="121" spans="1:97">
      <c r="A121" s="19" t="s">
        <v>508</v>
      </c>
      <c r="C121" s="19" t="s">
        <v>216</v>
      </c>
      <c r="D121" s="19" t="s">
        <v>509</v>
      </c>
      <c r="E121" s="19" t="s">
        <v>205</v>
      </c>
      <c r="F121" s="21">
        <v>52.5</v>
      </c>
      <c r="G121" s="21">
        <v>50</v>
      </c>
      <c r="H121" s="21">
        <v>9</v>
      </c>
      <c r="I121" s="53">
        <v>2.2000000000000002</v>
      </c>
      <c r="J121" s="21">
        <v>5.5</v>
      </c>
      <c r="K121" s="19">
        <v>355</v>
      </c>
      <c r="L121" s="19">
        <v>480</v>
      </c>
      <c r="M121" s="45">
        <v>2680</v>
      </c>
      <c r="N121" s="21">
        <v>13.8</v>
      </c>
      <c r="O121" s="21">
        <v>12</v>
      </c>
      <c r="P121" s="45">
        <v>2660</v>
      </c>
      <c r="Q121" s="45">
        <v>40</v>
      </c>
      <c r="R121" s="45">
        <v>7</v>
      </c>
      <c r="S121" s="52">
        <v>9.5000000000000001E-2</v>
      </c>
      <c r="T121" s="52">
        <v>0.189</v>
      </c>
      <c r="U121" s="45">
        <v>98</v>
      </c>
      <c r="V121" s="48">
        <f t="shared" si="8"/>
        <v>3.84</v>
      </c>
      <c r="W121" s="48">
        <f t="shared" si="9"/>
        <v>5.5555555555555554</v>
      </c>
      <c r="X121" s="48">
        <v>4.0999999999999996</v>
      </c>
      <c r="Y121" s="53">
        <f>G121/I121</f>
        <v>22.727272727272727</v>
      </c>
      <c r="Z121" s="52">
        <v>0.48799999999999999</v>
      </c>
      <c r="AA121" s="52">
        <v>0.61299999999999999</v>
      </c>
      <c r="AB121" s="52">
        <v>0.79400000000000004</v>
      </c>
      <c r="AC121" s="52">
        <v>0.78700000000000003</v>
      </c>
      <c r="AD121" s="56">
        <v>3.8699999999999998E-2</v>
      </c>
      <c r="AE121" s="48">
        <v>2.54</v>
      </c>
      <c r="AF121" s="19">
        <v>15.92</v>
      </c>
      <c r="AG121" s="19">
        <v>0.55000000000000004</v>
      </c>
      <c r="AH121" s="19" t="s">
        <v>510</v>
      </c>
      <c r="AI121" s="19">
        <v>411.6</v>
      </c>
      <c r="AJ121" s="19">
        <v>33.9</v>
      </c>
      <c r="AK121" s="19">
        <v>17.57</v>
      </c>
      <c r="AN121" s="45"/>
      <c r="AP121" s="21"/>
      <c r="AQ121" s="21"/>
      <c r="AR121" s="21"/>
      <c r="AS121" s="21"/>
      <c r="AT121" s="21"/>
      <c r="AU121" s="21"/>
      <c r="AV121" s="21"/>
    </row>
    <row r="122" spans="1:97">
      <c r="A122" s="19" t="s">
        <v>511</v>
      </c>
      <c r="C122" s="19" t="s">
        <v>512</v>
      </c>
      <c r="D122" s="19" t="s">
        <v>513</v>
      </c>
      <c r="E122" s="19" t="s">
        <v>205</v>
      </c>
      <c r="F122" s="21">
        <v>51.5</v>
      </c>
      <c r="G122" s="21">
        <v>47.1</v>
      </c>
      <c r="H122" s="21">
        <v>8.9</v>
      </c>
      <c r="I122" s="48">
        <f t="shared" si="11"/>
        <v>2.5597826086956523</v>
      </c>
      <c r="J122" s="21">
        <v>2.7</v>
      </c>
      <c r="K122" s="45">
        <v>425</v>
      </c>
      <c r="L122" s="45">
        <v>540</v>
      </c>
      <c r="M122" s="45">
        <v>2580</v>
      </c>
      <c r="N122" s="21">
        <v>16.100000000000001</v>
      </c>
      <c r="O122" s="21">
        <v>12</v>
      </c>
      <c r="P122" s="45">
        <v>4570</v>
      </c>
      <c r="Q122" s="45">
        <v>49</v>
      </c>
      <c r="R122" s="45" t="s">
        <v>514</v>
      </c>
      <c r="S122" s="52">
        <v>7.8E-2</v>
      </c>
      <c r="T122" s="52">
        <v>0.13600000000000001</v>
      </c>
      <c r="U122" s="45">
        <v>130</v>
      </c>
      <c r="V122" s="48">
        <f t="shared" si="8"/>
        <v>5.1681015469936771</v>
      </c>
      <c r="W122" s="48">
        <f t="shared" si="9"/>
        <v>5.2921348314606744</v>
      </c>
      <c r="X122" s="48">
        <f t="shared" si="10"/>
        <v>3.4768577494692146</v>
      </c>
      <c r="Y122" s="48">
        <v>18.399999999999999</v>
      </c>
      <c r="Z122" s="52">
        <v>0.48699999999999999</v>
      </c>
      <c r="AA122" s="52">
        <v>0.61599999999999999</v>
      </c>
      <c r="AB122" s="52">
        <v>0.79100000000000004</v>
      </c>
      <c r="AC122" s="52">
        <v>0.73799999999999999</v>
      </c>
      <c r="AD122" s="56">
        <v>4.87E-2</v>
      </c>
      <c r="AE122" s="48">
        <v>3.3</v>
      </c>
      <c r="AF122" s="19">
        <v>12.82</v>
      </c>
      <c r="AG122" s="19">
        <v>0.67</v>
      </c>
      <c r="AH122" s="45" t="s">
        <v>515</v>
      </c>
      <c r="AI122" s="19">
        <v>187.4</v>
      </c>
      <c r="AJ122" s="21">
        <v>33.1</v>
      </c>
      <c r="AK122" s="48">
        <v>13.83</v>
      </c>
      <c r="AL122" s="21"/>
      <c r="AN122" s="45"/>
      <c r="AP122" s="21"/>
      <c r="AQ122" s="21"/>
      <c r="AR122" s="21"/>
      <c r="AS122" s="21"/>
      <c r="AT122" s="21"/>
      <c r="AU122" s="21"/>
      <c r="AV122" s="21"/>
    </row>
    <row r="123" spans="1:97">
      <c r="A123" s="19" t="s">
        <v>516</v>
      </c>
      <c r="C123" s="19" t="s">
        <v>517</v>
      </c>
      <c r="D123" s="19" t="s">
        <v>518</v>
      </c>
      <c r="E123" s="19" t="s">
        <v>205</v>
      </c>
      <c r="F123" s="21">
        <v>54.4</v>
      </c>
      <c r="G123" s="21">
        <v>51</v>
      </c>
      <c r="H123" s="21">
        <v>8.9</v>
      </c>
      <c r="I123" s="48">
        <f t="shared" si="11"/>
        <v>2.490234375</v>
      </c>
      <c r="J123" s="21">
        <v>4.8</v>
      </c>
      <c r="K123" s="45">
        <v>540</v>
      </c>
      <c r="L123" s="45">
        <v>600</v>
      </c>
      <c r="M123" s="45">
        <v>2335</v>
      </c>
      <c r="N123" s="21">
        <v>24</v>
      </c>
      <c r="O123" s="21">
        <v>12</v>
      </c>
      <c r="P123" s="45">
        <v>2550</v>
      </c>
      <c r="Q123" s="45">
        <v>37</v>
      </c>
      <c r="R123" s="45">
        <v>7</v>
      </c>
      <c r="S123" s="52">
        <v>0.95499999999999996</v>
      </c>
      <c r="T123" s="52">
        <v>0.124</v>
      </c>
      <c r="U123" s="45">
        <v>147</v>
      </c>
      <c r="V123" s="48">
        <f t="shared" si="8"/>
        <v>4.5231472058258122</v>
      </c>
      <c r="W123" s="48">
        <f t="shared" si="9"/>
        <v>5.7303370786516847</v>
      </c>
      <c r="X123" s="48">
        <f t="shared" si="10"/>
        <v>3.5739607843137255</v>
      </c>
      <c r="Y123" s="48">
        <v>20.48</v>
      </c>
      <c r="Z123" s="52">
        <v>0.51800000000000002</v>
      </c>
      <c r="AA123" s="52">
        <v>0.624</v>
      </c>
      <c r="AB123" s="52">
        <v>0.80400000000000005</v>
      </c>
      <c r="AC123" s="52">
        <v>0.79900000000000004</v>
      </c>
      <c r="AD123" s="56">
        <v>6.0199999999999997E-2</v>
      </c>
      <c r="AE123" s="48">
        <v>8.9</v>
      </c>
      <c r="AF123" s="19">
        <v>15.44</v>
      </c>
      <c r="AG123" s="19">
        <v>0.61</v>
      </c>
      <c r="AH123" s="19" t="s">
        <v>504</v>
      </c>
      <c r="AI123" s="19">
        <v>227.6</v>
      </c>
      <c r="AJ123" s="21">
        <v>34.6</v>
      </c>
      <c r="AK123" s="48">
        <v>20.58</v>
      </c>
      <c r="AL123" s="21"/>
      <c r="AN123" s="45"/>
      <c r="AP123" s="21"/>
      <c r="AQ123" s="21"/>
      <c r="AR123" s="21"/>
      <c r="AS123" s="21"/>
      <c r="AT123" s="21"/>
      <c r="AU123" s="21"/>
      <c r="AV123" s="21"/>
    </row>
    <row r="124" spans="1:97">
      <c r="A124" s="19" t="s">
        <v>519</v>
      </c>
      <c r="C124" s="19" t="s">
        <v>520</v>
      </c>
      <c r="D124" s="19" t="s">
        <v>521</v>
      </c>
      <c r="E124" s="19" t="s">
        <v>205</v>
      </c>
      <c r="F124" s="21">
        <v>47.5</v>
      </c>
      <c r="G124" s="21">
        <v>43.2</v>
      </c>
      <c r="H124" s="21">
        <v>8.6</v>
      </c>
      <c r="I124" s="48">
        <f t="shared" si="11"/>
        <v>2.1995926680244402</v>
      </c>
      <c r="J124" s="21">
        <v>4.8</v>
      </c>
      <c r="K124" s="45">
        <v>295</v>
      </c>
      <c r="L124" s="45">
        <v>335</v>
      </c>
      <c r="M124" s="45">
        <v>1975</v>
      </c>
      <c r="N124" s="21">
        <v>15.6</v>
      </c>
      <c r="O124" s="21">
        <v>12</v>
      </c>
      <c r="P124" s="45">
        <v>1335</v>
      </c>
      <c r="Q124" s="45">
        <v>26</v>
      </c>
      <c r="R124" s="45">
        <v>45</v>
      </c>
      <c r="S124" s="52">
        <v>5.0999999999999997E-2</v>
      </c>
      <c r="T124" s="52">
        <v>0.221</v>
      </c>
      <c r="U124" s="45">
        <v>118</v>
      </c>
      <c r="V124" s="48">
        <f t="shared" si="8"/>
        <v>4.1552156365899497</v>
      </c>
      <c r="W124" s="48">
        <f t="shared" si="9"/>
        <v>5.0232558139534893</v>
      </c>
      <c r="X124" s="48">
        <f t="shared" si="10"/>
        <v>3.9098148148148142</v>
      </c>
      <c r="Y124" s="48">
        <v>19.64</v>
      </c>
      <c r="Z124" s="52">
        <v>0.40200000000000002</v>
      </c>
      <c r="AA124" s="52">
        <v>0.52600000000000002</v>
      </c>
      <c r="AB124" s="52">
        <v>0.79100000000000004</v>
      </c>
      <c r="AC124" s="52">
        <v>0.79</v>
      </c>
      <c r="AD124" s="56">
        <v>5.5899999999999998E-2</v>
      </c>
      <c r="AE124" s="48">
        <v>4.1500000000000004</v>
      </c>
      <c r="AF124" s="19">
        <v>17.23</v>
      </c>
      <c r="AG124" s="19">
        <v>0.55000000000000004</v>
      </c>
      <c r="AH124" s="45" t="s">
        <v>510</v>
      </c>
      <c r="AI124" s="19">
        <v>93.5</v>
      </c>
      <c r="AJ124" s="21"/>
      <c r="AK124" s="48">
        <v>20.27</v>
      </c>
      <c r="AL124" s="21"/>
      <c r="AN124" s="45"/>
      <c r="AP124" s="21"/>
      <c r="AQ124" s="21"/>
      <c r="AR124" s="21"/>
      <c r="AS124" s="21"/>
      <c r="AT124" s="21"/>
      <c r="AU124" s="21"/>
      <c r="AV124" s="21"/>
    </row>
    <row r="125" spans="1:97">
      <c r="A125" s="19"/>
      <c r="B125" s="19" t="s">
        <v>522</v>
      </c>
      <c r="C125" s="19" t="s">
        <v>523</v>
      </c>
      <c r="D125" s="19" t="s">
        <v>524</v>
      </c>
      <c r="E125" s="19" t="s">
        <v>205</v>
      </c>
      <c r="F125" s="21">
        <v>50</v>
      </c>
      <c r="G125" s="21">
        <v>45.5</v>
      </c>
      <c r="H125" s="21">
        <v>9.6</v>
      </c>
      <c r="I125" s="48">
        <f t="shared" si="11"/>
        <v>2.7409638554216866</v>
      </c>
      <c r="J125" s="21">
        <v>7.3</v>
      </c>
      <c r="K125" s="45">
        <v>460</v>
      </c>
      <c r="L125" s="45">
        <v>540</v>
      </c>
      <c r="M125" s="45">
        <v>2415</v>
      </c>
      <c r="N125" s="21">
        <v>16.3</v>
      </c>
      <c r="O125" s="21">
        <v>12</v>
      </c>
      <c r="P125" s="45">
        <v>2940</v>
      </c>
      <c r="Q125" s="45">
        <v>44</v>
      </c>
      <c r="R125" s="45">
        <v>12</v>
      </c>
      <c r="S125" s="52"/>
      <c r="T125" s="52">
        <v>0.13200000000000001</v>
      </c>
      <c r="U125" s="45">
        <v>189</v>
      </c>
      <c r="V125" s="48">
        <f t="shared" si="8"/>
        <v>5.7327046821069292</v>
      </c>
      <c r="W125" s="48">
        <f t="shared" si="9"/>
        <v>4.7395833333333339</v>
      </c>
      <c r="X125" s="48">
        <f t="shared" si="10"/>
        <v>3.5024175824175825</v>
      </c>
      <c r="Y125" s="48">
        <v>16.600000000000001</v>
      </c>
      <c r="Z125" s="52">
        <v>0.44</v>
      </c>
      <c r="AA125" s="52">
        <v>0.58399999999999996</v>
      </c>
      <c r="AB125" s="52">
        <v>0.754</v>
      </c>
      <c r="AC125" s="52">
        <v>0.78700000000000003</v>
      </c>
      <c r="AD125" s="56">
        <v>4.3999999999999997E-2</v>
      </c>
      <c r="AE125" s="48">
        <v>2.89</v>
      </c>
      <c r="AF125" s="19">
        <v>13.87</v>
      </c>
      <c r="AG125" s="19">
        <v>0.67</v>
      </c>
      <c r="AH125" s="45" t="s">
        <v>525</v>
      </c>
      <c r="AI125" s="19">
        <v>164.4</v>
      </c>
      <c r="AJ125" s="21">
        <v>29.6</v>
      </c>
      <c r="AK125" s="48">
        <v>16.52</v>
      </c>
      <c r="AL125" s="21"/>
      <c r="AN125" s="45"/>
      <c r="AP125" s="21"/>
      <c r="AQ125" s="21"/>
      <c r="AR125" s="21"/>
      <c r="AS125" s="21"/>
      <c r="AT125" s="21"/>
      <c r="AU125" s="21"/>
      <c r="AV125" s="21"/>
    </row>
    <row r="126" spans="1:97">
      <c r="A126" s="19" t="s">
        <v>526</v>
      </c>
      <c r="C126" s="19" t="s">
        <v>203</v>
      </c>
      <c r="D126" s="19" t="s">
        <v>527</v>
      </c>
      <c r="E126" s="19" t="s">
        <v>205</v>
      </c>
      <c r="F126" s="21">
        <v>68.400000000000006</v>
      </c>
      <c r="G126" s="21">
        <v>65.099999999999994</v>
      </c>
      <c r="H126" s="21">
        <v>11.9</v>
      </c>
      <c r="I126" s="48">
        <f t="shared" si="11"/>
        <v>3.2713567839195981</v>
      </c>
      <c r="J126" s="21">
        <v>7.5</v>
      </c>
      <c r="K126" s="45">
        <v>1190</v>
      </c>
      <c r="L126" s="45">
        <v>1330</v>
      </c>
      <c r="M126" s="45">
        <v>4600</v>
      </c>
      <c r="N126" s="21">
        <v>14.3</v>
      </c>
      <c r="O126" s="21">
        <v>12</v>
      </c>
      <c r="P126" s="45">
        <v>2675</v>
      </c>
      <c r="Q126" s="45">
        <v>81</v>
      </c>
      <c r="R126" s="45">
        <v>45</v>
      </c>
      <c r="S126" s="52">
        <v>0.106</v>
      </c>
      <c r="T126" s="52">
        <v>0.108</v>
      </c>
      <c r="U126" s="45">
        <v>262</v>
      </c>
      <c r="V126" s="48">
        <f t="shared" si="8"/>
        <v>4.8206841245966201</v>
      </c>
      <c r="W126" s="48">
        <f t="shared" si="9"/>
        <v>5.4705882352941169</v>
      </c>
      <c r="X126" s="48">
        <f t="shared" si="10"/>
        <v>3.6376344086021506</v>
      </c>
      <c r="Y126" s="48">
        <v>19.899999999999999</v>
      </c>
      <c r="Z126" s="52">
        <v>0.51700000000000002</v>
      </c>
      <c r="AA126" s="52">
        <v>0.61599999999999999</v>
      </c>
      <c r="AB126" s="52">
        <v>0.83899999999999997</v>
      </c>
      <c r="AC126" s="52">
        <v>0.77400000000000002</v>
      </c>
      <c r="AD126" s="56">
        <v>5.0099999999999999E-2</v>
      </c>
      <c r="AE126" s="48">
        <v>1.76</v>
      </c>
      <c r="AF126" s="19">
        <v>14.94</v>
      </c>
      <c r="AG126" s="19">
        <v>0.61</v>
      </c>
      <c r="AH126" s="19" t="s">
        <v>504</v>
      </c>
      <c r="AI126" s="19">
        <v>288.3</v>
      </c>
      <c r="AJ126" s="21">
        <v>44.1</v>
      </c>
      <c r="AK126" s="48">
        <v>12.5</v>
      </c>
      <c r="AL126" s="21"/>
      <c r="AN126" s="45"/>
      <c r="AP126" s="21"/>
      <c r="AQ126" s="21"/>
      <c r="AR126" s="21"/>
      <c r="AS126" s="21"/>
      <c r="AT126" s="21"/>
      <c r="AU126" s="21"/>
      <c r="AV126" s="21"/>
    </row>
    <row r="127" spans="1:97">
      <c r="A127" s="19" t="s">
        <v>528</v>
      </c>
      <c r="C127" s="19" t="s">
        <v>203</v>
      </c>
      <c r="D127" s="19" t="s">
        <v>529</v>
      </c>
      <c r="E127" s="19" t="s">
        <v>205</v>
      </c>
      <c r="F127" s="21">
        <v>57.5</v>
      </c>
      <c r="G127" s="21">
        <v>53.1</v>
      </c>
      <c r="H127" s="21">
        <v>10.5</v>
      </c>
      <c r="I127" s="48">
        <f t="shared" si="11"/>
        <v>3.020477815699659</v>
      </c>
      <c r="J127" s="21">
        <v>7.6</v>
      </c>
      <c r="K127" s="45">
        <v>820</v>
      </c>
      <c r="L127" s="45">
        <v>915</v>
      </c>
      <c r="M127" s="45">
        <v>3520</v>
      </c>
      <c r="N127" s="21">
        <v>12.7</v>
      </c>
      <c r="O127" s="21">
        <v>12</v>
      </c>
      <c r="P127" s="45">
        <v>1785</v>
      </c>
      <c r="Q127" s="45">
        <v>51</v>
      </c>
      <c r="R127" s="45">
        <v>5</v>
      </c>
      <c r="S127" s="52">
        <v>6.7000000000000004E-2</v>
      </c>
      <c r="T127" s="52">
        <v>0.129</v>
      </c>
      <c r="U127" s="45">
        <v>165</v>
      </c>
      <c r="V127" s="48">
        <f t="shared" si="8"/>
        <v>6.1113552647632448</v>
      </c>
      <c r="W127" s="48">
        <f t="shared" si="9"/>
        <v>5.0571428571428569</v>
      </c>
      <c r="X127" s="48">
        <f t="shared" si="10"/>
        <v>3.4762711864406777</v>
      </c>
      <c r="Y127" s="48">
        <v>17.579999999999998</v>
      </c>
      <c r="Z127" s="52">
        <v>0.499</v>
      </c>
      <c r="AA127" s="52">
        <v>0.621</v>
      </c>
      <c r="AB127" s="52">
        <v>0.80400000000000005</v>
      </c>
      <c r="AC127" s="52">
        <v>0.81499999999999995</v>
      </c>
      <c r="AD127" s="56">
        <v>5.6599999999999998E-2</v>
      </c>
      <c r="AE127" s="48">
        <v>1.69</v>
      </c>
      <c r="AF127" s="19">
        <v>14.92</v>
      </c>
      <c r="AG127" s="19">
        <v>0.55000000000000004</v>
      </c>
      <c r="AH127" s="45" t="s">
        <v>530</v>
      </c>
      <c r="AI127" s="19">
        <v>604.29999999999995</v>
      </c>
      <c r="AJ127" s="21">
        <v>52.2</v>
      </c>
      <c r="AK127" s="48">
        <v>13.53</v>
      </c>
      <c r="AL127" s="21"/>
      <c r="AP127" s="21"/>
      <c r="AQ127" s="21"/>
      <c r="AR127" s="21"/>
      <c r="AS127" s="21"/>
      <c r="AT127" s="21"/>
      <c r="AU127" s="21"/>
      <c r="AV127" s="21"/>
    </row>
    <row r="128" spans="1:97">
      <c r="A128" s="19"/>
    </row>
    <row r="129" spans="1:134">
      <c r="A129" s="19" t="s">
        <v>250</v>
      </c>
      <c r="B129" s="19" t="s">
        <v>146</v>
      </c>
      <c r="C129" s="19" t="s">
        <v>147</v>
      </c>
      <c r="D129" s="6" t="s">
        <v>148</v>
      </c>
      <c r="E129" s="19" t="s">
        <v>149</v>
      </c>
      <c r="F129" s="19" t="s">
        <v>358</v>
      </c>
      <c r="G129" s="19" t="s">
        <v>531</v>
      </c>
      <c r="H129" s="19" t="s">
        <v>360</v>
      </c>
      <c r="I129" s="19" t="s">
        <v>532</v>
      </c>
      <c r="J129" s="19" t="s">
        <v>152</v>
      </c>
      <c r="K129" s="19" t="s">
        <v>153</v>
      </c>
      <c r="L129" s="19" t="s">
        <v>328</v>
      </c>
      <c r="M129" s="19" t="s">
        <v>335</v>
      </c>
      <c r="N129" s="19" t="s">
        <v>337</v>
      </c>
      <c r="O129" s="19" t="s">
        <v>407</v>
      </c>
      <c r="P129" s="19" t="s">
        <v>338</v>
      </c>
      <c r="Q129" s="19" t="s">
        <v>533</v>
      </c>
      <c r="R129" s="19" t="s">
        <v>534</v>
      </c>
      <c r="S129" s="19" t="s">
        <v>535</v>
      </c>
      <c r="T129" s="19" t="s">
        <v>536</v>
      </c>
      <c r="U129" s="19" t="s">
        <v>537</v>
      </c>
      <c r="V129" s="19" t="s">
        <v>538</v>
      </c>
      <c r="W129" s="19" t="s">
        <v>539</v>
      </c>
      <c r="X129" s="19" t="s">
        <v>431</v>
      </c>
      <c r="Y129" s="19" t="s">
        <v>363</v>
      </c>
      <c r="Z129" s="19" t="s">
        <v>369</v>
      </c>
      <c r="AA129" s="19" t="s">
        <v>540</v>
      </c>
      <c r="AB129" s="19" t="s">
        <v>541</v>
      </c>
      <c r="AC129" s="19" t="s">
        <v>475</v>
      </c>
      <c r="AD129" s="19" t="s">
        <v>542</v>
      </c>
      <c r="AE129" s="19" t="s">
        <v>543</v>
      </c>
      <c r="AF129" s="19" t="s">
        <v>544</v>
      </c>
      <c r="AG129" s="19" t="s">
        <v>545</v>
      </c>
      <c r="AH129" s="19" t="s">
        <v>546</v>
      </c>
      <c r="AI129" s="19" t="s">
        <v>547</v>
      </c>
      <c r="AJ129" s="19" t="s">
        <v>548</v>
      </c>
      <c r="AK129" s="19" t="s">
        <v>549</v>
      </c>
      <c r="AL129" s="19" t="s">
        <v>550</v>
      </c>
      <c r="AM129" s="19" t="s">
        <v>550</v>
      </c>
      <c r="AN129" s="19" t="s">
        <v>550</v>
      </c>
      <c r="AO129" s="19" t="s">
        <v>551</v>
      </c>
      <c r="AP129" s="19" t="s">
        <v>552</v>
      </c>
      <c r="AQ129" s="19" t="s">
        <v>553</v>
      </c>
      <c r="AR129" s="19" t="s">
        <v>554</v>
      </c>
      <c r="AS129" s="19" t="s">
        <v>555</v>
      </c>
      <c r="AT129" s="19" t="s">
        <v>389</v>
      </c>
      <c r="AU129" s="19" t="s">
        <v>388</v>
      </c>
      <c r="AV129" s="19" t="s">
        <v>556</v>
      </c>
      <c r="AW129" s="19" t="s">
        <v>557</v>
      </c>
      <c r="AX129" s="19" t="s">
        <v>558</v>
      </c>
      <c r="AY129" s="19" t="s">
        <v>559</v>
      </c>
      <c r="AZ129" s="19" t="s">
        <v>560</v>
      </c>
      <c r="BA129" s="19" t="s">
        <v>561</v>
      </c>
      <c r="BB129" s="19" t="s">
        <v>562</v>
      </c>
      <c r="BC129" s="19" t="s">
        <v>563</v>
      </c>
      <c r="BD129" s="19" t="s">
        <v>564</v>
      </c>
      <c r="BE129" s="19" t="s">
        <v>565</v>
      </c>
      <c r="BF129" s="19" t="s">
        <v>566</v>
      </c>
      <c r="BG129" s="19" t="s">
        <v>567</v>
      </c>
      <c r="BH129" s="19" t="s">
        <v>568</v>
      </c>
      <c r="BI129" s="19" t="s">
        <v>569</v>
      </c>
      <c r="BJ129" s="19" t="s">
        <v>570</v>
      </c>
      <c r="BK129" s="19" t="s">
        <v>571</v>
      </c>
      <c r="BL129" s="19" t="s">
        <v>572</v>
      </c>
      <c r="BM129" s="19" t="s">
        <v>573</v>
      </c>
      <c r="BN129" s="19" t="s">
        <v>574</v>
      </c>
      <c r="BO129" s="19" t="s">
        <v>575</v>
      </c>
      <c r="BP129" s="19" t="s">
        <v>576</v>
      </c>
      <c r="BQ129" s="19" t="s">
        <v>577</v>
      </c>
      <c r="BR129" s="19" t="s">
        <v>578</v>
      </c>
      <c r="BS129" s="19" t="s">
        <v>579</v>
      </c>
      <c r="BT129" s="19" t="s">
        <v>580</v>
      </c>
      <c r="BU129" s="19" t="s">
        <v>581</v>
      </c>
      <c r="BV129" s="19" t="s">
        <v>582</v>
      </c>
      <c r="BW129" s="19" t="s">
        <v>583</v>
      </c>
      <c r="BX129" s="19" t="s">
        <v>584</v>
      </c>
      <c r="BY129" s="19" t="s">
        <v>585</v>
      </c>
      <c r="BZ129" s="19" t="s">
        <v>586</v>
      </c>
      <c r="CA129" s="19" t="s">
        <v>587</v>
      </c>
      <c r="CB129" s="19" t="s">
        <v>588</v>
      </c>
      <c r="CC129" s="19" t="s">
        <v>589</v>
      </c>
      <c r="CD129" s="19" t="s">
        <v>590</v>
      </c>
      <c r="CE129" s="19" t="s">
        <v>591</v>
      </c>
      <c r="CF129" s="19" t="s">
        <v>592</v>
      </c>
      <c r="CG129" s="19" t="s">
        <v>593</v>
      </c>
      <c r="CH129" s="19" t="s">
        <v>594</v>
      </c>
      <c r="CI129" s="19" t="s">
        <v>595</v>
      </c>
      <c r="CJ129" s="19" t="s">
        <v>596</v>
      </c>
      <c r="CK129" s="19" t="s">
        <v>597</v>
      </c>
      <c r="CL129" s="19" t="s">
        <v>598</v>
      </c>
      <c r="CM129" s="19" t="s">
        <v>599</v>
      </c>
      <c r="CN129" s="19" t="s">
        <v>600</v>
      </c>
      <c r="CO129" s="19" t="s">
        <v>594</v>
      </c>
      <c r="CP129" s="19" t="s">
        <v>595</v>
      </c>
      <c r="CQ129" s="19" t="s">
        <v>596</v>
      </c>
      <c r="CR129" s="19" t="s">
        <v>597</v>
      </c>
      <c r="CS129" s="19" t="s">
        <v>598</v>
      </c>
      <c r="CT129" s="19" t="s">
        <v>599</v>
      </c>
      <c r="CU129" s="19" t="s">
        <v>600</v>
      </c>
      <c r="CV129" s="19" t="s">
        <v>594</v>
      </c>
      <c r="CW129" s="19" t="s">
        <v>595</v>
      </c>
      <c r="CX129" s="19" t="s">
        <v>596</v>
      </c>
      <c r="CY129" s="19" t="s">
        <v>597</v>
      </c>
      <c r="CZ129" s="19" t="s">
        <v>598</v>
      </c>
      <c r="DA129" s="19" t="s">
        <v>599</v>
      </c>
      <c r="DB129" s="19" t="s">
        <v>600</v>
      </c>
      <c r="DC129" s="19" t="s">
        <v>594</v>
      </c>
      <c r="DD129" s="19" t="s">
        <v>595</v>
      </c>
      <c r="DE129" s="19" t="s">
        <v>596</v>
      </c>
      <c r="DF129" s="19" t="s">
        <v>597</v>
      </c>
      <c r="DG129" s="19" t="s">
        <v>598</v>
      </c>
      <c r="DH129" s="19" t="s">
        <v>599</v>
      </c>
      <c r="DI129" s="19" t="s">
        <v>600</v>
      </c>
      <c r="DJ129" s="19" t="s">
        <v>594</v>
      </c>
      <c r="DK129" s="19" t="s">
        <v>595</v>
      </c>
      <c r="DL129" s="19" t="s">
        <v>596</v>
      </c>
      <c r="DM129" s="19" t="s">
        <v>597</v>
      </c>
      <c r="DN129" s="19" t="s">
        <v>598</v>
      </c>
      <c r="DO129" s="19" t="s">
        <v>599</v>
      </c>
      <c r="DP129" s="19" t="s">
        <v>600</v>
      </c>
      <c r="DQ129" s="19" t="s">
        <v>594</v>
      </c>
      <c r="DR129" s="19" t="s">
        <v>595</v>
      </c>
      <c r="DS129" s="19" t="s">
        <v>596</v>
      </c>
      <c r="DT129" s="19" t="s">
        <v>597</v>
      </c>
      <c r="DU129" s="19" t="s">
        <v>598</v>
      </c>
      <c r="DV129" s="19" t="s">
        <v>599</v>
      </c>
      <c r="DW129" s="19" t="s">
        <v>600</v>
      </c>
      <c r="DX129" s="19" t="s">
        <v>601</v>
      </c>
      <c r="DY129" s="19" t="s">
        <v>601</v>
      </c>
      <c r="DZ129" s="19" t="s">
        <v>601</v>
      </c>
      <c r="EA129" s="19" t="s">
        <v>601</v>
      </c>
      <c r="EB129" s="19" t="s">
        <v>602</v>
      </c>
      <c r="EC129" s="19" t="s">
        <v>601</v>
      </c>
      <c r="ED129" s="19" t="s">
        <v>601</v>
      </c>
    </row>
    <row r="130" spans="1:134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158</v>
      </c>
      <c r="AM130" s="19" t="s">
        <v>603</v>
      </c>
      <c r="AN130" s="19" t="s">
        <v>604</v>
      </c>
      <c r="AO130" s="19" t="s">
        <v>605</v>
      </c>
      <c r="AP130" s="19" t="s">
        <v>605</v>
      </c>
      <c r="AQ130" s="19" t="s">
        <v>605</v>
      </c>
      <c r="AR130" s="19" t="s">
        <v>605</v>
      </c>
      <c r="BC130" s="19" t="s">
        <v>606</v>
      </c>
      <c r="BD130" s="19" t="s">
        <v>606</v>
      </c>
      <c r="BE130" s="19" t="s">
        <v>606</v>
      </c>
      <c r="BP130" s="19" t="s">
        <v>607</v>
      </c>
      <c r="CH130" s="19" t="s">
        <v>608</v>
      </c>
      <c r="CI130" s="19" t="s">
        <v>608</v>
      </c>
      <c r="CJ130" s="19" t="s">
        <v>608</v>
      </c>
      <c r="CK130" s="19" t="s">
        <v>608</v>
      </c>
      <c r="CL130" s="19" t="s">
        <v>608</v>
      </c>
      <c r="CM130" s="19" t="s">
        <v>608</v>
      </c>
      <c r="CO130" s="19" t="s">
        <v>609</v>
      </c>
      <c r="CP130" s="19" t="s">
        <v>609</v>
      </c>
      <c r="CQ130" s="19" t="s">
        <v>609</v>
      </c>
      <c r="CR130" s="19" t="s">
        <v>609</v>
      </c>
      <c r="CS130" s="19" t="s">
        <v>609</v>
      </c>
      <c r="CT130" s="19" t="s">
        <v>609</v>
      </c>
      <c r="CU130" s="19" t="s">
        <v>609</v>
      </c>
      <c r="CV130" s="19" t="s">
        <v>610</v>
      </c>
      <c r="CW130" s="19" t="s">
        <v>610</v>
      </c>
      <c r="CX130" s="19" t="s">
        <v>610</v>
      </c>
      <c r="CY130" s="19" t="s">
        <v>610</v>
      </c>
      <c r="CZ130" s="19" t="s">
        <v>610</v>
      </c>
      <c r="DA130" s="19" t="s">
        <v>610</v>
      </c>
      <c r="DB130" s="19" t="s">
        <v>610</v>
      </c>
      <c r="DC130" s="19" t="s">
        <v>611</v>
      </c>
      <c r="DD130" s="19" t="s">
        <v>611</v>
      </c>
      <c r="DE130" s="19" t="s">
        <v>611</v>
      </c>
      <c r="DF130" s="19" t="s">
        <v>611</v>
      </c>
      <c r="DG130" s="19" t="s">
        <v>611</v>
      </c>
      <c r="DH130" s="19" t="s">
        <v>611</v>
      </c>
      <c r="DI130" s="19" t="s">
        <v>611</v>
      </c>
      <c r="DJ130" s="19" t="s">
        <v>612</v>
      </c>
      <c r="DK130" s="19" t="s">
        <v>612</v>
      </c>
      <c r="DL130" s="19" t="s">
        <v>612</v>
      </c>
      <c r="DM130" s="19" t="s">
        <v>612</v>
      </c>
      <c r="DN130" s="19" t="s">
        <v>612</v>
      </c>
      <c r="DO130" s="19" t="s">
        <v>612</v>
      </c>
      <c r="DP130" s="19" t="s">
        <v>612</v>
      </c>
      <c r="DQ130" s="19" t="s">
        <v>613</v>
      </c>
      <c r="DR130" s="19" t="s">
        <v>613</v>
      </c>
      <c r="DS130" s="19" t="s">
        <v>613</v>
      </c>
      <c r="DT130" s="19" t="s">
        <v>613</v>
      </c>
      <c r="DU130" s="19" t="s">
        <v>613</v>
      </c>
      <c r="DV130" s="19" t="s">
        <v>613</v>
      </c>
      <c r="DW130" s="19" t="s">
        <v>613</v>
      </c>
      <c r="DX130" s="19" t="s">
        <v>614</v>
      </c>
      <c r="DY130" s="19" t="s">
        <v>615</v>
      </c>
      <c r="DZ130" s="19" t="s">
        <v>616</v>
      </c>
      <c r="EA130" s="19" t="s">
        <v>617</v>
      </c>
      <c r="EC130" s="19" t="s">
        <v>618</v>
      </c>
      <c r="ED130" s="19" t="s">
        <v>619</v>
      </c>
    </row>
    <row r="131" spans="1:134">
      <c r="A131" s="19"/>
    </row>
    <row r="132" spans="1:134">
      <c r="A132" s="19"/>
      <c r="B132" s="19" t="s">
        <v>620</v>
      </c>
      <c r="C132" s="19" t="s">
        <v>621</v>
      </c>
      <c r="D132" s="19" t="s">
        <v>622</v>
      </c>
      <c r="E132" s="19" t="s">
        <v>351</v>
      </c>
      <c r="F132" s="19">
        <v>143</v>
      </c>
      <c r="G132" s="19">
        <v>133</v>
      </c>
      <c r="H132" s="19">
        <v>16</v>
      </c>
      <c r="I132" s="19">
        <v>17.7</v>
      </c>
      <c r="J132" s="19">
        <v>10</v>
      </c>
      <c r="K132" s="19">
        <v>5.05</v>
      </c>
      <c r="L132" s="19">
        <v>5438</v>
      </c>
      <c r="M132" s="19">
        <v>0.48399999999999999</v>
      </c>
      <c r="N132" s="19">
        <v>0.59599999999999997</v>
      </c>
      <c r="O132" s="19">
        <v>0.81399999999999995</v>
      </c>
      <c r="P132" s="19">
        <v>0.78500000000000003</v>
      </c>
      <c r="Q132" s="19">
        <v>1876</v>
      </c>
      <c r="R132" s="19">
        <v>531</v>
      </c>
      <c r="S132" s="19">
        <v>305</v>
      </c>
      <c r="T132" s="19">
        <v>251</v>
      </c>
      <c r="U132" s="19">
        <v>704</v>
      </c>
      <c r="V132" s="19">
        <v>425</v>
      </c>
      <c r="W132" s="19">
        <v>148</v>
      </c>
      <c r="X132" s="19">
        <v>4241</v>
      </c>
      <c r="Y132" s="19">
        <v>212</v>
      </c>
      <c r="Z132" s="19">
        <v>985</v>
      </c>
      <c r="AA132" s="19">
        <v>5438</v>
      </c>
      <c r="AB132" s="19">
        <v>0.11</v>
      </c>
      <c r="AC132" s="19">
        <v>6722</v>
      </c>
      <c r="AD132" s="19">
        <v>1632</v>
      </c>
      <c r="AE132" s="19">
        <v>1500</v>
      </c>
      <c r="AF132" s="19">
        <v>1463</v>
      </c>
      <c r="AG132" s="19">
        <v>1963</v>
      </c>
      <c r="AH132" s="19">
        <v>164</v>
      </c>
      <c r="AI132" s="19">
        <v>1522</v>
      </c>
      <c r="AJ132" s="19">
        <v>570</v>
      </c>
      <c r="AK132" s="19">
        <v>1450</v>
      </c>
      <c r="AL132" s="19">
        <v>23</v>
      </c>
      <c r="AM132" s="19">
        <v>76</v>
      </c>
      <c r="AN132" s="19">
        <v>132</v>
      </c>
      <c r="AO132" s="19">
        <v>187</v>
      </c>
      <c r="AP132" s="19">
        <v>278</v>
      </c>
      <c r="AQ132" s="19">
        <v>292</v>
      </c>
      <c r="AR132" s="19">
        <v>757</v>
      </c>
      <c r="AS132" s="19" t="s">
        <v>485</v>
      </c>
      <c r="AT132" s="19">
        <f>15500*2</f>
        <v>31000</v>
      </c>
      <c r="AU132" s="19">
        <f>2*5145</f>
        <v>10290</v>
      </c>
      <c r="AV132" s="19">
        <f>4*1200</f>
        <v>4800</v>
      </c>
      <c r="AW132" s="19" t="s">
        <v>623</v>
      </c>
      <c r="AX132" s="19">
        <v>5</v>
      </c>
      <c r="AY132" s="19">
        <v>4.5</v>
      </c>
      <c r="AZ132" s="19">
        <v>6.35</v>
      </c>
      <c r="BA132" s="19">
        <v>1.41</v>
      </c>
      <c r="BB132" s="19">
        <v>0.64</v>
      </c>
      <c r="BC132" s="19">
        <v>0.192</v>
      </c>
      <c r="BD132" s="19">
        <v>1.04</v>
      </c>
      <c r="BE132" s="19">
        <v>0.72</v>
      </c>
      <c r="BF132" s="19">
        <v>175</v>
      </c>
      <c r="BG132" s="19">
        <v>27</v>
      </c>
      <c r="BH132" s="19">
        <v>20</v>
      </c>
      <c r="BI132" s="19">
        <v>5</v>
      </c>
      <c r="BJ132" s="19">
        <v>25</v>
      </c>
      <c r="BK132" s="19">
        <v>25</v>
      </c>
      <c r="BL132" s="19">
        <v>10</v>
      </c>
      <c r="BM132" s="19">
        <v>10</v>
      </c>
      <c r="BN132" s="19">
        <v>10</v>
      </c>
      <c r="BO132" s="19">
        <v>132</v>
      </c>
      <c r="BP132" s="19">
        <v>12.46</v>
      </c>
      <c r="BQ132" s="19">
        <v>4.88</v>
      </c>
      <c r="BR132" s="19">
        <v>2.36</v>
      </c>
      <c r="BS132" s="19">
        <v>2.57</v>
      </c>
      <c r="BT132" s="19">
        <v>22.6</v>
      </c>
      <c r="BU132" s="19">
        <v>2</v>
      </c>
      <c r="BV132" s="19">
        <v>3.4000000000000002E-2</v>
      </c>
      <c r="BW132" s="19">
        <v>1.2</v>
      </c>
      <c r="BX132" s="19">
        <v>8.4</v>
      </c>
      <c r="BY132" s="19">
        <v>1.5</v>
      </c>
      <c r="BZ132" s="19">
        <v>0.62</v>
      </c>
      <c r="CA132" s="19">
        <v>48.75</v>
      </c>
      <c r="CB132" s="19">
        <v>9</v>
      </c>
      <c r="CC132" s="19">
        <v>12.9</v>
      </c>
      <c r="CD132" s="19">
        <v>6.6</v>
      </c>
      <c r="CE132" s="19">
        <v>11.25</v>
      </c>
      <c r="CF132" s="19">
        <v>9</v>
      </c>
      <c r="CG132" s="19">
        <v>56</v>
      </c>
      <c r="CH132" s="19">
        <v>512</v>
      </c>
      <c r="CI132" s="19">
        <v>357</v>
      </c>
      <c r="CJ132" s="19">
        <v>1012</v>
      </c>
      <c r="CK132" s="19">
        <v>3724</v>
      </c>
      <c r="CL132" s="19">
        <v>319</v>
      </c>
      <c r="CM132" s="19">
        <v>376</v>
      </c>
      <c r="CN132" s="19">
        <f>SUM(CH132:CM132)</f>
        <v>6300</v>
      </c>
      <c r="CO132" s="19">
        <v>121</v>
      </c>
      <c r="CP132" s="19">
        <v>182</v>
      </c>
      <c r="CQ132" s="19">
        <v>617</v>
      </c>
      <c r="CR132" s="19">
        <v>1032</v>
      </c>
      <c r="CS132" s="19">
        <v>42</v>
      </c>
      <c r="CT132" s="19">
        <v>203</v>
      </c>
      <c r="CU132" s="19">
        <f>SUM(CO132:CT132)</f>
        <v>2197</v>
      </c>
      <c r="CV132" s="19">
        <v>132</v>
      </c>
      <c r="CW132" s="19">
        <v>191</v>
      </c>
      <c r="CX132" s="19">
        <v>513</v>
      </c>
      <c r="CY132" s="19">
        <v>972</v>
      </c>
      <c r="CZ132" s="19">
        <v>92</v>
      </c>
      <c r="DA132" s="19">
        <v>151</v>
      </c>
      <c r="DB132" s="19">
        <f>SUM(CV132:DA132)</f>
        <v>2051</v>
      </c>
      <c r="DC132" s="19">
        <v>98</v>
      </c>
      <c r="DD132" s="19">
        <v>130</v>
      </c>
      <c r="DE132" s="19">
        <v>94</v>
      </c>
      <c r="DF132" s="19">
        <v>577</v>
      </c>
      <c r="DG132" s="19">
        <v>65</v>
      </c>
      <c r="DH132" s="19">
        <v>0</v>
      </c>
      <c r="DI132" s="19">
        <f>SUM(DC132:DH132)</f>
        <v>964</v>
      </c>
      <c r="DJ132" s="19">
        <v>132</v>
      </c>
      <c r="DK132" s="19">
        <v>161</v>
      </c>
      <c r="DL132" s="19">
        <v>165</v>
      </c>
      <c r="DM132" s="19">
        <v>790</v>
      </c>
      <c r="DN132" s="19">
        <v>92</v>
      </c>
      <c r="DO132" s="19">
        <v>0</v>
      </c>
      <c r="DP132" s="19">
        <f>SUM(DJ132:DO132)</f>
        <v>1340</v>
      </c>
      <c r="DQ132" s="19">
        <v>17</v>
      </c>
      <c r="DR132" s="19">
        <v>141</v>
      </c>
      <c r="DS132" s="19">
        <v>36</v>
      </c>
      <c r="DT132" s="19">
        <v>571</v>
      </c>
      <c r="DU132" s="19">
        <v>76</v>
      </c>
      <c r="DV132" s="19">
        <v>0</v>
      </c>
      <c r="DW132" s="19">
        <f>SUM(DQ132:DV132)</f>
        <v>841</v>
      </c>
      <c r="DX132" s="19">
        <v>131.80000000000001</v>
      </c>
      <c r="DY132" s="19">
        <v>214.7</v>
      </c>
      <c r="DZ132" s="19">
        <v>4.7</v>
      </c>
      <c r="EA132" s="19">
        <v>14.5</v>
      </c>
      <c r="EB132" s="19">
        <v>365.7</v>
      </c>
      <c r="EC132" s="19">
        <v>255.9</v>
      </c>
      <c r="ED132" s="19">
        <v>109.8</v>
      </c>
    </row>
    <row r="133" spans="1:134">
      <c r="A133" s="19"/>
    </row>
    <row r="134" spans="1:134">
      <c r="A134" s="6" t="s">
        <v>250</v>
      </c>
      <c r="B134" s="19" t="s">
        <v>146</v>
      </c>
      <c r="C134" s="6" t="s">
        <v>147</v>
      </c>
      <c r="D134" s="6" t="s">
        <v>148</v>
      </c>
      <c r="E134" s="6" t="s">
        <v>149</v>
      </c>
      <c r="F134" s="6" t="s">
        <v>358</v>
      </c>
      <c r="G134" s="6" t="s">
        <v>327</v>
      </c>
      <c r="H134" s="6" t="s">
        <v>360</v>
      </c>
      <c r="I134" s="6" t="s">
        <v>361</v>
      </c>
      <c r="J134" s="6" t="s">
        <v>153</v>
      </c>
      <c r="K134" s="6" t="s">
        <v>328</v>
      </c>
      <c r="L134" s="6" t="s">
        <v>335</v>
      </c>
      <c r="M134" s="19" t="s">
        <v>424</v>
      </c>
      <c r="N134" s="19" t="s">
        <v>383</v>
      </c>
      <c r="O134" s="19" t="s">
        <v>384</v>
      </c>
      <c r="P134" s="6" t="s">
        <v>255</v>
      </c>
      <c r="Q134" s="6" t="s">
        <v>256</v>
      </c>
      <c r="R134" s="6" t="s">
        <v>257</v>
      </c>
      <c r="S134" s="6" t="s">
        <v>258</v>
      </c>
      <c r="T134" s="6" t="s">
        <v>259</v>
      </c>
      <c r="U134" s="6" t="s">
        <v>260</v>
      </c>
      <c r="V134" s="6" t="s">
        <v>261</v>
      </c>
      <c r="W134" s="19" t="s">
        <v>362</v>
      </c>
      <c r="X134" s="19" t="s">
        <v>369</v>
      </c>
      <c r="Y134" s="19" t="s">
        <v>370</v>
      </c>
      <c r="Z134" s="19" t="s">
        <v>624</v>
      </c>
      <c r="AA134" s="19" t="s">
        <v>625</v>
      </c>
      <c r="AB134" s="19" t="s">
        <v>626</v>
      </c>
      <c r="AC134" s="19" t="s">
        <v>627</v>
      </c>
      <c r="AD134" s="19" t="s">
        <v>628</v>
      </c>
      <c r="AE134" s="19" t="s">
        <v>629</v>
      </c>
      <c r="AF134" s="19" t="s">
        <v>630</v>
      </c>
      <c r="AG134" s="19" t="s">
        <v>631</v>
      </c>
      <c r="AH134" s="19" t="s">
        <v>253</v>
      </c>
      <c r="AI134" s="19" t="s">
        <v>632</v>
      </c>
      <c r="AJ134" s="19" t="s">
        <v>633</v>
      </c>
      <c r="AK134" s="19" t="s">
        <v>634</v>
      </c>
      <c r="AL134" s="19" t="s">
        <v>635</v>
      </c>
      <c r="AM134" s="19" t="s">
        <v>636</v>
      </c>
      <c r="AN134" s="19" t="s">
        <v>637</v>
      </c>
      <c r="AO134" s="19" t="s">
        <v>638</v>
      </c>
      <c r="AP134" s="19" t="s">
        <v>639</v>
      </c>
      <c r="AQ134" s="19" t="s">
        <v>640</v>
      </c>
      <c r="AR134" s="19" t="s">
        <v>367</v>
      </c>
      <c r="AS134" s="19" t="s">
        <v>641</v>
      </c>
      <c r="AT134" s="19" t="s">
        <v>642</v>
      </c>
      <c r="AU134" s="19" t="s">
        <v>643</v>
      </c>
      <c r="AV134" s="19" t="s">
        <v>644</v>
      </c>
      <c r="AW134" s="19" t="s">
        <v>645</v>
      </c>
      <c r="AX134" s="19" t="s">
        <v>646</v>
      </c>
      <c r="AY134" s="19" t="s">
        <v>647</v>
      </c>
      <c r="AZ134" s="19" t="s">
        <v>648</v>
      </c>
      <c r="BA134" s="19" t="s">
        <v>649</v>
      </c>
      <c r="BB134" s="19" t="s">
        <v>650</v>
      </c>
      <c r="BC134" s="19" t="s">
        <v>651</v>
      </c>
      <c r="BD134" s="19" t="s">
        <v>639</v>
      </c>
      <c r="BE134" s="19" t="s">
        <v>640</v>
      </c>
      <c r="BF134" s="19" t="s">
        <v>367</v>
      </c>
      <c r="BG134" s="19" t="s">
        <v>641</v>
      </c>
      <c r="BH134" s="19" t="s">
        <v>642</v>
      </c>
      <c r="BI134" s="19" t="s">
        <v>643</v>
      </c>
      <c r="BJ134" s="19" t="s">
        <v>644</v>
      </c>
      <c r="BK134" s="19" t="s">
        <v>645</v>
      </c>
      <c r="BL134" s="19" t="s">
        <v>646</v>
      </c>
      <c r="BM134" s="19" t="s">
        <v>647</v>
      </c>
      <c r="BN134" s="19" t="s">
        <v>648</v>
      </c>
      <c r="BO134" s="19" t="s">
        <v>649</v>
      </c>
      <c r="BP134" s="19" t="s">
        <v>650</v>
      </c>
      <c r="BQ134" s="19" t="s">
        <v>651</v>
      </c>
    </row>
    <row r="135" spans="1:134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 t="s">
        <v>652</v>
      </c>
      <c r="AP135" s="19" t="s">
        <v>653</v>
      </c>
      <c r="AU135" s="19" t="s">
        <v>654</v>
      </c>
      <c r="BD135" s="19" t="s">
        <v>653</v>
      </c>
      <c r="BI135" s="19" t="s">
        <v>654</v>
      </c>
    </row>
    <row r="136" spans="1:134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 t="s">
        <v>655</v>
      </c>
    </row>
    <row r="137" spans="1:134">
      <c r="A137" s="19"/>
      <c r="B137" s="19" t="s">
        <v>656</v>
      </c>
      <c r="C137" s="19" t="s">
        <v>311</v>
      </c>
      <c r="D137" s="19" t="s">
        <v>657</v>
      </c>
      <c r="E137" s="19" t="s">
        <v>351</v>
      </c>
      <c r="F137" s="21">
        <v>167.3</v>
      </c>
      <c r="G137" s="21">
        <v>152</v>
      </c>
      <c r="H137" s="21">
        <v>22.3</v>
      </c>
      <c r="I137" s="21">
        <v>17.3</v>
      </c>
      <c r="J137" s="21">
        <v>6.7</v>
      </c>
      <c r="K137" s="19">
        <v>12176</v>
      </c>
      <c r="L137" s="52">
        <f>K137*1.025/G137/I137/J137</f>
        <v>0.70837628105290384</v>
      </c>
      <c r="M137" s="45">
        <v>6000</v>
      </c>
      <c r="N137" s="21">
        <v>29.1</v>
      </c>
      <c r="O137" s="21">
        <v>20</v>
      </c>
      <c r="P137" s="45">
        <v>4483</v>
      </c>
      <c r="Q137" s="45">
        <v>983</v>
      </c>
      <c r="R137" s="45">
        <v>442</v>
      </c>
      <c r="S137" s="45">
        <v>427</v>
      </c>
      <c r="T137" s="45">
        <v>1468</v>
      </c>
      <c r="U137" s="45">
        <v>752</v>
      </c>
      <c r="V137" s="45">
        <v>469</v>
      </c>
      <c r="W137" s="45">
        <v>9024</v>
      </c>
      <c r="X137" s="45">
        <v>3116</v>
      </c>
      <c r="Y137" s="45">
        <v>12140</v>
      </c>
      <c r="Z137" s="48">
        <v>49.68</v>
      </c>
      <c r="AA137" s="48">
        <v>10.89</v>
      </c>
      <c r="AB137" s="48">
        <v>4.9000000000000004</v>
      </c>
      <c r="AC137" s="48">
        <v>4.7300000000000004</v>
      </c>
      <c r="AD137" s="48">
        <v>16.27</v>
      </c>
      <c r="AE137" s="48">
        <v>8.5299999999999994</v>
      </c>
      <c r="AF137" s="48">
        <v>5.2</v>
      </c>
      <c r="AG137" s="19">
        <v>12041</v>
      </c>
      <c r="AH137" s="19">
        <v>428</v>
      </c>
      <c r="AI137" s="19">
        <v>1262</v>
      </c>
      <c r="AJ137" s="19">
        <v>3347</v>
      </c>
      <c r="AK137" s="19">
        <v>818.6</v>
      </c>
      <c r="AL137" s="19">
        <v>763</v>
      </c>
      <c r="AM137" s="19">
        <v>1764</v>
      </c>
      <c r="AN137" s="19">
        <v>1098</v>
      </c>
      <c r="AO137" s="19">
        <v>205</v>
      </c>
      <c r="AP137" s="45">
        <v>835.68316849108896</v>
      </c>
      <c r="AQ137" s="45">
        <v>685.26948869263697</v>
      </c>
      <c r="AR137" s="45">
        <v>4460.4763315648297</v>
      </c>
      <c r="AS137" s="45">
        <v>5981.4289887485602</v>
      </c>
      <c r="AT137" s="45">
        <v>2186.9907488916301</v>
      </c>
      <c r="AU137" s="45">
        <v>361.215804234948</v>
      </c>
      <c r="AV137" s="45">
        <v>768.32682639480902</v>
      </c>
      <c r="AW137" s="45">
        <v>1325.7586230536799</v>
      </c>
      <c r="AX137" s="45">
        <v>150.506585097895</v>
      </c>
      <c r="AY137" s="45">
        <v>602.02634039157897</v>
      </c>
      <c r="AZ137" s="45">
        <v>1661.7041858400901</v>
      </c>
      <c r="BA137" s="45">
        <v>1023.53768396513</v>
      </c>
      <c r="BB137" s="45">
        <v>5893.0760489781296</v>
      </c>
      <c r="BC137" s="45">
        <v>14061.495786618299</v>
      </c>
      <c r="BD137" s="19">
        <v>5.94</v>
      </c>
      <c r="BE137" s="19">
        <v>4.87</v>
      </c>
      <c r="BF137" s="19">
        <v>31.72</v>
      </c>
      <c r="BG137" s="19">
        <v>42.53</v>
      </c>
      <c r="BH137" s="19">
        <v>15.56</v>
      </c>
      <c r="BI137" s="19">
        <v>2.57</v>
      </c>
      <c r="BJ137" s="19">
        <v>5.46</v>
      </c>
      <c r="BK137" s="19">
        <v>9.43</v>
      </c>
      <c r="BL137" s="19">
        <v>1.07</v>
      </c>
      <c r="BM137" s="19">
        <v>4.28</v>
      </c>
      <c r="BN137" s="19">
        <v>11.82</v>
      </c>
      <c r="BO137" s="19">
        <v>7.28</v>
      </c>
      <c r="BP137" s="19">
        <v>41.91</v>
      </c>
      <c r="BQ137" s="45">
        <f>SUM(BD137:BO137)-BG137</f>
        <v>99.999999999999972</v>
      </c>
    </row>
    <row r="138" spans="1:134">
      <c r="A138" s="19" t="s">
        <v>658</v>
      </c>
      <c r="B138" s="19" t="s">
        <v>659</v>
      </c>
      <c r="C138" s="19" t="s">
        <v>311</v>
      </c>
      <c r="D138" s="19" t="s">
        <v>660</v>
      </c>
      <c r="E138" s="19" t="s">
        <v>205</v>
      </c>
      <c r="G138" s="21">
        <v>142.038527188491</v>
      </c>
      <c r="H138" s="21">
        <v>17.983418678371098</v>
      </c>
      <c r="I138" s="21">
        <v>12.7407949280663</v>
      </c>
      <c r="J138" s="21">
        <v>6.0960741282614004</v>
      </c>
      <c r="M138" s="19">
        <v>6000</v>
      </c>
      <c r="N138" s="19">
        <v>30</v>
      </c>
      <c r="O138" s="19">
        <v>18</v>
      </c>
      <c r="P138" s="45">
        <v>3182.2915721672898</v>
      </c>
      <c r="Q138" s="45">
        <v>838.24730109770496</v>
      </c>
      <c r="R138" s="45">
        <v>478.56300462668997</v>
      </c>
      <c r="S138" s="45">
        <v>429.79225256282302</v>
      </c>
      <c r="T138" s="45">
        <v>882.95382382291598</v>
      </c>
      <c r="U138" s="45">
        <v>602.52199945568395</v>
      </c>
      <c r="V138" s="45">
        <v>363.74852580967098</v>
      </c>
      <c r="W138" s="45">
        <v>6255.8650095255398</v>
      </c>
      <c r="X138" s="45">
        <v>1725.26535425928</v>
      </c>
      <c r="Y138" s="45">
        <v>8503.3838338020505</v>
      </c>
      <c r="Z138" s="19">
        <v>46.95</v>
      </c>
      <c r="AA138" s="19">
        <v>12.37</v>
      </c>
      <c r="AB138" s="19">
        <v>7.06</v>
      </c>
      <c r="AC138" s="19">
        <v>6.34</v>
      </c>
      <c r="AD138" s="19">
        <v>13.03</v>
      </c>
      <c r="AE138" s="19">
        <v>8.89</v>
      </c>
      <c r="AF138" s="19">
        <v>5.36</v>
      </c>
      <c r="AG138" s="45">
        <v>6793.3284005821997</v>
      </c>
      <c r="AH138" s="45">
        <v>31.401991211782999</v>
      </c>
      <c r="AI138" s="45">
        <v>337.52495287694597</v>
      </c>
      <c r="AJ138" s="45">
        <v>0</v>
      </c>
      <c r="AK138" s="45">
        <v>17.652006894197498</v>
      </c>
      <c r="AL138" s="45">
        <v>84.332758777102399</v>
      </c>
      <c r="AM138" s="45">
        <v>1311.73001905108</v>
      </c>
      <c r="AN138" s="45">
        <v>256.04644833529898</v>
      </c>
      <c r="AO138" s="45">
        <v>157.48888687290199</v>
      </c>
      <c r="AP138" s="45">
        <v>1104.6440103789901</v>
      </c>
      <c r="AQ138" s="45">
        <v>637.70197537774698</v>
      </c>
      <c r="AR138" s="45">
        <v>17.652006894197498</v>
      </c>
      <c r="AS138" s="45">
        <v>830.94499821948796</v>
      </c>
      <c r="AT138" s="45">
        <v>1538.69756937737</v>
      </c>
      <c r="AU138" s="45">
        <v>158.77515674833501</v>
      </c>
      <c r="AV138" s="45">
        <v>1135.39566449467</v>
      </c>
      <c r="AW138" s="45">
        <v>644.11244103932404</v>
      </c>
      <c r="AX138" s="45">
        <v>133.040388802584</v>
      </c>
      <c r="AY138" s="45">
        <v>487.47410617818201</v>
      </c>
      <c r="AZ138" s="45">
        <v>845.99565672927804</v>
      </c>
      <c r="BA138" s="45">
        <v>40.692521156097499</v>
      </c>
      <c r="BB138" s="45">
        <v>3445.4859351484702</v>
      </c>
      <c r="BC138" s="45">
        <v>6744.1814971767799</v>
      </c>
      <c r="BD138" s="19">
        <v>16.38</v>
      </c>
      <c r="BE138" s="19">
        <v>9.26</v>
      </c>
      <c r="BF138" s="19">
        <v>0.26</v>
      </c>
      <c r="BG138" s="19">
        <v>26.1</v>
      </c>
      <c r="BH138" s="19">
        <v>22.82</v>
      </c>
      <c r="BI138" s="19">
        <v>2.35</v>
      </c>
      <c r="BJ138" s="19">
        <v>16.84</v>
      </c>
      <c r="BK138" s="19">
        <v>9.5500000000000007</v>
      </c>
      <c r="BL138" s="19">
        <v>1.97</v>
      </c>
      <c r="BM138" s="19">
        <v>7.23</v>
      </c>
      <c r="BN138" s="19">
        <v>12.54</v>
      </c>
      <c r="BO138" s="19">
        <v>0.6</v>
      </c>
      <c r="BP138" s="19">
        <v>51.08</v>
      </c>
      <c r="BQ138" s="45">
        <f>SUM(BD138:BO138)-BG138</f>
        <v>99.799999999999983</v>
      </c>
    </row>
    <row r="139" spans="1:134">
      <c r="A139" s="19" t="s">
        <v>405</v>
      </c>
      <c r="B139" s="19" t="s">
        <v>661</v>
      </c>
      <c r="C139" s="19" t="s">
        <v>311</v>
      </c>
      <c r="D139" s="19" t="s">
        <v>662</v>
      </c>
      <c r="E139" s="19" t="s">
        <v>205</v>
      </c>
      <c r="G139" s="21">
        <v>161.241160692514</v>
      </c>
      <c r="H139" s="21">
        <v>16.764203852718801</v>
      </c>
      <c r="I139" s="21">
        <v>12.7712752987076</v>
      </c>
      <c r="J139" s="21">
        <v>7.4676908071202099</v>
      </c>
      <c r="M139" s="19">
        <v>6000</v>
      </c>
      <c r="N139" s="19">
        <v>30</v>
      </c>
      <c r="O139" s="19">
        <v>20</v>
      </c>
      <c r="P139" s="45">
        <v>3600.9071940488102</v>
      </c>
      <c r="Q139" s="45">
        <v>729.52916628866899</v>
      </c>
      <c r="R139" s="45">
        <v>390.16601651093202</v>
      </c>
      <c r="S139" s="45">
        <v>483.64329130000903</v>
      </c>
      <c r="T139" s="45">
        <v>993.70407330127898</v>
      </c>
      <c r="U139" s="45">
        <v>584.23296743173398</v>
      </c>
      <c r="V139" s="45">
        <v>371.876984486982</v>
      </c>
      <c r="W139" s="45">
        <v>7154.0596933684101</v>
      </c>
      <c r="X139" s="45">
        <v>2614.3155220901799</v>
      </c>
      <c r="Y139" s="45">
        <v>9767.3591581239198</v>
      </c>
      <c r="Z139" s="19">
        <v>50.33</v>
      </c>
      <c r="AA139" s="19">
        <v>10.199999999999999</v>
      </c>
      <c r="AB139" s="19">
        <v>5.45</v>
      </c>
      <c r="AC139" s="19">
        <v>6.76</v>
      </c>
      <c r="AD139" s="19">
        <v>13.89</v>
      </c>
      <c r="AE139" s="19">
        <v>8.17</v>
      </c>
      <c r="AF139" s="19">
        <v>5.2</v>
      </c>
      <c r="AG139" s="45">
        <v>8067.8032983432604</v>
      </c>
      <c r="AH139" s="45">
        <v>31.401991211782999</v>
      </c>
      <c r="AI139" s="45">
        <v>254.65342577365999</v>
      </c>
      <c r="AJ139" s="45">
        <v>113.251560021194</v>
      </c>
      <c r="AK139" s="45">
        <v>126.629923141007</v>
      </c>
      <c r="AL139" s="45">
        <v>75.188242765127498</v>
      </c>
      <c r="AM139" s="45">
        <v>1935.5892225347</v>
      </c>
      <c r="AN139" s="45">
        <v>232.67712963803001</v>
      </c>
      <c r="AO139" s="45">
        <v>446.049169917445</v>
      </c>
      <c r="AP139" s="45">
        <v>1438.4527512782099</v>
      </c>
      <c r="AQ139" s="45">
        <v>862.43989473071497</v>
      </c>
      <c r="AR139" s="45">
        <v>361.77323603160602</v>
      </c>
      <c r="AS139" s="45">
        <v>2662.6658820405301</v>
      </c>
      <c r="AT139" s="45">
        <v>1792.23613155771</v>
      </c>
      <c r="AU139" s="45">
        <v>185.903504185733</v>
      </c>
      <c r="AV139" s="45">
        <v>552.78653168671201</v>
      </c>
      <c r="AW139" s="45">
        <v>944.38236883956802</v>
      </c>
      <c r="AX139" s="45">
        <v>236.07236588503099</v>
      </c>
      <c r="AY139" s="45">
        <v>401.53670419327199</v>
      </c>
      <c r="AZ139" s="45">
        <v>1020.19309318517</v>
      </c>
      <c r="BA139" s="45">
        <v>73.302281260641394</v>
      </c>
      <c r="BB139" s="45">
        <v>3389.0924183864799</v>
      </c>
      <c r="BC139" s="45">
        <v>7869.0788628343798</v>
      </c>
      <c r="BD139" s="19">
        <v>18.28</v>
      </c>
      <c r="BE139" s="19">
        <v>10.96</v>
      </c>
      <c r="BF139" s="19">
        <v>4.5999999999999996</v>
      </c>
      <c r="BG139" s="19">
        <v>33.840000000000003</v>
      </c>
      <c r="BH139" s="19">
        <v>22.78</v>
      </c>
      <c r="BI139" s="19">
        <v>2.36</v>
      </c>
      <c r="BJ139" s="19">
        <v>7.02</v>
      </c>
      <c r="BK139" s="19">
        <v>12</v>
      </c>
      <c r="BL139" s="19">
        <v>3</v>
      </c>
      <c r="BM139" s="19">
        <v>5.0999999999999996</v>
      </c>
      <c r="BN139" s="19">
        <v>12.96</v>
      </c>
      <c r="BO139" s="19">
        <v>0.93</v>
      </c>
      <c r="BP139" s="19">
        <v>43.38</v>
      </c>
      <c r="BQ139" s="45">
        <f>SUM(BD139:BO139)-BG139</f>
        <v>99.990000000000009</v>
      </c>
    </row>
    <row r="140" spans="1:134">
      <c r="A140" s="19" t="s">
        <v>663</v>
      </c>
      <c r="B140" s="19" t="s">
        <v>664</v>
      </c>
      <c r="C140" s="19" t="s">
        <v>311</v>
      </c>
      <c r="D140" s="19" t="s">
        <v>665</v>
      </c>
      <c r="E140" s="19" t="s">
        <v>205</v>
      </c>
      <c r="G140" s="21">
        <v>161.241160692514</v>
      </c>
      <c r="H140" s="21">
        <v>16.764203852718801</v>
      </c>
      <c r="I140" s="21">
        <v>12.7712752987076</v>
      </c>
      <c r="J140" s="21">
        <v>6.5837600585223104</v>
      </c>
      <c r="M140" s="19">
        <v>6000</v>
      </c>
      <c r="N140" s="19">
        <v>31</v>
      </c>
      <c r="O140" s="19">
        <v>20</v>
      </c>
      <c r="P140" s="45">
        <v>3156.8901388006898</v>
      </c>
      <c r="Q140" s="45">
        <v>767.12328767123302</v>
      </c>
      <c r="R140" s="45">
        <v>281.44788170189599</v>
      </c>
      <c r="S140" s="45">
        <v>361.71641114034298</v>
      </c>
      <c r="T140" s="45">
        <v>754.93059965526595</v>
      </c>
      <c r="U140" s="45">
        <v>447.06522725210903</v>
      </c>
      <c r="V140" s="45">
        <v>154.44071486890999</v>
      </c>
      <c r="W140" s="45">
        <v>5923.6142610904499</v>
      </c>
      <c r="X140" s="45">
        <v>1865.48126644289</v>
      </c>
      <c r="Y140" s="45">
        <v>7789.0955275333399</v>
      </c>
      <c r="Z140" s="19">
        <v>53.29</v>
      </c>
      <c r="AA140" s="19">
        <v>12.95</v>
      </c>
      <c r="AB140" s="19">
        <v>4.75</v>
      </c>
      <c r="AC140" s="19">
        <v>6.11</v>
      </c>
      <c r="AD140" s="19">
        <v>12.74</v>
      </c>
      <c r="AE140" s="19">
        <v>7.55</v>
      </c>
      <c r="AF140" s="19">
        <v>2.61</v>
      </c>
      <c r="AG140" s="45">
        <v>6783.6662494401198</v>
      </c>
      <c r="AH140" s="45">
        <v>24.619904352433402</v>
      </c>
      <c r="AI140" s="45">
        <v>229.56899492401101</v>
      </c>
      <c r="AJ140" s="45">
        <v>129.324176824858</v>
      </c>
      <c r="AK140" s="45">
        <v>79.619841622775198</v>
      </c>
      <c r="AL140" s="45">
        <v>71.124013426471905</v>
      </c>
      <c r="AM140" s="45">
        <v>1558.6319513743999</v>
      </c>
      <c r="AN140" s="45">
        <v>154.44071486890999</v>
      </c>
      <c r="AO140" s="45">
        <v>152.40860019958299</v>
      </c>
      <c r="AP140" s="45">
        <v>875.26082605386898</v>
      </c>
      <c r="AQ140" s="45">
        <v>736.08868748803695</v>
      </c>
      <c r="AR140" s="45">
        <v>338.26819527249103</v>
      </c>
      <c r="AS140" s="45">
        <v>1949.6177088144</v>
      </c>
      <c r="AT140" s="45">
        <v>1788.70573017887</v>
      </c>
      <c r="AU140" s="45">
        <v>178.006553733066</v>
      </c>
      <c r="AV140" s="45">
        <v>494.99943543307597</v>
      </c>
      <c r="AW140" s="45">
        <v>651.08033849755998</v>
      </c>
      <c r="AX140" s="45">
        <v>193.8004546384</v>
      </c>
      <c r="AY140" s="45">
        <v>400.05021940218199</v>
      </c>
      <c r="AZ140" s="45">
        <v>1027.25389594285</v>
      </c>
      <c r="BA140" s="45">
        <v>100.15191279971</v>
      </c>
      <c r="BB140" s="45">
        <v>3045.3428104468499</v>
      </c>
      <c r="BC140" s="45">
        <v>6783.6662494401198</v>
      </c>
      <c r="BD140" s="19">
        <v>12.9</v>
      </c>
      <c r="BE140" s="19">
        <v>10.85</v>
      </c>
      <c r="BF140" s="19">
        <v>4.99</v>
      </c>
      <c r="BG140" s="19">
        <v>28.74</v>
      </c>
      <c r="BH140" s="19">
        <v>26.37</v>
      </c>
      <c r="BI140" s="19">
        <v>2.62</v>
      </c>
      <c r="BJ140" s="19">
        <v>7.3</v>
      </c>
      <c r="BK140" s="19">
        <v>9.6</v>
      </c>
      <c r="BL140" s="19">
        <v>2.86</v>
      </c>
      <c r="BM140" s="19">
        <v>5.9</v>
      </c>
      <c r="BN140" s="19">
        <v>15.13</v>
      </c>
      <c r="BO140" s="19">
        <v>1.48</v>
      </c>
      <c r="BP140" s="19">
        <v>44.89</v>
      </c>
      <c r="BQ140" s="45">
        <f>SUM(BD140:BO140)-BG140</f>
        <v>100.00000000000001</v>
      </c>
    </row>
    <row r="141" spans="1:134">
      <c r="A141" s="19"/>
    </row>
    <row r="142" spans="1:134">
      <c r="A142" s="6" t="s">
        <v>250</v>
      </c>
      <c r="B142" s="19" t="s">
        <v>146</v>
      </c>
      <c r="C142" s="6" t="s">
        <v>147</v>
      </c>
      <c r="D142" s="6" t="s">
        <v>148</v>
      </c>
      <c r="E142" s="6" t="s">
        <v>149</v>
      </c>
      <c r="F142" s="6" t="s">
        <v>358</v>
      </c>
      <c r="G142" s="6" t="s">
        <v>327</v>
      </c>
      <c r="H142" s="6" t="s">
        <v>360</v>
      </c>
      <c r="I142" s="6" t="s">
        <v>153</v>
      </c>
      <c r="J142" s="6" t="s">
        <v>362</v>
      </c>
      <c r="K142" s="6" t="s">
        <v>370</v>
      </c>
      <c r="L142" s="6" t="s">
        <v>331</v>
      </c>
      <c r="M142" s="6" t="s">
        <v>666</v>
      </c>
      <c r="N142" s="6" t="s">
        <v>667</v>
      </c>
      <c r="O142" s="6" t="s">
        <v>337</v>
      </c>
      <c r="P142" s="6" t="s">
        <v>335</v>
      </c>
      <c r="Q142" s="6" t="s">
        <v>407</v>
      </c>
      <c r="R142" s="6" t="s">
        <v>494</v>
      </c>
      <c r="S142" s="6" t="s">
        <v>341</v>
      </c>
      <c r="T142" s="6" t="s">
        <v>410</v>
      </c>
      <c r="U142" s="6" t="s">
        <v>411</v>
      </c>
      <c r="V142" s="6" t="s">
        <v>412</v>
      </c>
      <c r="W142" s="19" t="s">
        <v>253</v>
      </c>
      <c r="X142" s="19" t="s">
        <v>668</v>
      </c>
      <c r="Y142" s="19" t="s">
        <v>669</v>
      </c>
      <c r="Z142" s="19" t="s">
        <v>424</v>
      </c>
      <c r="AA142" s="19" t="s">
        <v>383</v>
      </c>
      <c r="AB142" s="19" t="s">
        <v>670</v>
      </c>
      <c r="AC142" s="6" t="s">
        <v>556</v>
      </c>
      <c r="AD142" s="19" t="s">
        <v>671</v>
      </c>
      <c r="AE142" s="19" t="s">
        <v>672</v>
      </c>
      <c r="AF142" s="19" t="s">
        <v>673</v>
      </c>
      <c r="AG142" s="19" t="s">
        <v>674</v>
      </c>
      <c r="AH142" s="19" t="s">
        <v>675</v>
      </c>
      <c r="AI142" s="19" t="s">
        <v>390</v>
      </c>
      <c r="AJ142" s="19" t="s">
        <v>585</v>
      </c>
      <c r="AK142" s="19" t="s">
        <v>676</v>
      </c>
      <c r="AL142" s="19" t="s">
        <v>677</v>
      </c>
      <c r="AM142" s="19" t="s">
        <v>678</v>
      </c>
      <c r="AN142" s="19" t="s">
        <v>679</v>
      </c>
      <c r="AO142" s="19" t="s">
        <v>680</v>
      </c>
      <c r="AP142" s="19" t="s">
        <v>681</v>
      </c>
      <c r="AQ142" s="19" t="s">
        <v>682</v>
      </c>
      <c r="AR142" s="19" t="s">
        <v>683</v>
      </c>
      <c r="AS142" s="19" t="s">
        <v>684</v>
      </c>
      <c r="AT142" s="19" t="s">
        <v>685</v>
      </c>
    </row>
    <row r="143" spans="1:134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 t="s">
        <v>686</v>
      </c>
    </row>
    <row r="144" spans="1:134">
      <c r="A144" s="19"/>
    </row>
    <row r="145" spans="1:46">
      <c r="A145" s="19"/>
      <c r="B145" s="19" t="s">
        <v>18</v>
      </c>
      <c r="C145" s="19" t="s">
        <v>203</v>
      </c>
      <c r="D145" s="19" t="s">
        <v>687</v>
      </c>
      <c r="E145" s="19" t="s">
        <v>205</v>
      </c>
      <c r="F145" s="21">
        <v>135.69999999999999</v>
      </c>
      <c r="G145" s="21">
        <v>124.4</v>
      </c>
      <c r="H145" s="21">
        <v>13.8</v>
      </c>
      <c r="I145" s="21">
        <v>4.37</v>
      </c>
      <c r="J145" s="21">
        <v>2852</v>
      </c>
      <c r="K145" s="19">
        <v>3782</v>
      </c>
      <c r="L145" s="19">
        <v>1505</v>
      </c>
      <c r="M145" s="45">
        <v>3505</v>
      </c>
      <c r="N145" s="48">
        <v>1.82</v>
      </c>
      <c r="O145" s="52">
        <v>0.59399999999999997</v>
      </c>
      <c r="P145" s="52">
        <v>0.442</v>
      </c>
      <c r="Q145" s="52">
        <v>0.745</v>
      </c>
      <c r="R145" s="52">
        <v>0.72799999999999998</v>
      </c>
      <c r="S145" s="56">
        <v>4.3999999999999997E-2</v>
      </c>
      <c r="T145" s="48">
        <v>9.0500000000000007</v>
      </c>
      <c r="U145" s="48">
        <v>3.15</v>
      </c>
      <c r="V145" s="48">
        <v>28.3</v>
      </c>
      <c r="W145" s="45">
        <v>185</v>
      </c>
      <c r="X145" s="45">
        <v>176</v>
      </c>
      <c r="Y145" s="21" t="s">
        <v>479</v>
      </c>
      <c r="Z145" s="45">
        <v>5200</v>
      </c>
      <c r="AA145" s="21">
        <v>30</v>
      </c>
      <c r="AB145" s="45">
        <v>30574</v>
      </c>
      <c r="AC145" s="45">
        <v>4000</v>
      </c>
      <c r="AD145" s="19">
        <v>45.2</v>
      </c>
      <c r="AE145" s="19">
        <v>2735</v>
      </c>
      <c r="AF145" s="19">
        <v>7.7399999999999997E-2</v>
      </c>
      <c r="AG145" s="19">
        <v>8.9</v>
      </c>
      <c r="AH145" s="19">
        <v>4.9000000000000004</v>
      </c>
      <c r="AI145" s="19">
        <v>1</v>
      </c>
      <c r="AJ145" s="19">
        <v>2.29</v>
      </c>
      <c r="AK145" s="19">
        <v>68.599999999999994</v>
      </c>
      <c r="AL145" s="19" t="s">
        <v>688</v>
      </c>
      <c r="AM145" s="19" t="s">
        <v>689</v>
      </c>
      <c r="AN145" s="19" t="s">
        <v>690</v>
      </c>
      <c r="AO145" s="19">
        <v>2</v>
      </c>
      <c r="AP145" s="19" t="s">
        <v>691</v>
      </c>
      <c r="AQ145" s="19" t="s">
        <v>690</v>
      </c>
      <c r="AR145" s="19" t="s">
        <v>690</v>
      </c>
      <c r="AS145" s="19" t="s">
        <v>150</v>
      </c>
      <c r="AT145" s="19" t="s">
        <v>692</v>
      </c>
    </row>
    <row r="146" spans="1:46">
      <c r="A146" s="19"/>
      <c r="B146" s="19" t="s">
        <v>693</v>
      </c>
      <c r="C146" s="19" t="s">
        <v>694</v>
      </c>
      <c r="D146" s="19" t="s">
        <v>695</v>
      </c>
      <c r="E146" s="19" t="s">
        <v>351</v>
      </c>
      <c r="N146" s="48">
        <v>2.0499999999999998</v>
      </c>
      <c r="O146" s="52">
        <v>0.61</v>
      </c>
      <c r="P146" s="52">
        <v>0.48799999999999999</v>
      </c>
      <c r="Q146" s="52">
        <v>0.8</v>
      </c>
      <c r="R146" s="52">
        <v>0.77</v>
      </c>
      <c r="S146" s="56">
        <v>4.9000000000000002E-2</v>
      </c>
      <c r="T146" s="48">
        <v>8.5</v>
      </c>
      <c r="U146" s="48">
        <v>3.39</v>
      </c>
      <c r="V146" s="48">
        <v>28.9</v>
      </c>
      <c r="W146" s="45">
        <v>226</v>
      </c>
      <c r="X146" s="45">
        <v>185</v>
      </c>
      <c r="Y146" s="21"/>
      <c r="Z146" s="45">
        <v>5200</v>
      </c>
      <c r="AA146" s="21">
        <v>29.2</v>
      </c>
      <c r="AB146" s="45">
        <v>37320</v>
      </c>
      <c r="AC146" s="45"/>
    </row>
    <row r="147" spans="1:46">
      <c r="A147" s="19"/>
      <c r="B147" s="19" t="s">
        <v>225</v>
      </c>
      <c r="C147" s="19" t="s">
        <v>226</v>
      </c>
      <c r="D147" s="19" t="s">
        <v>696</v>
      </c>
      <c r="E147" s="19" t="s">
        <v>205</v>
      </c>
      <c r="N147" s="48">
        <v>1.77</v>
      </c>
      <c r="O147" s="52">
        <v>0.62</v>
      </c>
      <c r="P147" s="52">
        <v>0.49</v>
      </c>
      <c r="Q147" s="52">
        <v>0.79300000000000004</v>
      </c>
      <c r="R147" s="52">
        <v>0.753</v>
      </c>
      <c r="S147" s="56">
        <v>4.8000000000000001E-2</v>
      </c>
      <c r="T147" s="48">
        <v>9.2100000000000009</v>
      </c>
      <c r="U147" s="48">
        <v>3.41</v>
      </c>
      <c r="V147" s="48">
        <v>31.5</v>
      </c>
      <c r="W147" s="45">
        <v>250</v>
      </c>
      <c r="X147" s="45">
        <v>240</v>
      </c>
      <c r="Y147" s="21" t="s">
        <v>152</v>
      </c>
      <c r="Z147" s="45">
        <v>9445</v>
      </c>
      <c r="AA147" s="21">
        <v>30</v>
      </c>
      <c r="AB147" s="45">
        <v>38478</v>
      </c>
      <c r="AC147" s="45">
        <v>3400</v>
      </c>
      <c r="AD147" s="19">
        <v>40.200000000000003</v>
      </c>
      <c r="AE147" s="19">
        <v>2242</v>
      </c>
      <c r="AF147" s="19">
        <v>5.3499999999999999E-2</v>
      </c>
      <c r="AG147" s="19">
        <v>6.8</v>
      </c>
      <c r="AI147" s="19">
        <v>2</v>
      </c>
      <c r="AJ147" s="19">
        <v>1.7</v>
      </c>
      <c r="AK147" s="19">
        <v>68.599999999999994</v>
      </c>
      <c r="AL147" s="19" t="s">
        <v>697</v>
      </c>
      <c r="AM147" s="19" t="s">
        <v>697</v>
      </c>
      <c r="AN147" s="19" t="s">
        <v>698</v>
      </c>
      <c r="AO147" s="19">
        <v>5</v>
      </c>
      <c r="AP147" s="19" t="s">
        <v>282</v>
      </c>
      <c r="AQ147" s="19" t="s">
        <v>690</v>
      </c>
      <c r="AR147" s="19" t="s">
        <v>698</v>
      </c>
      <c r="AS147" s="19" t="s">
        <v>153</v>
      </c>
      <c r="AT147" s="19" t="s">
        <v>699</v>
      </c>
    </row>
    <row r="148" spans="1:46">
      <c r="A148" s="19"/>
      <c r="B148" s="19" t="s">
        <v>700</v>
      </c>
      <c r="C148" s="19" t="s">
        <v>152</v>
      </c>
      <c r="D148" s="19" t="s">
        <v>701</v>
      </c>
      <c r="E148" s="19" t="s">
        <v>205</v>
      </c>
      <c r="J148" s="21"/>
      <c r="K148" s="21"/>
      <c r="L148" s="21"/>
      <c r="M148" s="45">
        <v>3500</v>
      </c>
      <c r="N148" s="48">
        <v>1.94</v>
      </c>
      <c r="O148" s="52">
        <v>0.61199999999999999</v>
      </c>
      <c r="P148" s="52">
        <v>0.45500000000000002</v>
      </c>
      <c r="Q148" s="52">
        <v>0.74399999999999999</v>
      </c>
      <c r="R148" s="52">
        <v>0.7</v>
      </c>
      <c r="S148" s="56">
        <v>4.1599999999999998E-2</v>
      </c>
      <c r="T148" s="48">
        <v>8.4600000000000009</v>
      </c>
      <c r="U148" s="48">
        <v>3.47</v>
      </c>
      <c r="V148" s="48">
        <v>29.35</v>
      </c>
      <c r="W148" s="45">
        <v>200</v>
      </c>
      <c r="X148" s="45">
        <v>165</v>
      </c>
      <c r="Y148" s="21"/>
      <c r="Z148" s="45">
        <v>5405</v>
      </c>
      <c r="AA148" s="21">
        <v>30.3</v>
      </c>
      <c r="AB148" s="45">
        <v>43402</v>
      </c>
      <c r="AC148" s="45"/>
      <c r="AJ148" s="19">
        <v>1.4</v>
      </c>
      <c r="AK148" s="19">
        <v>50</v>
      </c>
      <c r="AL148" s="19" t="s">
        <v>697</v>
      </c>
      <c r="AM148" s="19" t="s">
        <v>702</v>
      </c>
      <c r="AN148" s="19" t="s">
        <v>698</v>
      </c>
      <c r="AO148" s="19">
        <v>4</v>
      </c>
      <c r="AP148" s="19" t="s">
        <v>282</v>
      </c>
      <c r="AQ148" s="19" t="s">
        <v>690</v>
      </c>
      <c r="AR148" s="19" t="s">
        <v>690</v>
      </c>
      <c r="AS148" s="19" t="s">
        <v>153</v>
      </c>
      <c r="AT148" s="19" t="s">
        <v>699</v>
      </c>
    </row>
    <row r="149" spans="1:46">
      <c r="A149" s="19"/>
      <c r="B149" s="19" t="s">
        <v>703</v>
      </c>
      <c r="C149" s="19" t="s">
        <v>704</v>
      </c>
      <c r="D149" s="19" t="s">
        <v>705</v>
      </c>
      <c r="E149" s="19" t="s">
        <v>205</v>
      </c>
      <c r="N149" s="48"/>
      <c r="O149" s="52"/>
      <c r="P149" s="52"/>
      <c r="Q149" s="52"/>
      <c r="R149" s="52"/>
      <c r="S149" s="56"/>
      <c r="T149" s="48"/>
      <c r="U149" s="48"/>
      <c r="V149" s="48"/>
      <c r="W149" s="45"/>
      <c r="X149" s="45"/>
      <c r="Y149" s="21"/>
      <c r="Z149" s="45"/>
      <c r="AA149" s="21"/>
      <c r="AB149" s="45"/>
      <c r="AC149" s="45"/>
      <c r="AJ149" s="19">
        <v>1.4</v>
      </c>
      <c r="AK149" s="19">
        <v>60</v>
      </c>
      <c r="AL149" s="19" t="s">
        <v>697</v>
      </c>
      <c r="AM149" s="19" t="s">
        <v>706</v>
      </c>
      <c r="AN149" s="19" t="s">
        <v>698</v>
      </c>
      <c r="AO149" s="19" t="s">
        <v>707</v>
      </c>
      <c r="AP149" s="19" t="s">
        <v>282</v>
      </c>
      <c r="AQ149" s="19" t="s">
        <v>690</v>
      </c>
      <c r="AR149" s="19" t="s">
        <v>690</v>
      </c>
      <c r="AS149" s="19" t="s">
        <v>150</v>
      </c>
      <c r="AT149" s="19" t="s">
        <v>699</v>
      </c>
    </row>
    <row r="150" spans="1:46">
      <c r="A150" s="19"/>
      <c r="B150" s="19" t="s">
        <v>708</v>
      </c>
      <c r="C150" s="19" t="s">
        <v>216</v>
      </c>
      <c r="D150" s="19" t="s">
        <v>709</v>
      </c>
      <c r="E150" s="19" t="s">
        <v>205</v>
      </c>
      <c r="N150" s="48">
        <v>2.15</v>
      </c>
      <c r="O150" s="52">
        <v>0.62</v>
      </c>
      <c r="P150" s="52">
        <v>0.55800000000000005</v>
      </c>
      <c r="Q150" s="52">
        <v>0.9</v>
      </c>
      <c r="R150" s="52">
        <v>0.76</v>
      </c>
      <c r="S150" s="56">
        <v>4.7E-2</v>
      </c>
      <c r="T150" s="48">
        <v>8.82</v>
      </c>
      <c r="U150" s="48">
        <v>3.58</v>
      </c>
      <c r="V150" s="48">
        <v>32.299999999999997</v>
      </c>
      <c r="W150" s="45">
        <v>300</v>
      </c>
      <c r="X150" s="45"/>
      <c r="Y150" s="21" t="s">
        <v>393</v>
      </c>
      <c r="Z150" s="45">
        <v>4600</v>
      </c>
      <c r="AA150" s="21">
        <v>30</v>
      </c>
      <c r="AB150" s="45">
        <v>46680</v>
      </c>
      <c r="AC150" s="45"/>
      <c r="AJ150" s="19">
        <v>2.13</v>
      </c>
      <c r="AK150" s="19">
        <v>60.96</v>
      </c>
      <c r="AL150" s="19" t="s">
        <v>702</v>
      </c>
      <c r="AM150" s="19" t="s">
        <v>702</v>
      </c>
      <c r="AN150" s="19" t="s">
        <v>698</v>
      </c>
      <c r="AO150" s="19">
        <v>5</v>
      </c>
      <c r="AP150" s="19" t="s">
        <v>282</v>
      </c>
      <c r="AQ150" s="19" t="s">
        <v>690</v>
      </c>
      <c r="AR150" s="19" t="s">
        <v>690</v>
      </c>
      <c r="AS150" s="19" t="s">
        <v>150</v>
      </c>
      <c r="AT150" s="19" t="s">
        <v>698</v>
      </c>
    </row>
    <row r="151" spans="1:46">
      <c r="A151" s="19"/>
      <c r="B151" s="19" t="s">
        <v>396</v>
      </c>
      <c r="C151" s="19" t="s">
        <v>223</v>
      </c>
      <c r="D151" s="19" t="s">
        <v>710</v>
      </c>
      <c r="E151" s="19" t="s">
        <v>205</v>
      </c>
      <c r="N151" s="48">
        <v>1.91</v>
      </c>
      <c r="O151" s="52">
        <v>0.62</v>
      </c>
      <c r="P151" s="52">
        <v>0.48399999999999999</v>
      </c>
      <c r="Q151" s="52">
        <v>0.78</v>
      </c>
      <c r="R151" s="52">
        <v>0.76400000000000001</v>
      </c>
      <c r="S151" s="56">
        <v>5.0999999999999997E-2</v>
      </c>
      <c r="T151" s="48">
        <v>9.11</v>
      </c>
      <c r="U151" s="48">
        <v>3.52</v>
      </c>
      <c r="V151" s="48">
        <v>29.2</v>
      </c>
      <c r="W151" s="45">
        <v>232</v>
      </c>
      <c r="X151" s="45"/>
      <c r="Y151" s="21" t="s">
        <v>485</v>
      </c>
      <c r="Z151" s="45">
        <v>6915</v>
      </c>
      <c r="AA151" s="21">
        <v>33</v>
      </c>
      <c r="AB151" s="45">
        <v>44826</v>
      </c>
      <c r="AC151" s="45"/>
      <c r="AJ151" s="19">
        <v>1.8</v>
      </c>
      <c r="AK151" s="19">
        <v>52</v>
      </c>
      <c r="AL151" s="19" t="s">
        <v>697</v>
      </c>
      <c r="AM151" s="19" t="s">
        <v>706</v>
      </c>
      <c r="AN151" s="19" t="s">
        <v>698</v>
      </c>
      <c r="AO151" s="19">
        <v>7</v>
      </c>
      <c r="AP151" s="19" t="s">
        <v>691</v>
      </c>
      <c r="AQ151" s="19" t="s">
        <v>690</v>
      </c>
      <c r="AR151" s="19" t="s">
        <v>698</v>
      </c>
      <c r="AS151" s="19" t="s">
        <v>153</v>
      </c>
      <c r="AT151" s="19" t="s">
        <v>699</v>
      </c>
    </row>
    <row r="152" spans="1:46">
      <c r="A152" s="19"/>
    </row>
    <row r="153" spans="1:46">
      <c r="A153" s="6" t="s">
        <v>250</v>
      </c>
      <c r="C153" s="6" t="s">
        <v>147</v>
      </c>
      <c r="D153" s="6" t="s">
        <v>148</v>
      </c>
      <c r="E153" s="6" t="s">
        <v>149</v>
      </c>
      <c r="F153" s="19" t="s">
        <v>711</v>
      </c>
      <c r="G153" s="19" t="s">
        <v>712</v>
      </c>
      <c r="H153" s="19" t="s">
        <v>713</v>
      </c>
      <c r="I153" s="19" t="s">
        <v>714</v>
      </c>
      <c r="J153" s="19" t="s">
        <v>715</v>
      </c>
      <c r="K153" s="19" t="s">
        <v>716</v>
      </c>
      <c r="L153" s="19" t="s">
        <v>717</v>
      </c>
      <c r="M153" s="19" t="s">
        <v>718</v>
      </c>
      <c r="N153" s="19" t="s">
        <v>719</v>
      </c>
      <c r="O153" s="19" t="s">
        <v>179</v>
      </c>
      <c r="P153" s="19" t="s">
        <v>720</v>
      </c>
      <c r="Q153" s="19" t="s">
        <v>721</v>
      </c>
    </row>
    <row r="154" spans="1:46">
      <c r="A154" s="19"/>
      <c r="B154" s="19"/>
      <c r="C154" s="19"/>
      <c r="D154" s="19"/>
      <c r="E154" s="19"/>
      <c r="F154" s="19" t="s">
        <v>722</v>
      </c>
      <c r="G154" s="19" t="s">
        <v>722</v>
      </c>
      <c r="L154" s="19" t="s">
        <v>723</v>
      </c>
      <c r="M154" s="19" t="s">
        <v>724</v>
      </c>
      <c r="N154" s="19" t="s">
        <v>725</v>
      </c>
    </row>
    <row r="155" spans="1:46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 t="s">
        <v>722</v>
      </c>
    </row>
    <row r="156" spans="1:46">
      <c r="A156" s="19" t="s">
        <v>726</v>
      </c>
      <c r="B156" s="19" t="s">
        <v>18</v>
      </c>
      <c r="C156" s="19" t="s">
        <v>311</v>
      </c>
      <c r="D156" s="19" t="s">
        <v>727</v>
      </c>
      <c r="E156" s="19" t="s">
        <v>728</v>
      </c>
      <c r="F156" s="21">
        <v>962.80790693334802</v>
      </c>
      <c r="G156" s="21">
        <v>15043.8735458336</v>
      </c>
      <c r="H156" s="19">
        <v>6.4</v>
      </c>
      <c r="I156" s="19">
        <v>13.7</v>
      </c>
      <c r="J156" s="19">
        <v>175</v>
      </c>
      <c r="K156" s="19">
        <v>116</v>
      </c>
      <c r="L156" s="52">
        <v>0.12721731098029601</v>
      </c>
      <c r="M156" s="48">
        <v>2.9078273591806898</v>
      </c>
      <c r="N156" s="48">
        <v>17.2652064901831</v>
      </c>
      <c r="O156" s="48">
        <v>10.6014425816914</v>
      </c>
      <c r="P156" s="48">
        <v>5.1492721111072397</v>
      </c>
      <c r="Q156" s="48">
        <v>1.51449179738448</v>
      </c>
    </row>
    <row r="157" spans="1:46">
      <c r="A157" s="19"/>
      <c r="B157" s="19" t="s">
        <v>693</v>
      </c>
      <c r="C157" s="19" t="s">
        <v>694</v>
      </c>
      <c r="D157" s="19" t="s">
        <v>729</v>
      </c>
      <c r="E157" s="19" t="s">
        <v>728</v>
      </c>
      <c r="F157" s="21">
        <v>1274.3045827059</v>
      </c>
      <c r="G157" s="21">
        <v>17947.9518690972</v>
      </c>
      <c r="H157" s="19">
        <v>7.1</v>
      </c>
      <c r="I157" s="19">
        <v>11.6</v>
      </c>
      <c r="J157" s="19">
        <v>225</v>
      </c>
      <c r="K157" s="19">
        <v>90</v>
      </c>
      <c r="L157" s="52">
        <v>0.15750714692798601</v>
      </c>
      <c r="M157" s="48">
        <v>2.9078273591806898</v>
      </c>
      <c r="N157" s="48">
        <v>23.323173679720998</v>
      </c>
      <c r="O157" s="48">
        <v>15.054048466001699</v>
      </c>
      <c r="P157" s="48">
        <v>5.7550688300610302</v>
      </c>
      <c r="Q157" s="48">
        <v>2.5140563836582399</v>
      </c>
    </row>
    <row r="158" spans="1:46">
      <c r="A158" s="19" t="s">
        <v>730</v>
      </c>
      <c r="B158" s="19" t="s">
        <v>225</v>
      </c>
      <c r="C158" s="19" t="s">
        <v>226</v>
      </c>
      <c r="D158" s="19" t="s">
        <v>731</v>
      </c>
      <c r="E158" s="19" t="s">
        <v>728</v>
      </c>
      <c r="F158" s="21">
        <v>538.03971269804697</v>
      </c>
      <c r="G158" s="21">
        <v>16304.233718122699</v>
      </c>
      <c r="H158" s="19">
        <v>3.3</v>
      </c>
      <c r="I158" s="19">
        <v>9.8000000000000007</v>
      </c>
      <c r="J158" s="19">
        <v>250</v>
      </c>
      <c r="K158" s="19" t="s">
        <v>732</v>
      </c>
      <c r="L158" s="52">
        <v>8.7840524248299898E-2</v>
      </c>
      <c r="M158" s="48">
        <v>2.5786393562545702</v>
      </c>
      <c r="N158" s="48">
        <v>19.0825966470445</v>
      </c>
      <c r="O158" s="48">
        <v>11.176949464697501</v>
      </c>
      <c r="P158" s="48">
        <v>5.4218806346364401</v>
      </c>
      <c r="Q158" s="48">
        <v>2.4837665477105499</v>
      </c>
    </row>
    <row r="159" spans="1:46">
      <c r="A159" s="19" t="s">
        <v>703</v>
      </c>
      <c r="B159" s="19" t="s">
        <v>733</v>
      </c>
      <c r="C159" s="19" t="s">
        <v>704</v>
      </c>
      <c r="D159" s="19" t="s">
        <v>734</v>
      </c>
      <c r="E159" s="19" t="s">
        <v>728</v>
      </c>
      <c r="F159" s="21">
        <v>792.90062923922801</v>
      </c>
      <c r="G159" s="21">
        <v>14683.344985911601</v>
      </c>
      <c r="H159" s="19">
        <v>5.4</v>
      </c>
      <c r="I159" s="19">
        <v>10.4</v>
      </c>
      <c r="J159" s="19">
        <v>175</v>
      </c>
      <c r="K159" s="19">
        <v>90</v>
      </c>
      <c r="L159" s="52">
        <v>0.106014425816914</v>
      </c>
      <c r="M159" s="48">
        <v>2.6792245793708802</v>
      </c>
      <c r="N159" s="48">
        <v>17.2652064901831</v>
      </c>
      <c r="O159" s="48">
        <v>12.115934379075799</v>
      </c>
      <c r="P159" s="48">
        <v>2.9078242509782002</v>
      </c>
      <c r="Q159" s="48">
        <v>2.2414478601290302</v>
      </c>
    </row>
    <row r="160" spans="1:46">
      <c r="A160" s="19"/>
      <c r="B160" s="19" t="s">
        <v>228</v>
      </c>
      <c r="C160" s="19" t="s">
        <v>398</v>
      </c>
      <c r="D160" s="19" t="s">
        <v>735</v>
      </c>
      <c r="E160" s="19" t="s">
        <v>728</v>
      </c>
      <c r="F160" s="21">
        <v>1274.3045827059</v>
      </c>
      <c r="G160" s="21">
        <v>14991.8186200694</v>
      </c>
      <c r="H160" s="19">
        <v>8.5</v>
      </c>
      <c r="I160" s="19">
        <v>8.4</v>
      </c>
      <c r="J160" s="19">
        <v>204</v>
      </c>
      <c r="K160" s="19">
        <v>127</v>
      </c>
      <c r="L160" s="52">
        <v>0.11510137660122099</v>
      </c>
      <c r="M160" s="48">
        <v>2.6792245793708802</v>
      </c>
      <c r="N160" s="48">
        <v>17.113757310444601</v>
      </c>
      <c r="O160" s="48">
        <v>11.661586839860499</v>
      </c>
      <c r="P160" s="48">
        <v>3.6650701496704401</v>
      </c>
      <c r="Q160" s="48">
        <v>1.78710032091369</v>
      </c>
    </row>
    <row r="161" spans="1:49">
      <c r="A161" s="19"/>
      <c r="B161" s="19" t="s">
        <v>220</v>
      </c>
      <c r="C161" s="19" t="s">
        <v>216</v>
      </c>
      <c r="D161" s="19" t="s">
        <v>736</v>
      </c>
      <c r="E161" s="19" t="s">
        <v>728</v>
      </c>
      <c r="F161" s="21">
        <v>679.62911077648096</v>
      </c>
      <c r="G161" s="21">
        <v>11923.317732920699</v>
      </c>
      <c r="H161" s="19">
        <v>5.7</v>
      </c>
      <c r="I161" s="19">
        <v>10.9</v>
      </c>
      <c r="J161" s="19">
        <v>287</v>
      </c>
      <c r="K161" s="19">
        <v>84</v>
      </c>
      <c r="L161" s="52">
        <v>8.4811540653530901E-2</v>
      </c>
      <c r="M161" s="48">
        <v>2.4902462813947799</v>
      </c>
      <c r="N161" s="48">
        <v>11.9644851993374</v>
      </c>
      <c r="O161" s="48">
        <v>7.5118793150270298</v>
      </c>
      <c r="P161" s="48">
        <v>2.6352157274489998</v>
      </c>
      <c r="Q161" s="48">
        <v>1.8173901568613799</v>
      </c>
    </row>
    <row r="162" spans="1:49">
      <c r="A162" s="19"/>
      <c r="B162" s="19" t="s">
        <v>396</v>
      </c>
      <c r="C162" s="19" t="s">
        <v>223</v>
      </c>
      <c r="D162" s="19" t="s">
        <v>737</v>
      </c>
      <c r="E162" s="19" t="s">
        <v>728</v>
      </c>
      <c r="F162" s="21">
        <v>594.67547192942095</v>
      </c>
      <c r="G162" s="21">
        <v>11660.303371165101</v>
      </c>
      <c r="H162" s="19">
        <v>5.0999999999999996</v>
      </c>
      <c r="I162" s="19">
        <v>7.8</v>
      </c>
      <c r="J162" s="19">
        <v>225</v>
      </c>
      <c r="K162" s="19">
        <v>123</v>
      </c>
      <c r="L162" s="52">
        <v>6.9666622679686097E-2</v>
      </c>
      <c r="M162" s="48">
        <v>2.5268227261643501</v>
      </c>
      <c r="N162" s="48">
        <v>13.630426176460301</v>
      </c>
      <c r="O162" s="48">
        <v>9.4504288156791603</v>
      </c>
      <c r="P162" s="48">
        <v>2.7563750712397601</v>
      </c>
      <c r="Q162" s="48">
        <v>1.4236222895414099</v>
      </c>
    </row>
    <row r="163" spans="1:49">
      <c r="A163" s="19"/>
    </row>
    <row r="164" spans="1:49">
      <c r="A164" s="19" t="s">
        <v>250</v>
      </c>
      <c r="B164" s="19" t="s">
        <v>146</v>
      </c>
      <c r="C164" s="19" t="s">
        <v>147</v>
      </c>
      <c r="D164" s="6" t="s">
        <v>148</v>
      </c>
      <c r="E164" s="19" t="s">
        <v>149</v>
      </c>
      <c r="F164" s="19" t="s">
        <v>358</v>
      </c>
      <c r="G164" s="19" t="s">
        <v>327</v>
      </c>
      <c r="H164" s="19" t="s">
        <v>360</v>
      </c>
      <c r="I164" s="19" t="s">
        <v>153</v>
      </c>
      <c r="J164" s="19" t="s">
        <v>328</v>
      </c>
      <c r="K164" s="19" t="s">
        <v>555</v>
      </c>
      <c r="L164" s="19" t="s">
        <v>738</v>
      </c>
      <c r="M164" s="19" t="s">
        <v>383</v>
      </c>
      <c r="N164" s="19" t="s">
        <v>253</v>
      </c>
      <c r="O164" s="19" t="s">
        <v>739</v>
      </c>
      <c r="P164" s="19" t="s">
        <v>740</v>
      </c>
      <c r="Q164" s="19" t="s">
        <v>431</v>
      </c>
      <c r="R164" s="19" t="s">
        <v>741</v>
      </c>
      <c r="S164" s="19" t="s">
        <v>742</v>
      </c>
      <c r="T164" s="19" t="s">
        <v>743</v>
      </c>
      <c r="U164" s="19" t="s">
        <v>744</v>
      </c>
      <c r="V164" s="19" t="s">
        <v>745</v>
      </c>
      <c r="W164" s="19" t="s">
        <v>746</v>
      </c>
      <c r="X164" s="19" t="s">
        <v>747</v>
      </c>
      <c r="Y164" s="19" t="s">
        <v>748</v>
      </c>
      <c r="Z164" s="19" t="s">
        <v>749</v>
      </c>
      <c r="AA164" s="19" t="s">
        <v>750</v>
      </c>
      <c r="AB164" s="19" t="s">
        <v>379</v>
      </c>
      <c r="AC164" s="19" t="s">
        <v>751</v>
      </c>
      <c r="AD164" s="19" t="s">
        <v>752</v>
      </c>
      <c r="AE164" s="19" t="s">
        <v>753</v>
      </c>
      <c r="AF164" s="19" t="s">
        <v>754</v>
      </c>
      <c r="AG164" s="19" t="s">
        <v>755</v>
      </c>
      <c r="AH164" s="19" t="s">
        <v>756</v>
      </c>
      <c r="AI164" s="19" t="s">
        <v>714</v>
      </c>
      <c r="AJ164" s="19" t="s">
        <v>757</v>
      </c>
      <c r="AK164" s="19" t="s">
        <v>758</v>
      </c>
      <c r="AL164" s="19" t="s">
        <v>759</v>
      </c>
      <c r="AM164" s="19" t="s">
        <v>760</v>
      </c>
      <c r="AN164" s="19" t="s">
        <v>761</v>
      </c>
      <c r="AO164" s="19" t="s">
        <v>762</v>
      </c>
      <c r="AP164" s="19" t="s">
        <v>763</v>
      </c>
      <c r="AQ164" s="19" t="s">
        <v>764</v>
      </c>
      <c r="AR164" s="19" t="s">
        <v>765</v>
      </c>
      <c r="AS164" s="19" t="s">
        <v>766</v>
      </c>
      <c r="AT164" s="19" t="s">
        <v>767</v>
      </c>
      <c r="AU164" s="19" t="s">
        <v>768</v>
      </c>
      <c r="AV164" s="19" t="s">
        <v>769</v>
      </c>
      <c r="AW164" s="19" t="s">
        <v>770</v>
      </c>
    </row>
    <row r="165" spans="1:49">
      <c r="A165" s="19"/>
      <c r="B165" s="19"/>
      <c r="C165" s="19"/>
      <c r="D165" s="19"/>
      <c r="E165" s="19"/>
      <c r="F165" s="19"/>
      <c r="G165" s="19"/>
      <c r="H165" s="19"/>
      <c r="I165" s="19"/>
      <c r="J165" s="19" t="s">
        <v>771</v>
      </c>
    </row>
    <row r="166" spans="1:49">
      <c r="A166" s="19"/>
    </row>
    <row r="167" spans="1:49" s="4" customFormat="1">
      <c r="A167" s="22" t="s">
        <v>726</v>
      </c>
      <c r="B167" s="22" t="s">
        <v>772</v>
      </c>
      <c r="C167" s="22" t="s">
        <v>311</v>
      </c>
      <c r="D167" s="22" t="s">
        <v>773</v>
      </c>
      <c r="E167" s="22" t="s">
        <v>205</v>
      </c>
      <c r="F167" s="22">
        <v>135.69999999999999</v>
      </c>
      <c r="G167" s="22">
        <v>124.4</v>
      </c>
      <c r="H167" s="22">
        <v>13.8</v>
      </c>
      <c r="I167" s="22">
        <v>4.4000000000000004</v>
      </c>
      <c r="J167" s="22">
        <v>3782</v>
      </c>
      <c r="K167" s="22" t="s">
        <v>404</v>
      </c>
      <c r="L167" s="22">
        <v>30574</v>
      </c>
      <c r="M167" s="22">
        <v>30</v>
      </c>
      <c r="N167" s="22">
        <v>185</v>
      </c>
      <c r="O167" s="58">
        <v>13.677199999999999</v>
      </c>
      <c r="P167" s="58">
        <v>5.3155200000000002</v>
      </c>
      <c r="Q167" s="23">
        <v>2830.806</v>
      </c>
      <c r="R167" s="23">
        <f t="shared" ref="R167:U174" si="12">W167*$Q167/100</f>
        <v>1337.5558350000001</v>
      </c>
      <c r="S167" s="23">
        <f t="shared" si="12"/>
        <v>484.77552750000001</v>
      </c>
      <c r="T167" s="23">
        <f t="shared" si="12"/>
        <v>767.85612749999996</v>
      </c>
      <c r="U167" s="23">
        <f t="shared" si="12"/>
        <v>240.61850999999999</v>
      </c>
      <c r="V167" s="23">
        <v>3784.4940867279902</v>
      </c>
      <c r="W167" s="58">
        <v>47.25</v>
      </c>
      <c r="X167" s="58">
        <v>17.125</v>
      </c>
      <c r="Y167" s="58">
        <v>27.125</v>
      </c>
      <c r="Z167" s="58">
        <v>8.5</v>
      </c>
      <c r="AA167" s="23">
        <v>14891.1740890688</v>
      </c>
      <c r="AB167" s="23">
        <f t="shared" ref="AB167:AH167" si="13">AI167*$AA167/100</f>
        <v>2829.3230769230722</v>
      </c>
      <c r="AC167" s="23">
        <f t="shared" si="13"/>
        <v>3220.2163967611282</v>
      </c>
      <c r="AD167" s="23">
        <f t="shared" si="13"/>
        <v>3685.565587044528</v>
      </c>
      <c r="AE167" s="23">
        <f t="shared" si="13"/>
        <v>632.87489878542544</v>
      </c>
      <c r="AF167" s="23">
        <f t="shared" si="13"/>
        <v>1358.819635627528</v>
      </c>
      <c r="AG167" s="23">
        <f t="shared" si="13"/>
        <v>1172.6799595141681</v>
      </c>
      <c r="AH167" s="23">
        <f t="shared" si="13"/>
        <v>1991.694534412952</v>
      </c>
      <c r="AI167" s="58">
        <v>19</v>
      </c>
      <c r="AJ167" s="58">
        <v>21.625</v>
      </c>
      <c r="AK167" s="58">
        <v>24.75</v>
      </c>
      <c r="AL167" s="58">
        <v>4.2500000000000098</v>
      </c>
      <c r="AM167" s="58">
        <v>9.125</v>
      </c>
      <c r="AN167" s="58">
        <v>7.875</v>
      </c>
      <c r="AO167" s="58">
        <v>13.375</v>
      </c>
      <c r="AP167" s="22">
        <v>5.3</v>
      </c>
      <c r="AQ167" s="58">
        <v>25.443037974683499</v>
      </c>
      <c r="AR167" s="58">
        <v>39.240506329113899</v>
      </c>
      <c r="AS167" s="58">
        <v>5.0632911392405102</v>
      </c>
      <c r="AT167" s="58">
        <v>3.16455696202532</v>
      </c>
      <c r="AU167" s="58">
        <v>19.367088607594901</v>
      </c>
      <c r="AV167" s="58">
        <v>7.7215189873417698</v>
      </c>
      <c r="AW167" s="22">
        <v>8.9</v>
      </c>
    </row>
    <row r="168" spans="1:49" s="4" customFormat="1">
      <c r="A168" s="22"/>
      <c r="B168" s="22" t="s">
        <v>693</v>
      </c>
      <c r="C168" s="22" t="s">
        <v>694</v>
      </c>
      <c r="D168" s="22" t="s">
        <v>774</v>
      </c>
      <c r="E168" s="22" t="s">
        <v>351</v>
      </c>
      <c r="F168" s="22">
        <v>134</v>
      </c>
      <c r="G168" s="22">
        <v>125</v>
      </c>
      <c r="H168" s="22">
        <v>14.7</v>
      </c>
      <c r="I168" s="22">
        <v>4.33</v>
      </c>
      <c r="J168" s="22">
        <v>3998</v>
      </c>
      <c r="K168" s="22" t="s">
        <v>404</v>
      </c>
      <c r="L168" s="22">
        <v>37320</v>
      </c>
      <c r="M168" s="22">
        <v>29.2</v>
      </c>
      <c r="N168" s="22">
        <v>226</v>
      </c>
      <c r="O168" s="58">
        <v>6.3974000000000002</v>
      </c>
      <c r="P168" s="58">
        <v>6.2375999999999996</v>
      </c>
      <c r="Q168" s="23">
        <v>2997.3240000000001</v>
      </c>
      <c r="R168" s="23">
        <f t="shared" si="12"/>
        <v>1345.0491450000002</v>
      </c>
      <c r="S168" s="23">
        <f t="shared" si="12"/>
        <v>674.39790000000005</v>
      </c>
      <c r="T168" s="23">
        <f t="shared" si="12"/>
        <v>828.01075500000002</v>
      </c>
      <c r="U168" s="23">
        <f t="shared" si="12"/>
        <v>149.86620000000002</v>
      </c>
      <c r="V168" s="23">
        <v>3984.2312746386301</v>
      </c>
      <c r="W168" s="58">
        <v>44.875</v>
      </c>
      <c r="X168" s="58">
        <v>22.5</v>
      </c>
      <c r="Y168" s="58">
        <v>27.625</v>
      </c>
      <c r="Z168" s="58">
        <v>5</v>
      </c>
      <c r="AA168" s="23">
        <v>17665.020242915001</v>
      </c>
      <c r="AB168" s="23">
        <f t="shared" ref="AB168:AH168" si="14">AI168*$AA168/100</f>
        <v>2936.8096153846191</v>
      </c>
      <c r="AC168" s="23">
        <f t="shared" si="14"/>
        <v>5630.7252024291574</v>
      </c>
      <c r="AD168" s="23">
        <f t="shared" si="14"/>
        <v>4747.4741902834066</v>
      </c>
      <c r="AE168" s="23">
        <f t="shared" si="14"/>
        <v>817.00718623481885</v>
      </c>
      <c r="AF168" s="23">
        <f t="shared" si="14"/>
        <v>772.84463562753126</v>
      </c>
      <c r="AG168" s="23">
        <f t="shared" si="14"/>
        <v>529.95060728745182</v>
      </c>
      <c r="AH168" s="23">
        <f t="shared" si="14"/>
        <v>2230.2088056680191</v>
      </c>
      <c r="AI168" s="58">
        <v>16.625</v>
      </c>
      <c r="AJ168" s="58">
        <v>31.875</v>
      </c>
      <c r="AK168" s="58">
        <v>26.875</v>
      </c>
      <c r="AL168" s="58">
        <v>4.625</v>
      </c>
      <c r="AM168" s="58">
        <v>4.375</v>
      </c>
      <c r="AN168" s="58">
        <v>3.0000000000000102</v>
      </c>
      <c r="AO168" s="58">
        <v>12.625</v>
      </c>
      <c r="AP168" s="22">
        <v>5.9</v>
      </c>
      <c r="AQ168" s="58">
        <v>30.8860759493671</v>
      </c>
      <c r="AR168" s="58">
        <v>32.151898734177202</v>
      </c>
      <c r="AS168" s="58">
        <v>7.7215189873417698</v>
      </c>
      <c r="AT168" s="58">
        <v>3.6708860759493702</v>
      </c>
      <c r="AU168" s="58">
        <v>17.848101265822802</v>
      </c>
      <c r="AV168" s="58">
        <v>7.7215189873417698</v>
      </c>
      <c r="AW168" s="22">
        <v>10.9</v>
      </c>
    </row>
    <row r="169" spans="1:49" s="4" customFormat="1">
      <c r="A169" s="22" t="s">
        <v>730</v>
      </c>
      <c r="B169" s="22" t="s">
        <v>225</v>
      </c>
      <c r="C169" s="22" t="s">
        <v>226</v>
      </c>
      <c r="D169" s="22" t="s">
        <v>775</v>
      </c>
      <c r="E169" s="22" t="s">
        <v>205</v>
      </c>
      <c r="F169" s="22">
        <v>139.19999999999999</v>
      </c>
      <c r="G169" s="22">
        <v>129</v>
      </c>
      <c r="H169" s="22">
        <v>14</v>
      </c>
      <c r="I169" s="22">
        <v>4.0999999999999996</v>
      </c>
      <c r="J169" s="22">
        <v>4141</v>
      </c>
      <c r="K169" s="22" t="s">
        <v>485</v>
      </c>
      <c r="L169" s="22">
        <v>49990</v>
      </c>
      <c r="M169" s="22">
        <v>30</v>
      </c>
      <c r="N169" s="22">
        <v>250</v>
      </c>
      <c r="O169" s="58">
        <v>14.449299999999999</v>
      </c>
      <c r="P169" s="58">
        <v>6.2375999999999996</v>
      </c>
      <c r="Q169" s="23">
        <v>3052.83</v>
      </c>
      <c r="R169" s="23">
        <f t="shared" si="12"/>
        <v>1469.1744375000001</v>
      </c>
      <c r="S169" s="23">
        <f t="shared" si="12"/>
        <v>705.96693749999986</v>
      </c>
      <c r="T169" s="23">
        <f t="shared" si="12"/>
        <v>549.50940000000003</v>
      </c>
      <c r="U169" s="23">
        <f t="shared" si="12"/>
        <v>328.17922500000003</v>
      </c>
      <c r="V169" s="23">
        <v>4141.9185282523003</v>
      </c>
      <c r="W169" s="58">
        <v>48.125</v>
      </c>
      <c r="X169" s="58">
        <v>23.125</v>
      </c>
      <c r="Y169" s="58">
        <v>18</v>
      </c>
      <c r="Z169" s="58">
        <v>10.75</v>
      </c>
      <c r="AA169" s="23">
        <v>15475.1417004049</v>
      </c>
      <c r="AB169" s="23">
        <f t="shared" ref="AB169:AH169" si="15">AI169*$AA169/100</f>
        <v>2901.5890688259187</v>
      </c>
      <c r="AC169" s="23">
        <f t="shared" si="15"/>
        <v>4507.1350202429276</v>
      </c>
      <c r="AD169" s="23">
        <f t="shared" si="15"/>
        <v>4178.288259109323</v>
      </c>
      <c r="AE169" s="23">
        <f t="shared" si="15"/>
        <v>599.66174089068988</v>
      </c>
      <c r="AF169" s="23">
        <f t="shared" si="15"/>
        <v>386.87854251012249</v>
      </c>
      <c r="AG169" s="23">
        <f t="shared" si="15"/>
        <v>1160.6356275303674</v>
      </c>
      <c r="AH169" s="23">
        <f t="shared" si="15"/>
        <v>1740.9534412955513</v>
      </c>
      <c r="AI169" s="58">
        <v>18.75</v>
      </c>
      <c r="AJ169" s="58">
        <v>29.125</v>
      </c>
      <c r="AK169" s="58">
        <v>27</v>
      </c>
      <c r="AL169" s="58">
        <v>3.875</v>
      </c>
      <c r="AM169" s="58">
        <v>2.5</v>
      </c>
      <c r="AN169" s="58">
        <v>7.5</v>
      </c>
      <c r="AO169" s="58">
        <v>11.25</v>
      </c>
      <c r="AP169" s="22">
        <v>5</v>
      </c>
      <c r="AQ169" s="58">
        <v>23.4177215189873</v>
      </c>
      <c r="AR169" s="58">
        <v>38.860759493670898</v>
      </c>
      <c r="AS169" s="58">
        <v>5.9493670886075902</v>
      </c>
      <c r="AT169" s="58">
        <v>5.3164556962025404</v>
      </c>
      <c r="AU169" s="58">
        <v>14.9367088607595</v>
      </c>
      <c r="AV169" s="58">
        <v>11.5189873417721</v>
      </c>
      <c r="AW169" s="22">
        <v>6</v>
      </c>
    </row>
    <row r="170" spans="1:49" s="4" customFormat="1">
      <c r="A170" s="22" t="s">
        <v>228</v>
      </c>
      <c r="C170" s="22" t="s">
        <v>152</v>
      </c>
      <c r="D170" s="22" t="s">
        <v>776</v>
      </c>
      <c r="E170" s="22" t="s">
        <v>205</v>
      </c>
      <c r="F170" s="22">
        <v>130.5</v>
      </c>
      <c r="G170" s="22">
        <v>121.8</v>
      </c>
      <c r="H170" s="22">
        <v>14.4</v>
      </c>
      <c r="I170" s="22">
        <v>4.2699999999999996</v>
      </c>
      <c r="J170" s="22">
        <v>3601</v>
      </c>
      <c r="K170" s="22" t="s">
        <v>393</v>
      </c>
      <c r="L170" s="22">
        <v>43402</v>
      </c>
      <c r="M170" s="22">
        <v>30.3</v>
      </c>
      <c r="N170" s="22">
        <v>200</v>
      </c>
      <c r="O170" s="58">
        <v>8.0518999999999998</v>
      </c>
      <c r="P170" s="58">
        <v>5.4240000000000004</v>
      </c>
      <c r="Q170" s="23">
        <v>2747.547</v>
      </c>
      <c r="R170" s="23">
        <f t="shared" si="12"/>
        <v>1229.5272825</v>
      </c>
      <c r="S170" s="23">
        <f t="shared" si="12"/>
        <v>590.72260500000004</v>
      </c>
      <c r="T170" s="23">
        <f t="shared" si="12"/>
        <v>803.65749749999998</v>
      </c>
      <c r="U170" s="23">
        <f t="shared" si="12"/>
        <v>123.63961499999974</v>
      </c>
      <c r="V170" s="23">
        <v>3584.7568988173498</v>
      </c>
      <c r="W170" s="58">
        <v>44.75</v>
      </c>
      <c r="X170" s="58">
        <v>21.5</v>
      </c>
      <c r="Y170" s="58">
        <v>29.25</v>
      </c>
      <c r="Z170" s="58">
        <v>4.4999999999999902</v>
      </c>
      <c r="AA170" s="23">
        <v>14599.1902834008</v>
      </c>
      <c r="AB170" s="23">
        <f t="shared" ref="AB170:AH170" si="16">AI170*$AA170/100</f>
        <v>2627.8542510121438</v>
      </c>
      <c r="AC170" s="23">
        <f t="shared" si="16"/>
        <v>3065.829959514168</v>
      </c>
      <c r="AD170" s="23">
        <f t="shared" si="16"/>
        <v>4398.0060728744902</v>
      </c>
      <c r="AE170" s="23">
        <f t="shared" si="16"/>
        <v>602.21659919028434</v>
      </c>
      <c r="AF170" s="23">
        <f t="shared" si="16"/>
        <v>1277.4291497975685</v>
      </c>
      <c r="AG170" s="23">
        <f t="shared" si="16"/>
        <v>1021.9433198380574</v>
      </c>
      <c r="AH170" s="23">
        <f t="shared" si="16"/>
        <v>1605.9109311740881</v>
      </c>
      <c r="AI170" s="58">
        <v>18</v>
      </c>
      <c r="AJ170" s="58">
        <v>21</v>
      </c>
      <c r="AK170" s="58">
        <v>30.125</v>
      </c>
      <c r="AL170" s="58">
        <v>4.1250000000000098</v>
      </c>
      <c r="AM170" s="58">
        <v>8.7499999999999893</v>
      </c>
      <c r="AN170" s="58">
        <v>7.0000000000000098</v>
      </c>
      <c r="AO170" s="58">
        <v>11</v>
      </c>
      <c r="AP170" s="22">
        <v>5.4</v>
      </c>
      <c r="AQ170" s="58">
        <v>17.848101265822802</v>
      </c>
      <c r="AR170" s="58">
        <v>30.126582278480999</v>
      </c>
      <c r="AS170" s="58">
        <v>5.9493670886076</v>
      </c>
      <c r="AT170" s="58">
        <v>10.379746835442999</v>
      </c>
      <c r="AU170" s="58">
        <v>18.4810126582279</v>
      </c>
      <c r="AV170" s="58">
        <v>17.2151898734177</v>
      </c>
      <c r="AW170" s="22">
        <v>7.6</v>
      </c>
    </row>
    <row r="171" spans="1:49" s="4" customFormat="1">
      <c r="A171" s="22" t="s">
        <v>703</v>
      </c>
      <c r="B171" s="22" t="s">
        <v>777</v>
      </c>
      <c r="C171" s="22" t="s">
        <v>704</v>
      </c>
      <c r="D171" s="22" t="s">
        <v>778</v>
      </c>
      <c r="E171" s="22" t="s">
        <v>205</v>
      </c>
      <c r="F171" s="22">
        <v>130.5</v>
      </c>
      <c r="G171" s="22">
        <v>121.8</v>
      </c>
      <c r="H171" s="22">
        <v>14.4</v>
      </c>
      <c r="I171" s="22">
        <v>4.2699999999999996</v>
      </c>
      <c r="J171" s="22">
        <v>3445</v>
      </c>
      <c r="K171" s="22" t="s">
        <v>485</v>
      </c>
      <c r="L171" s="22">
        <v>45012</v>
      </c>
      <c r="M171" s="22">
        <v>30.5</v>
      </c>
      <c r="N171" s="22">
        <v>225</v>
      </c>
      <c r="O171" s="58">
        <v>6.9489000000000001</v>
      </c>
      <c r="P171" s="58">
        <v>5.4240000000000004</v>
      </c>
      <c r="Q171" s="23">
        <v>2553.2759999999998</v>
      </c>
      <c r="R171" s="23">
        <f t="shared" si="12"/>
        <v>1078.75911</v>
      </c>
      <c r="S171" s="23">
        <f t="shared" si="12"/>
        <v>654.27697499999999</v>
      </c>
      <c r="T171" s="23">
        <f t="shared" si="12"/>
        <v>667.04335500000002</v>
      </c>
      <c r="U171" s="23">
        <f t="shared" si="12"/>
        <v>153.19655999999998</v>
      </c>
      <c r="V171" s="23">
        <v>3469.1195795006602</v>
      </c>
      <c r="W171" s="58">
        <v>42.25</v>
      </c>
      <c r="X171" s="58">
        <v>25.625</v>
      </c>
      <c r="Y171" s="58">
        <v>26.125</v>
      </c>
      <c r="Z171" s="58">
        <v>6</v>
      </c>
      <c r="AA171" s="23">
        <v>14745.182186234801</v>
      </c>
      <c r="AB171" s="23">
        <f t="shared" ref="AB171:AH171" si="17">AI171*$AA171/100</f>
        <v>2783.1531376518187</v>
      </c>
      <c r="AC171" s="23">
        <f t="shared" si="17"/>
        <v>3280.803036437243</v>
      </c>
      <c r="AD171" s="23">
        <f t="shared" si="17"/>
        <v>4958.067510121452</v>
      </c>
      <c r="AE171" s="23">
        <f t="shared" si="17"/>
        <v>423.92398785425206</v>
      </c>
      <c r="AF171" s="23">
        <f t="shared" si="17"/>
        <v>903.14240890688143</v>
      </c>
      <c r="AG171" s="23">
        <f t="shared" si="17"/>
        <v>940.00536437246717</v>
      </c>
      <c r="AH171" s="23">
        <f t="shared" si="17"/>
        <v>1456.0867408906881</v>
      </c>
      <c r="AI171" s="58">
        <v>18.875</v>
      </c>
      <c r="AJ171" s="58">
        <v>22.25</v>
      </c>
      <c r="AK171" s="58">
        <v>33.625</v>
      </c>
      <c r="AL171" s="58">
        <v>2.8750000000000102</v>
      </c>
      <c r="AM171" s="58">
        <v>6.125</v>
      </c>
      <c r="AN171" s="58">
        <v>6.3749999999999902</v>
      </c>
      <c r="AO171" s="58">
        <v>9.8750000000000107</v>
      </c>
      <c r="AP171" s="22">
        <v>5.6</v>
      </c>
      <c r="AQ171" s="58">
        <v>16.7088607594937</v>
      </c>
      <c r="AR171" s="58">
        <v>34.430379746835399</v>
      </c>
      <c r="AS171" s="58">
        <v>3.16455696202532</v>
      </c>
      <c r="AT171" s="58">
        <v>13.7974683544304</v>
      </c>
      <c r="AU171" s="58">
        <v>17.468354430379701</v>
      </c>
      <c r="AV171" s="58">
        <v>14.4303797468355</v>
      </c>
      <c r="AW171" s="22">
        <v>7.4</v>
      </c>
    </row>
    <row r="172" spans="1:49" s="4" customFormat="1">
      <c r="A172" s="22" t="s">
        <v>779</v>
      </c>
      <c r="B172" s="22" t="s">
        <v>220</v>
      </c>
      <c r="C172" s="22" t="s">
        <v>216</v>
      </c>
      <c r="D172" s="22" t="s">
        <v>780</v>
      </c>
      <c r="E172" s="22" t="s">
        <v>205</v>
      </c>
      <c r="F172" s="22">
        <v>125</v>
      </c>
      <c r="G172" s="22">
        <v>119.5</v>
      </c>
      <c r="H172" s="22">
        <v>14.6</v>
      </c>
      <c r="I172" s="22">
        <v>4.2</v>
      </c>
      <c r="J172" s="22">
        <v>4100</v>
      </c>
      <c r="K172" s="22" t="s">
        <v>393</v>
      </c>
      <c r="L172" s="22">
        <v>46680</v>
      </c>
      <c r="M172" s="22">
        <v>30</v>
      </c>
      <c r="N172" s="22">
        <v>300</v>
      </c>
      <c r="O172" s="58">
        <v>12.3536</v>
      </c>
      <c r="P172" s="58">
        <v>4.2307199999999998</v>
      </c>
      <c r="Q172" s="23">
        <v>3052.83</v>
      </c>
      <c r="R172" s="23">
        <f t="shared" si="12"/>
        <v>1331.7970874999999</v>
      </c>
      <c r="S172" s="23">
        <f t="shared" si="12"/>
        <v>511.34902499999998</v>
      </c>
      <c r="T172" s="23">
        <f t="shared" si="12"/>
        <v>866.24051250000002</v>
      </c>
      <c r="U172" s="23">
        <f t="shared" si="12"/>
        <v>343.443375</v>
      </c>
      <c r="V172" s="23">
        <v>3758.2128777923799</v>
      </c>
      <c r="W172" s="58">
        <v>43.625</v>
      </c>
      <c r="X172" s="58">
        <v>16.75</v>
      </c>
      <c r="Y172" s="58">
        <v>28.375</v>
      </c>
      <c r="Z172" s="58">
        <v>11.25</v>
      </c>
      <c r="AA172" s="23">
        <v>13577.2469635628</v>
      </c>
      <c r="AB172" s="23">
        <f t="shared" ref="AB172:AH172" si="18">AI172*$AA172/100</f>
        <v>2494.8191295546644</v>
      </c>
      <c r="AC172" s="23">
        <f t="shared" si="18"/>
        <v>3597.9704453441418</v>
      </c>
      <c r="AD172" s="23">
        <f t="shared" si="18"/>
        <v>3971.3447368421189</v>
      </c>
      <c r="AE172" s="23">
        <f t="shared" si="18"/>
        <v>441.26052631579097</v>
      </c>
      <c r="AF172" s="23">
        <f t="shared" si="18"/>
        <v>560.06143724696676</v>
      </c>
      <c r="AG172" s="23">
        <f t="shared" si="18"/>
        <v>831.60637651822026</v>
      </c>
      <c r="AH172" s="23">
        <f t="shared" si="18"/>
        <v>1680.1843117408966</v>
      </c>
      <c r="AI172" s="58">
        <v>18.375</v>
      </c>
      <c r="AJ172" s="58">
        <v>26.5</v>
      </c>
      <c r="AK172" s="58">
        <v>29.25</v>
      </c>
      <c r="AL172" s="58">
        <v>3.25</v>
      </c>
      <c r="AM172" s="58">
        <v>4.1250000000000098</v>
      </c>
      <c r="AN172" s="58">
        <v>6.1249999999999902</v>
      </c>
      <c r="AO172" s="58">
        <v>12.375</v>
      </c>
      <c r="AP172" s="22">
        <v>4.5</v>
      </c>
      <c r="AQ172" s="58">
        <v>24.556962025316501</v>
      </c>
      <c r="AR172" s="58">
        <v>31.139240506329099</v>
      </c>
      <c r="AS172" s="58">
        <v>6.3291139240506302</v>
      </c>
      <c r="AT172" s="58">
        <v>11.1392405063291</v>
      </c>
      <c r="AU172" s="58">
        <v>12.9113924050633</v>
      </c>
      <c r="AV172" s="58">
        <v>13.924050632911401</v>
      </c>
      <c r="AW172" s="22">
        <v>6.3</v>
      </c>
    </row>
    <row r="173" spans="1:49" s="4" customFormat="1">
      <c r="A173" s="22" t="s">
        <v>396</v>
      </c>
      <c r="C173" s="22" t="s">
        <v>223</v>
      </c>
      <c r="D173" s="22" t="s">
        <v>781</v>
      </c>
      <c r="E173" s="22" t="s">
        <v>205</v>
      </c>
      <c r="F173" s="22">
        <v>122.7</v>
      </c>
      <c r="G173" s="22">
        <v>114</v>
      </c>
      <c r="H173" s="22">
        <v>12.9</v>
      </c>
      <c r="I173" s="22">
        <v>3.9</v>
      </c>
      <c r="J173" s="22">
        <v>3040</v>
      </c>
      <c r="K173" s="22" t="s">
        <v>485</v>
      </c>
      <c r="L173" s="22">
        <v>44826</v>
      </c>
      <c r="M173" s="22">
        <v>33</v>
      </c>
      <c r="N173" s="22">
        <v>232</v>
      </c>
      <c r="O173" s="58">
        <v>13.8978</v>
      </c>
      <c r="P173" s="58">
        <v>5.3155200000000002</v>
      </c>
      <c r="Q173" s="23">
        <v>2331.252</v>
      </c>
      <c r="R173" s="23">
        <f t="shared" si="12"/>
        <v>949.98518999999999</v>
      </c>
      <c r="S173" s="23">
        <f t="shared" si="12"/>
        <v>594.46925999999996</v>
      </c>
      <c r="T173" s="23">
        <f t="shared" si="12"/>
        <v>524.5317</v>
      </c>
      <c r="U173" s="23">
        <f t="shared" si="12"/>
        <v>262.26585</v>
      </c>
      <c r="V173" s="23">
        <v>2980.28909329829</v>
      </c>
      <c r="W173" s="58">
        <v>40.75</v>
      </c>
      <c r="X173" s="58">
        <v>25.5</v>
      </c>
      <c r="Y173" s="58">
        <v>22.5</v>
      </c>
      <c r="Z173" s="58">
        <v>11.25</v>
      </c>
      <c r="AA173" s="23">
        <v>11387.368421052601</v>
      </c>
      <c r="AB173" s="23">
        <f t="shared" ref="AB173:AH173" si="19">AI173*$AA173/100</f>
        <v>2448.2842105263089</v>
      </c>
      <c r="AC173" s="23">
        <f t="shared" si="19"/>
        <v>2960.7157894736761</v>
      </c>
      <c r="AD173" s="23">
        <f t="shared" si="19"/>
        <v>3416.21052631578</v>
      </c>
      <c r="AE173" s="23">
        <f t="shared" si="19"/>
        <v>313.15263157894651</v>
      </c>
      <c r="AF173" s="23">
        <f t="shared" si="19"/>
        <v>412.79210526315563</v>
      </c>
      <c r="AG173" s="23">
        <f t="shared" si="19"/>
        <v>612.07105263157837</v>
      </c>
      <c r="AH173" s="23">
        <f t="shared" si="19"/>
        <v>1224.1421052631545</v>
      </c>
      <c r="AI173" s="58">
        <v>21.5</v>
      </c>
      <c r="AJ173" s="58">
        <v>26</v>
      </c>
      <c r="AK173" s="58">
        <v>30</v>
      </c>
      <c r="AL173" s="58">
        <v>2.75</v>
      </c>
      <c r="AM173" s="58">
        <v>3.6249999999999898</v>
      </c>
      <c r="AN173" s="58">
        <v>5.3750000000000098</v>
      </c>
      <c r="AO173" s="58">
        <v>10.75</v>
      </c>
      <c r="AP173" s="22">
        <v>4.9000000000000004</v>
      </c>
      <c r="AQ173" s="58">
        <v>13.2911392405063</v>
      </c>
      <c r="AR173" s="58">
        <v>24.177215189873401</v>
      </c>
      <c r="AS173" s="58">
        <v>5.8227848101265796</v>
      </c>
      <c r="AT173" s="58">
        <v>7.4683544303797396</v>
      </c>
      <c r="AU173" s="58">
        <v>24.177215189873401</v>
      </c>
      <c r="AV173" s="58">
        <v>25.063291139240501</v>
      </c>
      <c r="AW173" s="22">
        <v>4.9000000000000004</v>
      </c>
    </row>
    <row r="174" spans="1:49" s="4" customFormat="1">
      <c r="A174" s="22" t="s">
        <v>281</v>
      </c>
      <c r="C174" s="22" t="s">
        <v>282</v>
      </c>
      <c r="D174" s="22" t="s">
        <v>782</v>
      </c>
      <c r="E174" s="22" t="s">
        <v>284</v>
      </c>
      <c r="F174" s="22">
        <v>123.5</v>
      </c>
      <c r="G174" s="22">
        <v>116.4</v>
      </c>
      <c r="H174" s="22">
        <v>13.4</v>
      </c>
      <c r="I174" s="22">
        <v>4.5999999999999996</v>
      </c>
      <c r="J174" s="22">
        <v>3600</v>
      </c>
      <c r="K174" s="22" t="s">
        <v>393</v>
      </c>
      <c r="L174" s="22">
        <v>46000</v>
      </c>
      <c r="M174" s="22">
        <v>30</v>
      </c>
      <c r="N174" s="22">
        <v>240</v>
      </c>
      <c r="O174" s="58">
        <v>17.978899999999999</v>
      </c>
      <c r="P174" s="58">
        <v>4.6104000000000003</v>
      </c>
      <c r="Q174" s="23">
        <v>2470.0169999999998</v>
      </c>
      <c r="R174" s="23">
        <f t="shared" si="12"/>
        <v>1120.77021375</v>
      </c>
      <c r="S174" s="23">
        <f t="shared" si="12"/>
        <v>546.49126124999998</v>
      </c>
      <c r="T174" s="23">
        <f t="shared" si="12"/>
        <v>426.07793249999997</v>
      </c>
      <c r="U174" s="23">
        <f t="shared" si="12"/>
        <v>376.67759249999995</v>
      </c>
      <c r="V174" s="23">
        <v>3264.1261498028898</v>
      </c>
      <c r="W174" s="58">
        <v>45.375</v>
      </c>
      <c r="X174" s="58">
        <v>22.125</v>
      </c>
      <c r="Y174" s="58">
        <v>17.25</v>
      </c>
      <c r="Z174" s="58">
        <v>15.25</v>
      </c>
      <c r="AA174" s="23">
        <v>11533.3603238866</v>
      </c>
      <c r="AB174" s="23">
        <f t="shared" ref="AB174:AH174" si="20">AI174*$AA174/100</f>
        <v>2609.4227732793429</v>
      </c>
      <c r="AC174" s="23">
        <f t="shared" si="20"/>
        <v>2984.2569838056579</v>
      </c>
      <c r="AD174" s="23">
        <f t="shared" si="20"/>
        <v>3099.5905870445235</v>
      </c>
      <c r="AE174" s="23">
        <f t="shared" si="20"/>
        <v>288.334008097165</v>
      </c>
      <c r="AF174" s="23">
        <f t="shared" si="20"/>
        <v>374.83421052631564</v>
      </c>
      <c r="AG174" s="23">
        <f t="shared" si="20"/>
        <v>1167.7527327935181</v>
      </c>
      <c r="AH174" s="23">
        <f t="shared" si="20"/>
        <v>1009.1690283400775</v>
      </c>
      <c r="AI174" s="58">
        <v>22.625</v>
      </c>
      <c r="AJ174" s="58">
        <v>25.875</v>
      </c>
      <c r="AK174" s="58">
        <v>26.875</v>
      </c>
      <c r="AL174" s="58">
        <v>2.5</v>
      </c>
      <c r="AM174" s="58">
        <v>3.2500000000000102</v>
      </c>
      <c r="AN174" s="58">
        <v>10.125</v>
      </c>
      <c r="AO174" s="58">
        <v>8.75</v>
      </c>
      <c r="AP174" s="22">
        <v>4.5999999999999996</v>
      </c>
      <c r="AQ174" s="58">
        <v>49.1761723700887</v>
      </c>
      <c r="AR174" s="58">
        <v>13.434727503168601</v>
      </c>
      <c r="AS174" s="58">
        <v>3.54879594423321</v>
      </c>
      <c r="AT174" s="58">
        <v>5.9569074778200202</v>
      </c>
      <c r="AU174" s="58">
        <v>0</v>
      </c>
      <c r="AV174" s="58">
        <v>27.883396704689499</v>
      </c>
      <c r="AW174" s="22">
        <v>4.5</v>
      </c>
    </row>
    <row r="175" spans="1:49">
      <c r="A175" s="19"/>
    </row>
    <row r="176" spans="1:49">
      <c r="A176" s="19"/>
      <c r="B176" s="6" t="s">
        <v>250</v>
      </c>
      <c r="C176" s="6" t="s">
        <v>147</v>
      </c>
      <c r="D176" s="6" t="s">
        <v>148</v>
      </c>
      <c r="E176" s="6" t="s">
        <v>149</v>
      </c>
      <c r="F176" s="6" t="s">
        <v>783</v>
      </c>
      <c r="G176" s="6" t="s">
        <v>328</v>
      </c>
      <c r="H176" s="6" t="s">
        <v>784</v>
      </c>
      <c r="I176" s="6" t="s">
        <v>387</v>
      </c>
      <c r="J176" s="6" t="s">
        <v>390</v>
      </c>
      <c r="K176" s="19" t="s">
        <v>550</v>
      </c>
      <c r="L176" s="19" t="s">
        <v>424</v>
      </c>
      <c r="M176" s="19" t="s">
        <v>383</v>
      </c>
      <c r="N176" s="19" t="s">
        <v>670</v>
      </c>
      <c r="O176" s="19" t="s">
        <v>785</v>
      </c>
      <c r="P176" s="19" t="s">
        <v>786</v>
      </c>
      <c r="Q176" s="19" t="s">
        <v>787</v>
      </c>
      <c r="R176" s="19" t="s">
        <v>788</v>
      </c>
      <c r="S176" s="19" t="s">
        <v>789</v>
      </c>
      <c r="T176" s="19" t="s">
        <v>790</v>
      </c>
      <c r="U176" s="19" t="s">
        <v>791</v>
      </c>
      <c r="V176" s="19" t="s">
        <v>792</v>
      </c>
      <c r="W176" s="19" t="s">
        <v>793</v>
      </c>
      <c r="X176" s="19" t="s">
        <v>794</v>
      </c>
      <c r="Y176" s="19" t="s">
        <v>795</v>
      </c>
      <c r="Z176" s="19" t="s">
        <v>796</v>
      </c>
      <c r="AA176" s="19" t="s">
        <v>797</v>
      </c>
      <c r="AB176" s="19" t="s">
        <v>798</v>
      </c>
      <c r="AC176" s="19" t="s">
        <v>799</v>
      </c>
      <c r="AD176" s="19" t="s">
        <v>800</v>
      </c>
      <c r="AE176" s="19" t="s">
        <v>801</v>
      </c>
      <c r="AF176" s="19" t="s">
        <v>802</v>
      </c>
      <c r="AG176" s="19" t="s">
        <v>803</v>
      </c>
      <c r="AH176" s="19" t="s">
        <v>804</v>
      </c>
      <c r="AI176" s="19" t="s">
        <v>805</v>
      </c>
      <c r="AJ176" s="19" t="s">
        <v>806</v>
      </c>
      <c r="AK176" s="19" t="s">
        <v>807</v>
      </c>
      <c r="AL176" s="19" t="s">
        <v>808</v>
      </c>
      <c r="AM176" s="19" t="s">
        <v>809</v>
      </c>
      <c r="AN176" s="19" t="s">
        <v>810</v>
      </c>
      <c r="AP176" s="19" t="s">
        <v>811</v>
      </c>
      <c r="AQ176" s="19" t="s">
        <v>812</v>
      </c>
      <c r="AR176" s="19" t="s">
        <v>813</v>
      </c>
      <c r="AS176" s="19" t="s">
        <v>814</v>
      </c>
      <c r="AT176" s="19" t="s">
        <v>815</v>
      </c>
      <c r="AU176" s="19" t="s">
        <v>816</v>
      </c>
      <c r="AV176" s="19" t="s">
        <v>817</v>
      </c>
    </row>
    <row r="177" spans="1:48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 t="s">
        <v>818</v>
      </c>
      <c r="AH177" s="19" t="s">
        <v>819</v>
      </c>
      <c r="AI177" s="19" t="s">
        <v>820</v>
      </c>
      <c r="AJ177" s="19" t="s">
        <v>821</v>
      </c>
      <c r="AM177" s="19" t="s">
        <v>822</v>
      </c>
      <c r="AN177" s="19" t="s">
        <v>722</v>
      </c>
    </row>
    <row r="178" spans="1:48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 t="s">
        <v>823</v>
      </c>
    </row>
    <row r="179" spans="1:48">
      <c r="A179" s="19"/>
      <c r="B179" s="19" t="s">
        <v>206</v>
      </c>
      <c r="C179" s="19" t="s">
        <v>203</v>
      </c>
      <c r="D179" s="19" t="s">
        <v>824</v>
      </c>
      <c r="E179" s="19" t="s">
        <v>205</v>
      </c>
      <c r="F179" s="19">
        <v>1954</v>
      </c>
      <c r="AM179" s="19">
        <v>52.25</v>
      </c>
      <c r="AN179" s="45">
        <v>5344.9997774608701</v>
      </c>
      <c r="AP179" s="21">
        <f t="shared" ref="AP179:AV179" si="21">V179/100*AN179</f>
        <v>0</v>
      </c>
      <c r="AQ179" s="21">
        <f t="shared" si="21"/>
        <v>0</v>
      </c>
      <c r="AR179" s="21">
        <f t="shared" si="21"/>
        <v>0</v>
      </c>
      <c r="AS179" s="21">
        <f t="shared" si="21"/>
        <v>0</v>
      </c>
      <c r="AT179" s="21">
        <f t="shared" si="21"/>
        <v>0</v>
      </c>
      <c r="AU179" s="21">
        <f t="shared" si="21"/>
        <v>0</v>
      </c>
      <c r="AV179" s="21">
        <f t="shared" si="21"/>
        <v>0</v>
      </c>
    </row>
    <row r="180" spans="1:48">
      <c r="A180" s="19"/>
      <c r="B180" s="19" t="s">
        <v>202</v>
      </c>
      <c r="C180" s="19" t="s">
        <v>203</v>
      </c>
      <c r="D180" s="19" t="s">
        <v>825</v>
      </c>
      <c r="E180" s="19" t="s">
        <v>205</v>
      </c>
      <c r="F180" s="19">
        <v>1959</v>
      </c>
      <c r="AM180" s="19">
        <v>49.375</v>
      </c>
      <c r="AN180" s="45">
        <v>6725.4964087255903</v>
      </c>
      <c r="AP180" s="21">
        <f t="shared" ref="AP180:AV180" si="22">V180/100*AN180</f>
        <v>0</v>
      </c>
      <c r="AQ180" s="21">
        <f t="shared" si="22"/>
        <v>0</v>
      </c>
      <c r="AR180" s="21">
        <f t="shared" si="22"/>
        <v>0</v>
      </c>
      <c r="AS180" s="21">
        <f t="shared" si="22"/>
        <v>0</v>
      </c>
      <c r="AT180" s="21">
        <f t="shared" si="22"/>
        <v>0</v>
      </c>
      <c r="AU180" s="21">
        <f t="shared" si="22"/>
        <v>0</v>
      </c>
      <c r="AV180" s="21">
        <f t="shared" si="22"/>
        <v>0</v>
      </c>
    </row>
    <row r="181" spans="1:48">
      <c r="A181" s="19"/>
      <c r="B181" s="19" t="s">
        <v>208</v>
      </c>
      <c r="C181" s="19" t="s">
        <v>203</v>
      </c>
      <c r="D181" s="19" t="s">
        <v>826</v>
      </c>
      <c r="E181" s="19" t="s">
        <v>205</v>
      </c>
      <c r="F181" s="19">
        <v>1963</v>
      </c>
      <c r="G181" s="45">
        <f>2650*2240/2204.6</f>
        <v>2692.5519368592945</v>
      </c>
      <c r="H181" s="45">
        <v>26</v>
      </c>
      <c r="I181" s="45" t="s">
        <v>827</v>
      </c>
      <c r="J181" s="45">
        <v>1</v>
      </c>
      <c r="K181" s="45">
        <v>257</v>
      </c>
      <c r="L181" s="45">
        <v>3685</v>
      </c>
      <c r="M181" s="21">
        <v>26</v>
      </c>
      <c r="N181" s="45">
        <f>20000*0.746</f>
        <v>14920</v>
      </c>
      <c r="O181" s="21">
        <v>24.9</v>
      </c>
      <c r="P181" s="21">
        <v>19.2</v>
      </c>
      <c r="Q181" s="21">
        <v>24.7</v>
      </c>
      <c r="R181" s="21">
        <v>10.6</v>
      </c>
      <c r="S181" s="21">
        <v>9.4</v>
      </c>
      <c r="T181" s="21">
        <v>11.2</v>
      </c>
      <c r="U181" s="21">
        <f t="shared" ref="U181:U187" si="23">SUM(O181:T181)</f>
        <v>100</v>
      </c>
      <c r="V181" s="21">
        <v>37.4</v>
      </c>
      <c r="W181" s="21">
        <v>7.5</v>
      </c>
      <c r="X181" s="21">
        <v>20.2</v>
      </c>
      <c r="Y181" s="21">
        <v>25.5</v>
      </c>
      <c r="Z181" s="21">
        <v>5.7</v>
      </c>
      <c r="AA181" s="21">
        <v>3.7</v>
      </c>
      <c r="AB181" s="21"/>
      <c r="AC181" s="21">
        <f t="shared" ref="AC181:AC187" si="24">SUM(V181:AB181)</f>
        <v>100</v>
      </c>
      <c r="AD181" s="45">
        <v>318.75906346567598</v>
      </c>
      <c r="AE181" s="45">
        <v>116.931716748715</v>
      </c>
      <c r="AF181" s="45">
        <v>132.94976013895001</v>
      </c>
      <c r="AG181" s="45">
        <v>121.73712976578599</v>
      </c>
      <c r="AH181" s="45">
        <v>312.35184610958203</v>
      </c>
      <c r="AI181" s="48">
        <v>1.1786265082101099</v>
      </c>
      <c r="AJ181" s="21">
        <v>10.0245293839531</v>
      </c>
      <c r="AK181" s="48">
        <v>20.0652839213353</v>
      </c>
      <c r="AL181" s="21">
        <v>148.04253418388501</v>
      </c>
      <c r="AM181" s="19">
        <v>70</v>
      </c>
      <c r="AN181" s="45">
        <v>8707.7479818236607</v>
      </c>
      <c r="AP181" s="21">
        <f t="shared" ref="AP181:AV181" si="25">V181/100*AN181</f>
        <v>3256.6977452020492</v>
      </c>
      <c r="AQ181" s="21">
        <f t="shared" si="25"/>
        <v>0</v>
      </c>
      <c r="AR181" s="21">
        <f t="shared" si="25"/>
        <v>657.85294453081394</v>
      </c>
      <c r="AS181" s="21">
        <f t="shared" si="25"/>
        <v>0</v>
      </c>
      <c r="AT181" s="21">
        <f t="shared" si="25"/>
        <v>37.497617838256396</v>
      </c>
      <c r="AU181" s="21">
        <f t="shared" si="25"/>
        <v>0</v>
      </c>
      <c r="AV181" s="21">
        <f t="shared" si="25"/>
        <v>0</v>
      </c>
    </row>
    <row r="182" spans="1:48">
      <c r="A182" s="19"/>
      <c r="B182" s="19" t="s">
        <v>210</v>
      </c>
      <c r="C182" s="19" t="s">
        <v>203</v>
      </c>
      <c r="D182" s="19" t="s">
        <v>828</v>
      </c>
      <c r="E182" s="19" t="s">
        <v>205</v>
      </c>
      <c r="F182" s="19">
        <v>1964</v>
      </c>
      <c r="G182" s="45">
        <f>3400*2240/2204.6</f>
        <v>3454.5949378572077</v>
      </c>
      <c r="H182" s="45">
        <v>27</v>
      </c>
      <c r="I182" s="45" t="s">
        <v>829</v>
      </c>
      <c r="J182" s="45">
        <v>1</v>
      </c>
      <c r="K182" s="45">
        <v>280</v>
      </c>
      <c r="L182" s="45">
        <v>4600</v>
      </c>
      <c r="M182" s="21">
        <v>27</v>
      </c>
      <c r="N182" s="45">
        <f>35000*0.746</f>
        <v>26110</v>
      </c>
      <c r="O182" s="21">
        <v>33</v>
      </c>
      <c r="P182" s="21">
        <v>16.7</v>
      </c>
      <c r="Q182" s="21">
        <v>24.1</v>
      </c>
      <c r="R182" s="21">
        <v>10.4</v>
      </c>
      <c r="S182" s="21">
        <v>9.6999999999999993</v>
      </c>
      <c r="T182" s="21">
        <v>6.1</v>
      </c>
      <c r="U182" s="21">
        <f t="shared" si="23"/>
        <v>100.00000000000001</v>
      </c>
      <c r="V182" s="21"/>
      <c r="W182" s="21"/>
      <c r="X182" s="21"/>
      <c r="Y182" s="21"/>
      <c r="Z182" s="21"/>
      <c r="AA182" s="21"/>
      <c r="AB182" s="21"/>
      <c r="AD182" s="45"/>
      <c r="AE182" s="45"/>
      <c r="AF182" s="45"/>
      <c r="AG182" s="45"/>
      <c r="AH182" s="45"/>
      <c r="AI182" s="48">
        <v>1.34119568175633</v>
      </c>
      <c r="AJ182" s="21"/>
      <c r="AK182" s="48">
        <v>13.6808754009105</v>
      </c>
      <c r="AL182" s="21"/>
      <c r="AM182" s="19">
        <v>85.5</v>
      </c>
      <c r="AN182" s="45"/>
      <c r="AP182" s="21">
        <f t="shared" ref="AP182:AV182" si="26">V182/100*AN182</f>
        <v>0</v>
      </c>
      <c r="AQ182" s="21">
        <f t="shared" si="26"/>
        <v>0</v>
      </c>
      <c r="AR182" s="21">
        <f t="shared" si="26"/>
        <v>0</v>
      </c>
      <c r="AS182" s="21">
        <f t="shared" si="26"/>
        <v>0</v>
      </c>
      <c r="AT182" s="21">
        <f t="shared" si="26"/>
        <v>0</v>
      </c>
      <c r="AU182" s="21">
        <f t="shared" si="26"/>
        <v>0</v>
      </c>
      <c r="AV182" s="21">
        <f t="shared" si="26"/>
        <v>0</v>
      </c>
    </row>
    <row r="183" spans="1:48">
      <c r="A183" s="19"/>
      <c r="B183" s="19" t="s">
        <v>213</v>
      </c>
      <c r="C183" s="19" t="s">
        <v>203</v>
      </c>
      <c r="D183" s="19" t="s">
        <v>830</v>
      </c>
      <c r="E183" s="19" t="s">
        <v>205</v>
      </c>
      <c r="F183" s="19">
        <v>1969</v>
      </c>
      <c r="G183" s="45">
        <f>4100*2240/2204.6</f>
        <v>4165.8350721219267</v>
      </c>
      <c r="H183" s="45">
        <v>27</v>
      </c>
      <c r="I183" s="45" t="s">
        <v>831</v>
      </c>
      <c r="J183" s="45">
        <v>1</v>
      </c>
      <c r="K183" s="45">
        <v>262</v>
      </c>
      <c r="L183" s="45">
        <v>5200</v>
      </c>
      <c r="M183" s="21">
        <v>27</v>
      </c>
      <c r="N183" s="45">
        <f>35000*0.746</f>
        <v>26110</v>
      </c>
      <c r="O183" s="21">
        <v>34.4</v>
      </c>
      <c r="P183" s="21">
        <v>16.899999999999999</v>
      </c>
      <c r="Q183" s="21">
        <v>24.5</v>
      </c>
      <c r="R183" s="21">
        <v>12.3</v>
      </c>
      <c r="S183" s="21">
        <v>9.6999999999999993</v>
      </c>
      <c r="T183" s="21">
        <v>2.2000000000000002</v>
      </c>
      <c r="U183" s="21">
        <f t="shared" si="23"/>
        <v>100</v>
      </c>
      <c r="V183" s="21">
        <v>39.700000000000003</v>
      </c>
      <c r="W183" s="21">
        <v>6.3</v>
      </c>
      <c r="X183" s="21">
        <v>27.5</v>
      </c>
      <c r="Y183" s="21">
        <v>24.2</v>
      </c>
      <c r="Z183" s="21">
        <v>7.8</v>
      </c>
      <c r="AA183" s="21">
        <v>-5.5</v>
      </c>
      <c r="AB183" s="21"/>
      <c r="AC183" s="21">
        <f t="shared" si="24"/>
        <v>100</v>
      </c>
      <c r="AD183" s="45">
        <v>309.14823743153499</v>
      </c>
      <c r="AE183" s="45">
        <v>123.338934104809</v>
      </c>
      <c r="AF183" s="45">
        <v>137.75517315602099</v>
      </c>
      <c r="AG183" s="45">
        <v>134.55156447797401</v>
      </c>
      <c r="AH183" s="45">
        <v>321.96267214372301</v>
      </c>
      <c r="AI183" s="48">
        <v>1.6561734555021299</v>
      </c>
      <c r="AJ183" s="21">
        <v>13.450992817451199</v>
      </c>
      <c r="AK183" s="48">
        <v>17.025089387799699</v>
      </c>
      <c r="AL183" s="21">
        <v>106.286947619199</v>
      </c>
      <c r="AM183" s="19">
        <v>112.5</v>
      </c>
      <c r="AN183" s="45">
        <v>13734.1716136081</v>
      </c>
      <c r="AP183" s="21">
        <f t="shared" ref="AP183:AV183" si="27">V183/100*AN183</f>
        <v>5452.4661306024154</v>
      </c>
      <c r="AQ183" s="21">
        <f t="shared" si="27"/>
        <v>0</v>
      </c>
      <c r="AR183" s="21">
        <f t="shared" si="27"/>
        <v>1499.4281859156645</v>
      </c>
      <c r="AS183" s="21">
        <f t="shared" si="27"/>
        <v>0</v>
      </c>
      <c r="AT183" s="21">
        <f t="shared" si="27"/>
        <v>116.95539850142183</v>
      </c>
      <c r="AU183" s="21">
        <f t="shared" si="27"/>
        <v>0</v>
      </c>
      <c r="AV183" s="21">
        <f t="shared" si="27"/>
        <v>0</v>
      </c>
    </row>
    <row r="184" spans="1:48">
      <c r="A184" s="19"/>
      <c r="B184" s="19" t="s">
        <v>832</v>
      </c>
      <c r="C184" s="19" t="s">
        <v>203</v>
      </c>
      <c r="D184" s="19" t="s">
        <v>833</v>
      </c>
      <c r="E184" s="19" t="s">
        <v>205</v>
      </c>
      <c r="F184" s="19">
        <v>1966</v>
      </c>
      <c r="G184" s="45">
        <f>3425*2240/2204.6</f>
        <v>3479.996371223805</v>
      </c>
      <c r="H184" s="45">
        <v>27</v>
      </c>
      <c r="I184" s="45" t="s">
        <v>829</v>
      </c>
      <c r="J184" s="45">
        <v>1</v>
      </c>
      <c r="K184" s="45">
        <v>259</v>
      </c>
      <c r="L184" s="45">
        <v>4600</v>
      </c>
      <c r="M184" s="21">
        <v>27</v>
      </c>
      <c r="N184" s="45">
        <v>26110</v>
      </c>
      <c r="O184" s="21">
        <v>35</v>
      </c>
      <c r="P184" s="21">
        <v>15.7</v>
      </c>
      <c r="Q184" s="21">
        <v>24.7</v>
      </c>
      <c r="R184" s="21">
        <v>11.8</v>
      </c>
      <c r="S184" s="21">
        <v>11.2</v>
      </c>
      <c r="T184" s="21">
        <v>1.6</v>
      </c>
      <c r="U184" s="21">
        <f t="shared" si="23"/>
        <v>100</v>
      </c>
      <c r="V184" s="21">
        <v>28.9</v>
      </c>
      <c r="W184" s="21">
        <v>6.5</v>
      </c>
      <c r="X184" s="21">
        <v>26.8</v>
      </c>
      <c r="Y184" s="21">
        <v>27.8</v>
      </c>
      <c r="Z184" s="21">
        <v>8.3000000000000007</v>
      </c>
      <c r="AA184" s="21">
        <v>1.7</v>
      </c>
      <c r="AB184" s="21"/>
      <c r="AC184" s="21">
        <f t="shared" si="24"/>
        <v>100</v>
      </c>
      <c r="AD184" s="45">
        <v>341.18432421200498</v>
      </c>
      <c r="AE184" s="45">
        <v>137.75517315602099</v>
      </c>
      <c r="AF184" s="45">
        <v>148.96780352918501</v>
      </c>
      <c r="AG184" s="45">
        <v>124.940738443833</v>
      </c>
      <c r="AH184" s="45">
        <v>381.22943268759201</v>
      </c>
      <c r="AI184" s="48">
        <v>1.6358523088088499</v>
      </c>
      <c r="AJ184" s="21">
        <v>11.8651915589727</v>
      </c>
      <c r="AK184" s="48">
        <v>13.6808754009105</v>
      </c>
      <c r="AL184" s="21">
        <v>72.123285884456706</v>
      </c>
      <c r="AM184" s="19">
        <v>101</v>
      </c>
      <c r="AN184" s="45">
        <v>10406.820758764899</v>
      </c>
      <c r="AP184" s="21">
        <f t="shared" ref="AP184:AV184" si="28">V184/100*AN184</f>
        <v>3007.5711992830556</v>
      </c>
      <c r="AQ184" s="21">
        <f t="shared" si="28"/>
        <v>0</v>
      </c>
      <c r="AR184" s="21">
        <f t="shared" si="28"/>
        <v>806.02908140785894</v>
      </c>
      <c r="AS184" s="21">
        <f t="shared" si="28"/>
        <v>0</v>
      </c>
      <c r="AT184" s="21">
        <f t="shared" si="28"/>
        <v>66.900413756852302</v>
      </c>
      <c r="AU184" s="21">
        <f t="shared" si="28"/>
        <v>0</v>
      </c>
      <c r="AV184" s="21">
        <f t="shared" si="28"/>
        <v>0</v>
      </c>
    </row>
    <row r="185" spans="1:48">
      <c r="A185" s="19"/>
      <c r="B185" s="19" t="s">
        <v>18</v>
      </c>
      <c r="C185" s="19" t="s">
        <v>203</v>
      </c>
      <c r="D185" s="19" t="s">
        <v>834</v>
      </c>
      <c r="E185" s="19" t="s">
        <v>205</v>
      </c>
      <c r="F185" s="19">
        <v>1977</v>
      </c>
      <c r="G185" s="45">
        <f>3540*2240/2204.6</f>
        <v>3596.8429647101516</v>
      </c>
      <c r="H185" s="45">
        <v>28</v>
      </c>
      <c r="I185" s="45" t="s">
        <v>479</v>
      </c>
      <c r="J185" s="45">
        <v>1</v>
      </c>
      <c r="K185" s="45">
        <v>181</v>
      </c>
      <c r="L185" s="45">
        <v>5200</v>
      </c>
      <c r="M185" s="21">
        <v>30</v>
      </c>
      <c r="N185" s="45">
        <f>40000*0.746</f>
        <v>29840</v>
      </c>
      <c r="O185" s="21">
        <v>35</v>
      </c>
      <c r="P185" s="21">
        <v>17.100000000000001</v>
      </c>
      <c r="Q185" s="21">
        <v>23</v>
      </c>
      <c r="R185" s="21">
        <v>9</v>
      </c>
      <c r="S185" s="21">
        <v>10</v>
      </c>
      <c r="T185" s="21">
        <v>5.9</v>
      </c>
      <c r="U185" s="21">
        <f t="shared" si="23"/>
        <v>100</v>
      </c>
      <c r="V185" s="21">
        <v>30.2</v>
      </c>
      <c r="W185" s="21">
        <v>6.4</v>
      </c>
      <c r="X185" s="21">
        <v>24.6</v>
      </c>
      <c r="Y185" s="21">
        <v>21.6</v>
      </c>
      <c r="Z185" s="21">
        <v>12</v>
      </c>
      <c r="AA185" s="21">
        <v>3</v>
      </c>
      <c r="AB185" s="21">
        <v>2.2000000000000002</v>
      </c>
      <c r="AC185" s="21">
        <f t="shared" si="24"/>
        <v>100.00000000000001</v>
      </c>
      <c r="AD185" s="45">
        <v>245.07606387059499</v>
      </c>
      <c r="AE185" s="45">
        <v>115.329912409692</v>
      </c>
      <c r="AF185" s="45">
        <v>89.701042985315794</v>
      </c>
      <c r="AG185" s="45">
        <v>83.2938256292218</v>
      </c>
      <c r="AH185" s="45">
        <v>267.50132461692402</v>
      </c>
      <c r="AI185" s="48">
        <v>1.9508300825546601</v>
      </c>
      <c r="AJ185" s="21">
        <v>17.1039992878748</v>
      </c>
      <c r="AK185" s="48">
        <v>8.7557602565826897</v>
      </c>
      <c r="AL185" s="21">
        <v>56.939436224571097</v>
      </c>
      <c r="AM185" s="19">
        <v>102.75</v>
      </c>
      <c r="AN185" s="45">
        <v>14689.9000506375</v>
      </c>
      <c r="AP185" s="21">
        <f t="shared" ref="AP185:AV185" si="29">V185/100*AN185</f>
        <v>4436.3498152925249</v>
      </c>
      <c r="AQ185" s="21">
        <f t="shared" si="29"/>
        <v>0</v>
      </c>
      <c r="AR185" s="21">
        <f t="shared" si="29"/>
        <v>1091.3420545619613</v>
      </c>
      <c r="AS185" s="21">
        <f t="shared" si="29"/>
        <v>0</v>
      </c>
      <c r="AT185" s="21">
        <f t="shared" si="29"/>
        <v>130.96104654743536</v>
      </c>
      <c r="AU185" s="21">
        <f t="shared" si="29"/>
        <v>0</v>
      </c>
      <c r="AV185" s="21">
        <f t="shared" si="29"/>
        <v>2.881143024043578</v>
      </c>
    </row>
    <row r="186" spans="1:48">
      <c r="A186" s="19"/>
      <c r="B186" s="19" t="s">
        <v>835</v>
      </c>
      <c r="C186" s="19" t="s">
        <v>203</v>
      </c>
      <c r="D186" s="19" t="s">
        <v>836</v>
      </c>
      <c r="E186" s="19" t="s">
        <v>205</v>
      </c>
      <c r="F186" s="19">
        <v>1960</v>
      </c>
      <c r="G186" s="45">
        <f>4526*2240/2204.6</f>
        <v>4598.675496688742</v>
      </c>
      <c r="H186" s="45">
        <v>33</v>
      </c>
      <c r="I186" s="45" t="s">
        <v>831</v>
      </c>
      <c r="J186" s="45">
        <v>2</v>
      </c>
      <c r="K186" s="45">
        <v>350</v>
      </c>
      <c r="L186" s="45">
        <v>6900</v>
      </c>
      <c r="M186" s="21">
        <v>33</v>
      </c>
      <c r="N186" s="45">
        <f>70000*0.746</f>
        <v>52220</v>
      </c>
      <c r="O186" s="21">
        <v>27.4</v>
      </c>
      <c r="P186" s="21">
        <v>17.8</v>
      </c>
      <c r="Q186" s="21">
        <v>32</v>
      </c>
      <c r="R186" s="21">
        <v>12.1</v>
      </c>
      <c r="S186" s="21">
        <v>8.4</v>
      </c>
      <c r="T186" s="19">
        <v>2.2999999999999998</v>
      </c>
      <c r="U186" s="21">
        <f t="shared" si="23"/>
        <v>100</v>
      </c>
      <c r="V186" s="21">
        <v>38.200000000000003</v>
      </c>
      <c r="W186" s="21">
        <v>8.4</v>
      </c>
      <c r="X186" s="21">
        <v>25.2</v>
      </c>
      <c r="Y186" s="21">
        <v>22.9</v>
      </c>
      <c r="Z186" s="21">
        <v>4.3</v>
      </c>
      <c r="AA186" s="21">
        <v>1</v>
      </c>
      <c r="AB186" s="21"/>
      <c r="AC186" s="21">
        <f t="shared" si="24"/>
        <v>99.999999999999986</v>
      </c>
      <c r="AD186" s="45">
        <v>313.953650448605</v>
      </c>
      <c r="AE186" s="45">
        <v>116.931716748715</v>
      </c>
      <c r="AF186" s="45">
        <v>166.587651258444</v>
      </c>
      <c r="AG186" s="45">
        <v>229.05802048036</v>
      </c>
      <c r="AH186" s="45">
        <v>337.980715533958</v>
      </c>
      <c r="AI186" s="48">
        <v>1.1684659348634701</v>
      </c>
      <c r="AJ186" s="21">
        <v>8.8351784400942499</v>
      </c>
      <c r="AK186" s="48">
        <v>16.1738349184097</v>
      </c>
      <c r="AL186" s="21">
        <v>79.715210714399603</v>
      </c>
      <c r="AP186" s="21">
        <f t="shared" ref="AP186:AV186" si="30">V186/100*AN186</f>
        <v>0</v>
      </c>
      <c r="AQ186" s="21">
        <f t="shared" si="30"/>
        <v>0</v>
      </c>
      <c r="AR186" s="21">
        <f t="shared" si="30"/>
        <v>0</v>
      </c>
      <c r="AS186" s="21">
        <f t="shared" si="30"/>
        <v>0</v>
      </c>
      <c r="AT186" s="21">
        <f t="shared" si="30"/>
        <v>0</v>
      </c>
      <c r="AU186" s="21">
        <f t="shared" si="30"/>
        <v>0</v>
      </c>
      <c r="AV186" s="21">
        <f t="shared" si="30"/>
        <v>0</v>
      </c>
    </row>
    <row r="187" spans="1:48">
      <c r="A187" s="19"/>
      <c r="B187" s="19" t="s">
        <v>17</v>
      </c>
      <c r="C187" s="19" t="s">
        <v>203</v>
      </c>
      <c r="D187" s="19" t="s">
        <v>837</v>
      </c>
      <c r="E187" s="19" t="s">
        <v>205</v>
      </c>
      <c r="F187" s="19">
        <v>1955</v>
      </c>
      <c r="G187" s="45">
        <f>4034*2240/2204.6</f>
        <v>4098.7752880341104</v>
      </c>
      <c r="H187" s="45">
        <v>33</v>
      </c>
      <c r="I187" s="45" t="s">
        <v>831</v>
      </c>
      <c r="J187" s="45">
        <v>2</v>
      </c>
      <c r="K187" s="45">
        <v>325</v>
      </c>
      <c r="L187" s="45"/>
      <c r="M187" s="21">
        <v>33</v>
      </c>
      <c r="N187" s="45">
        <v>52220</v>
      </c>
      <c r="O187" s="21">
        <v>23.6</v>
      </c>
      <c r="P187" s="21">
        <v>18.3</v>
      </c>
      <c r="Q187" s="21">
        <v>31.9</v>
      </c>
      <c r="R187" s="21">
        <v>12.8</v>
      </c>
      <c r="S187" s="21">
        <v>9.5</v>
      </c>
      <c r="T187" s="21">
        <v>3.9</v>
      </c>
      <c r="U187" s="21">
        <f t="shared" si="23"/>
        <v>100.00000000000001</v>
      </c>
      <c r="V187" s="21">
        <v>45.1</v>
      </c>
      <c r="W187" s="21">
        <v>8.1</v>
      </c>
      <c r="X187" s="21">
        <v>13.3</v>
      </c>
      <c r="Y187" s="21">
        <v>25.1</v>
      </c>
      <c r="Z187" s="21">
        <v>4.8</v>
      </c>
      <c r="AA187" s="21">
        <v>3.6</v>
      </c>
      <c r="AB187" s="21"/>
      <c r="AC187" s="21">
        <f t="shared" si="24"/>
        <v>99.999999999999986</v>
      </c>
      <c r="AD187" s="45">
        <v>349.19334590712202</v>
      </c>
      <c r="AE187" s="45">
        <v>131.34795579992701</v>
      </c>
      <c r="AF187" s="45">
        <v>273.90854197301798</v>
      </c>
      <c r="AG187" s="45">
        <v>248.279672548642</v>
      </c>
      <c r="AH187" s="45">
        <v>329.97169383884</v>
      </c>
      <c r="AI187" s="48">
        <v>1.2294293749433001</v>
      </c>
      <c r="AJ187" s="21">
        <v>10.4492975781884</v>
      </c>
      <c r="AK187" s="48">
        <v>13.984894854264001</v>
      </c>
      <c r="AL187" s="21">
        <v>83.511173129371002</v>
      </c>
      <c r="AP187" s="21">
        <f t="shared" ref="AP187:AV187" si="31">V187/100*AN187</f>
        <v>0</v>
      </c>
      <c r="AQ187" s="21">
        <f t="shared" si="31"/>
        <v>0</v>
      </c>
      <c r="AR187" s="21">
        <f t="shared" si="31"/>
        <v>0</v>
      </c>
      <c r="AS187" s="21">
        <f t="shared" si="31"/>
        <v>0</v>
      </c>
      <c r="AT187" s="21">
        <f t="shared" si="31"/>
        <v>0</v>
      </c>
      <c r="AU187" s="21">
        <f t="shared" si="31"/>
        <v>0</v>
      </c>
      <c r="AV187" s="21">
        <f t="shared" si="31"/>
        <v>0</v>
      </c>
    </row>
    <row r="188" spans="1:48">
      <c r="A188" s="19"/>
      <c r="B188" s="19" t="s">
        <v>838</v>
      </c>
      <c r="C188" s="19" t="s">
        <v>203</v>
      </c>
      <c r="D188" s="19" t="s">
        <v>839</v>
      </c>
      <c r="E188" s="19" t="s">
        <v>205</v>
      </c>
      <c r="F188" s="19">
        <v>1975</v>
      </c>
      <c r="G188" s="45">
        <f>7800*2240/2204.6</f>
        <v>7925.2472103783002</v>
      </c>
      <c r="H188" s="45">
        <v>31</v>
      </c>
      <c r="I188" s="45" t="s">
        <v>479</v>
      </c>
      <c r="J188" s="45">
        <v>2</v>
      </c>
      <c r="K188" s="45">
        <v>245</v>
      </c>
      <c r="L188" s="45">
        <v>6900</v>
      </c>
      <c r="M188" s="21">
        <v>31</v>
      </c>
      <c r="N188" s="45">
        <f>80000*0.746</f>
        <v>59680</v>
      </c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P188" s="21">
        <f t="shared" ref="AP188:AV188" si="32">V188/100*AN188</f>
        <v>0</v>
      </c>
      <c r="AQ188" s="21">
        <f t="shared" si="32"/>
        <v>0</v>
      </c>
      <c r="AR188" s="21">
        <f t="shared" si="32"/>
        <v>0</v>
      </c>
      <c r="AS188" s="21">
        <f t="shared" si="32"/>
        <v>0</v>
      </c>
      <c r="AT188" s="21">
        <f t="shared" si="32"/>
        <v>0</v>
      </c>
      <c r="AU188" s="21">
        <f t="shared" si="32"/>
        <v>0</v>
      </c>
      <c r="AV188" s="21">
        <f t="shared" si="32"/>
        <v>0</v>
      </c>
    </row>
    <row r="189" spans="1:48">
      <c r="A189" s="19"/>
    </row>
    <row r="190" spans="1:48">
      <c r="A190" s="19"/>
    </row>
    <row r="191" spans="1:48">
      <c r="A191" s="6" t="s">
        <v>840</v>
      </c>
      <c r="B191" s="6" t="s">
        <v>841</v>
      </c>
      <c r="C191" s="6" t="s">
        <v>842</v>
      </c>
      <c r="D191" s="6" t="s">
        <v>843</v>
      </c>
      <c r="E191" s="6" t="s">
        <v>844</v>
      </c>
      <c r="F191" s="6" t="s">
        <v>845</v>
      </c>
      <c r="G191" s="6" t="s">
        <v>846</v>
      </c>
      <c r="H191" s="6" t="s">
        <v>847</v>
      </c>
    </row>
    <row r="192" spans="1:48" ht="25">
      <c r="A192" s="57" t="s">
        <v>848</v>
      </c>
      <c r="B192" s="6">
        <v>20</v>
      </c>
      <c r="C192" s="6">
        <v>20</v>
      </c>
      <c r="D192" s="6">
        <v>25</v>
      </c>
      <c r="E192" s="6">
        <v>3</v>
      </c>
      <c r="F192" s="6">
        <v>10</v>
      </c>
      <c r="G192" s="6">
        <v>10</v>
      </c>
      <c r="H192" s="6">
        <v>12</v>
      </c>
      <c r="I192" s="19">
        <f t="shared" ref="I192:I199" si="33">SUM(B192:H192)</f>
        <v>100</v>
      </c>
    </row>
    <row r="193" spans="1:9" ht="25">
      <c r="A193" s="57" t="s">
        <v>849</v>
      </c>
      <c r="B193" s="6">
        <v>18</v>
      </c>
      <c r="C193" s="6">
        <v>32</v>
      </c>
      <c r="D193" s="6">
        <v>25</v>
      </c>
      <c r="E193" s="6">
        <v>4</v>
      </c>
      <c r="F193" s="6">
        <v>4</v>
      </c>
      <c r="G193" s="6">
        <v>4</v>
      </c>
      <c r="H193" s="6">
        <v>13</v>
      </c>
      <c r="I193" s="19">
        <f t="shared" si="33"/>
        <v>100</v>
      </c>
    </row>
    <row r="194" spans="1:9" ht="25">
      <c r="A194" s="57" t="s">
        <v>850</v>
      </c>
      <c r="B194" s="6">
        <v>20</v>
      </c>
      <c r="C194" s="6">
        <v>30</v>
      </c>
      <c r="D194" s="6">
        <v>27</v>
      </c>
      <c r="E194" s="6">
        <v>4</v>
      </c>
      <c r="F194" s="6">
        <v>2</v>
      </c>
      <c r="G194" s="6">
        <v>5</v>
      </c>
      <c r="H194" s="6">
        <v>12</v>
      </c>
      <c r="I194" s="19">
        <f t="shared" si="33"/>
        <v>100</v>
      </c>
    </row>
    <row r="195" spans="1:9" ht="25">
      <c r="A195" s="57" t="s">
        <v>851</v>
      </c>
      <c r="B195" s="6">
        <v>18</v>
      </c>
      <c r="C195" s="6">
        <v>22</v>
      </c>
      <c r="D195" s="6">
        <v>30</v>
      </c>
      <c r="E195" s="6">
        <v>3</v>
      </c>
      <c r="F195" s="6">
        <v>10</v>
      </c>
      <c r="G195" s="6">
        <v>5</v>
      </c>
      <c r="H195" s="6">
        <v>12</v>
      </c>
      <c r="I195" s="19">
        <f t="shared" si="33"/>
        <v>100</v>
      </c>
    </row>
    <row r="196" spans="1:9">
      <c r="A196" s="6" t="s">
        <v>852</v>
      </c>
      <c r="B196" s="6">
        <v>20</v>
      </c>
      <c r="C196" s="6">
        <v>22</v>
      </c>
      <c r="D196" s="6">
        <v>33</v>
      </c>
      <c r="E196" s="6">
        <v>2</v>
      </c>
      <c r="F196" s="6">
        <v>7</v>
      </c>
      <c r="G196" s="6">
        <v>6</v>
      </c>
      <c r="H196" s="6">
        <v>10</v>
      </c>
      <c r="I196" s="19">
        <f t="shared" si="33"/>
        <v>100</v>
      </c>
    </row>
    <row r="197" spans="1:9" ht="25">
      <c r="A197" s="57" t="s">
        <v>853</v>
      </c>
      <c r="B197" s="6">
        <v>18</v>
      </c>
      <c r="C197" s="6">
        <v>28</v>
      </c>
      <c r="D197" s="6">
        <v>29</v>
      </c>
      <c r="E197" s="6">
        <v>2</v>
      </c>
      <c r="F197" s="6">
        <v>5</v>
      </c>
      <c r="G197" s="6">
        <v>6</v>
      </c>
      <c r="H197" s="6">
        <v>12</v>
      </c>
      <c r="I197" s="19">
        <f t="shared" si="33"/>
        <v>100</v>
      </c>
    </row>
    <row r="198" spans="1:9" ht="37.5">
      <c r="A198" s="57" t="s">
        <v>854</v>
      </c>
      <c r="B198" s="6">
        <v>22</v>
      </c>
      <c r="C198" s="6">
        <v>26</v>
      </c>
      <c r="D198" s="6">
        <v>30</v>
      </c>
      <c r="E198" s="6">
        <v>3</v>
      </c>
      <c r="F198" s="6">
        <v>5</v>
      </c>
      <c r="G198" s="6">
        <v>4</v>
      </c>
      <c r="H198" s="6">
        <v>10</v>
      </c>
      <c r="I198" s="19">
        <f t="shared" si="33"/>
        <v>100</v>
      </c>
    </row>
    <row r="199" spans="1:9" ht="25">
      <c r="A199" s="57" t="s">
        <v>855</v>
      </c>
      <c r="B199" s="6">
        <v>22</v>
      </c>
      <c r="C199" s="6">
        <v>28</v>
      </c>
      <c r="D199" s="6">
        <v>28</v>
      </c>
      <c r="E199" s="6">
        <v>2</v>
      </c>
      <c r="F199" s="6">
        <v>4</v>
      </c>
      <c r="G199" s="6">
        <v>8</v>
      </c>
      <c r="H199" s="6">
        <v>8</v>
      </c>
      <c r="I199" s="19">
        <f t="shared" si="33"/>
        <v>100</v>
      </c>
    </row>
    <row r="200" spans="1:9">
      <c r="A200" s="19"/>
    </row>
    <row r="201" spans="1:9">
      <c r="A201" s="6" t="s">
        <v>840</v>
      </c>
      <c r="B201" s="6" t="s">
        <v>856</v>
      </c>
      <c r="C201" s="6"/>
      <c r="D201" s="6"/>
      <c r="E201" s="6"/>
      <c r="F201" s="6"/>
      <c r="G201" s="6"/>
      <c r="H201" s="6"/>
    </row>
    <row r="202" spans="1:9" ht="25">
      <c r="A202" s="57" t="s">
        <v>848</v>
      </c>
      <c r="B202" s="6">
        <v>15.3</v>
      </c>
      <c r="C202" s="6"/>
      <c r="D202" s="6"/>
      <c r="E202" s="6"/>
      <c r="F202" s="6"/>
      <c r="G202" s="6"/>
      <c r="H202" s="6"/>
    </row>
    <row r="203" spans="1:9" ht="25">
      <c r="A203" s="57" t="s">
        <v>849</v>
      </c>
      <c r="B203" s="6">
        <v>18.149999999999999</v>
      </c>
      <c r="C203" s="6"/>
      <c r="D203" s="6"/>
      <c r="E203" s="6"/>
      <c r="F203" s="6"/>
      <c r="G203" s="6"/>
      <c r="H203" s="6"/>
    </row>
    <row r="204" spans="1:9" ht="25">
      <c r="A204" s="57" t="s">
        <v>850</v>
      </c>
      <c r="B204" s="6">
        <v>15.9</v>
      </c>
      <c r="C204" s="6"/>
      <c r="D204" s="6"/>
      <c r="E204" s="6"/>
      <c r="F204" s="6"/>
      <c r="G204" s="6"/>
      <c r="H204" s="6"/>
    </row>
    <row r="205" spans="1:9" ht="25">
      <c r="A205" s="57" t="s">
        <v>851</v>
      </c>
      <c r="B205" s="6">
        <v>15</v>
      </c>
      <c r="C205" s="6"/>
      <c r="D205" s="6"/>
      <c r="E205" s="6"/>
      <c r="F205" s="6"/>
      <c r="G205" s="6"/>
      <c r="H205" s="6"/>
    </row>
    <row r="206" spans="1:9">
      <c r="A206" s="6" t="s">
        <v>852</v>
      </c>
      <c r="B206" s="6">
        <v>15.15</v>
      </c>
      <c r="C206" s="6"/>
      <c r="D206" s="6"/>
      <c r="E206" s="6"/>
      <c r="F206" s="6"/>
      <c r="G206" s="6"/>
      <c r="H206" s="6"/>
    </row>
    <row r="207" spans="1:9" ht="25">
      <c r="A207" s="57" t="s">
        <v>853</v>
      </c>
      <c r="B207" s="6">
        <v>13.95</v>
      </c>
      <c r="C207" s="6"/>
      <c r="D207" s="6"/>
      <c r="E207" s="6"/>
      <c r="F207" s="6"/>
      <c r="G207" s="6"/>
      <c r="H207" s="6"/>
    </row>
    <row r="208" spans="1:9" ht="37.5">
      <c r="A208" s="57" t="s">
        <v>854</v>
      </c>
      <c r="B208" s="6">
        <v>11.7</v>
      </c>
      <c r="C208" s="6"/>
      <c r="D208" s="6"/>
      <c r="E208" s="6"/>
      <c r="F208" s="6"/>
      <c r="G208" s="6"/>
      <c r="H208" s="6"/>
    </row>
    <row r="209" spans="1:8" ht="25">
      <c r="A209" s="57" t="s">
        <v>855</v>
      </c>
      <c r="B209" s="6">
        <v>11.85</v>
      </c>
      <c r="C209" s="6"/>
      <c r="D209" s="6"/>
      <c r="E209" s="6"/>
      <c r="F209" s="6"/>
      <c r="G209" s="6"/>
      <c r="H209" s="6"/>
    </row>
    <row r="210" spans="1:8">
      <c r="A210" s="19"/>
    </row>
    <row r="211" spans="1:8">
      <c r="A211" s="19"/>
    </row>
    <row r="212" spans="1:8">
      <c r="A212" s="19"/>
    </row>
    <row r="213" spans="1:8">
      <c r="A213" s="19"/>
    </row>
    <row r="214" spans="1:8">
      <c r="A214" s="19"/>
    </row>
    <row r="215" spans="1:8">
      <c r="A215" s="19"/>
    </row>
    <row r="216" spans="1:8">
      <c r="A216" s="19"/>
    </row>
  </sheetData>
  <mergeCells count="8">
    <mergeCell ref="A16:A17"/>
    <mergeCell ref="A18:A19"/>
    <mergeCell ref="A20:A21"/>
    <mergeCell ref="AD1:AE1"/>
    <mergeCell ref="A8:A9"/>
    <mergeCell ref="A10:A11"/>
    <mergeCell ref="A12:A13"/>
    <mergeCell ref="A14:A15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showGridLines="0" showRowColHeaders="0" zoomScale="64" zoomScaleNormal="64" workbookViewId="0">
      <selection activeCell="N15" sqref="N15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showGridLines="0" showRowColHeaders="0" zoomScale="64" zoomScaleNormal="64" workbookViewId="0">
      <selection activeCell="T1" sqref="T1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showGridLines="0" showRowColHeaders="0" zoomScale="64" zoomScaleNormal="64" workbookViewId="0">
      <selection activeCell="Q13" sqref="Q13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showGridLines="0" showRowColHeaders="0" zoomScale="64" zoomScaleNormal="64" workbookViewId="0">
      <selection activeCell="Q18" sqref="Q18"/>
    </sheetView>
  </sheetViews>
  <sheetFormatPr defaultColWidth="8.6640625" defaultRowHeight="15.5"/>
  <sheetData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"/>
  <sheetViews>
    <sheetView showGridLines="0" showRowColHeaders="0" zoomScale="64" zoomScaleNormal="64" workbookViewId="0">
      <selection activeCell="O16" sqref="O16"/>
    </sheetView>
  </sheetViews>
  <sheetFormatPr defaultColWidth="8.6640625" defaultRowHeight="15.5"/>
  <sheetData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Hull vs Tot</vt:lpstr>
      <vt:lpstr>SS vs Tot</vt:lpstr>
      <vt:lpstr>SS vs Hull</vt:lpstr>
      <vt:lpstr>Hull vs LBD</vt:lpstr>
      <vt:lpstr>SS vs LBD</vt:lpstr>
      <vt:lpstr>Tot vs LBD</vt:lpstr>
      <vt:lpstr>Hull vs FLD</vt:lpstr>
      <vt:lpstr>SS vs FLD</vt:lpstr>
      <vt:lpstr>Tot vs FLD</vt:lpstr>
      <vt:lpstr>V1.0</vt:lpstr>
      <vt:lpstr>V1.1</vt:lpstr>
      <vt:lpstr>V1.2</vt:lpstr>
      <vt:lpstr>V1.3</vt:lpstr>
      <vt:lpstr>V1.6</vt:lpstr>
      <vt:lpstr>V1.6 (2)</vt:lpstr>
      <vt:lpstr>V2.0</vt:lpstr>
      <vt:lpstr>V2.0 (2)</vt:lpstr>
      <vt:lpstr>V2.1</vt:lpstr>
      <vt:lpstr>V2.1 (2)</vt:lpstr>
      <vt:lpstr>V2.11</vt:lpstr>
      <vt:lpstr>V2.111</vt:lpstr>
      <vt:lpstr>V2.112</vt:lpstr>
      <vt:lpstr>V2.113</vt:lpstr>
      <vt:lpstr>V2.12</vt:lpstr>
      <vt:lpstr>Eqns</vt:lpstr>
      <vt:lpstr>V2.121</vt:lpstr>
      <vt:lpstr>V2.122</vt:lpstr>
      <vt:lpstr>V2.123</vt:lpstr>
      <vt:lpstr>V2.13</vt:lpstr>
      <vt:lpstr>V2.2</vt:lpstr>
      <vt:lpstr>V2.2 (2)</vt:lpstr>
      <vt:lpstr>V2.3</vt:lpstr>
      <vt:lpstr>V2.3 (2)</vt:lpstr>
      <vt:lpstr>V2.4</vt:lpstr>
      <vt:lpstr>V2.4 (2)</vt:lpstr>
      <vt:lpstr>V3.0</vt:lpstr>
      <vt:lpstr>V3.1</vt:lpstr>
      <vt:lpstr>V3.2</vt:lpstr>
      <vt:lpstr>V3.3</vt:lpstr>
      <vt:lpstr>V3.4</vt:lpstr>
      <vt:lpstr>V3.5</vt:lpstr>
      <vt:lpstr>V3.6</vt:lpstr>
      <vt:lpstr>V3.7</vt:lpstr>
      <vt:lpstr>V3.7 (2)</vt:lpstr>
      <vt:lpstr>V3.8</vt:lpstr>
      <vt:lpstr>V3.8 (2)</vt:lpstr>
      <vt:lpstr>Ship Data</vt:lpstr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Naughton, Patrick</dc:creator>
  <cp:lastModifiedBy>Naughton, Patrick</cp:lastModifiedBy>
  <dcterms:created xsi:type="dcterms:W3CDTF">2020-07-23T21:06:00Z</dcterms:created>
  <dcterms:modified xsi:type="dcterms:W3CDTF">2020-08-05T23:55:55Z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