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chartsheets/sheet20.xml" ContentType="application/vnd.openxmlformats-officedocument.spreadsheetml.chartsheet+xml"/>
  <Override PartName="/xl/chartsheets/sheet21.xml" ContentType="application/vnd.openxmlformats-officedocument.spreadsheetml.chartsheet+xml"/>
  <Override PartName="/xl/chartsheets/sheet22.xml" ContentType="application/vnd.openxmlformats-officedocument.spreadsheetml.chartsheet+xml"/>
  <Override PartName="/xl/chartsheets/sheet23.xml" ContentType="application/vnd.openxmlformats-officedocument.spreadsheetml.chartsheet+xml"/>
  <Override PartName="/xl/chartsheets/sheet24.xml" ContentType="application/vnd.openxmlformats-officedocument.spreadsheetml.chartsheet+xml"/>
  <Override PartName="/xl/chartsheets/sheet25.xml" ContentType="application/vnd.openxmlformats-officedocument.spreadsheetml.chartsheet+xml"/>
  <Override PartName="/xl/chartsheets/sheet26.xml" ContentType="application/vnd.openxmlformats-officedocument.spreadsheetml.chartsheet+xml"/>
  <Override PartName="/xl/chartsheets/sheet27.xml" ContentType="application/vnd.openxmlformats-officedocument.spreadsheetml.chartsheet+xml"/>
  <Override PartName="/xl/chartsheets/sheet28.xml" ContentType="application/vnd.openxmlformats-officedocument.spreadsheetml.chartsheet+xml"/>
  <Override PartName="/xl/chartsheets/sheet29.xml" ContentType="application/vnd.openxmlformats-officedocument.spreadsheetml.chartsheet+xml"/>
  <Override PartName="/xl/chartsheets/sheet30.xml" ContentType="application/vnd.openxmlformats-officedocument.spreadsheetml.chartsheet+xml"/>
  <Override PartName="/xl/chartsheets/sheet31.xml" ContentType="application/vnd.openxmlformats-officedocument.spreadsheetml.chartsheet+xml"/>
  <Override PartName="/xl/chartsheets/sheet32.xml" ContentType="application/vnd.openxmlformats-officedocument.spreadsheetml.chartsheet+xml"/>
  <Override PartName="/xl/chartsheets/sheet33.xml" ContentType="application/vnd.openxmlformats-officedocument.spreadsheetml.chartsheet+xml"/>
  <Override PartName="/xl/chartsheets/sheet34.xml" ContentType="application/vnd.openxmlformats-officedocument.spreadsheetml.chartsheet+xml"/>
  <Override PartName="/xl/chartsheets/sheet35.xml" ContentType="application/vnd.openxmlformats-officedocument.spreadsheetml.chartsheet+xml"/>
  <Override PartName="/xl/chartsheets/sheet36.xml" ContentType="application/vnd.openxmlformats-officedocument.spreadsheetml.chartsheet+xml"/>
  <Override PartName="/xl/chartsheets/sheet37.xml" ContentType="application/vnd.openxmlformats-officedocument.spreadsheetml.chartsheet+xml"/>
  <Override PartName="/xl/chartsheets/sheet38.xml" ContentType="application/vnd.openxmlformats-officedocument.spreadsheetml.chartsheet+xml"/>
  <Override PartName="/xl/chartsheets/sheet39.xml" ContentType="application/vnd.openxmlformats-officedocument.spreadsheetml.chartsheet+xml"/>
  <Override PartName="/xl/chartsheets/sheet40.xml" ContentType="application/vnd.openxmlformats-officedocument.spreadsheetml.chartsheet+xml"/>
  <Override PartName="/xl/chartsheets/sheet41.xml" ContentType="application/vnd.openxmlformats-officedocument.spreadsheetml.chartsheet+xml"/>
  <Override PartName="/xl/chartsheets/sheet42.xml" ContentType="application/vnd.openxmlformats-officedocument.spreadsheetml.chartsheet+xml"/>
  <Override PartName="/xl/chartsheets/sheet43.xml" ContentType="application/vnd.openxmlformats-officedocument.spreadsheetml.chartsheet+xml"/>
  <Override PartName="/xl/chartsheets/sheet44.xml" ContentType="application/vnd.openxmlformats-officedocument.spreadsheetml.chartsheet+xml"/>
  <Override PartName="/xl/chartsheets/sheet45.xml" ContentType="application/vnd.openxmlformats-officedocument.spreadsheetml.chartsheet+xml"/>
  <Override PartName="/xl/worksheets/sheet6.xml" ContentType="application/vnd.openxmlformats-officedocument.spreadsheetml.worksheet+xml"/>
  <Override PartName="/xl/chartsheets/sheet46.xml" ContentType="application/vnd.openxmlformats-officedocument.spreadsheetml.chartsheet+xml"/>
  <Override PartName="/xl/chartsheets/sheet47.xml" ContentType="application/vnd.openxmlformats-officedocument.spreadsheetml.chartsheet+xml"/>
  <Override PartName="/xl/chartsheets/sheet48.xml" ContentType="application/vnd.openxmlformats-officedocument.spreadsheetml.chartsheet+xml"/>
  <Override PartName="/xl/chartsheets/sheet49.xml" ContentType="application/vnd.openxmlformats-officedocument.spreadsheetml.chartsheet+xml"/>
  <Override PartName="/xl/chartsheets/sheet50.xml" ContentType="application/vnd.openxmlformats-officedocument.spreadsheetml.chartsheet+xml"/>
  <Override PartName="/xl/chartsheets/sheet51.xml" ContentType="application/vnd.openxmlformats-officedocument.spreadsheetml.chartsheet+xml"/>
  <Override PartName="/xl/chartsheets/sheet52.xml" ContentType="application/vnd.openxmlformats-officedocument.spreadsheetml.chartsheet+xml"/>
  <Override PartName="/xl/chartsheets/sheet53.xml" ContentType="application/vnd.openxmlformats-officedocument.spreadsheetml.chartsheet+xml"/>
  <Override PartName="/xl/chartsheets/sheet54.xml" ContentType="application/vnd.openxmlformats-officedocument.spreadsheetml.chartsheet+xml"/>
  <Override PartName="/xl/chartsheets/sheet55.xml" ContentType="application/vnd.openxmlformats-officedocument.spreadsheetml.chartsheet+xml"/>
  <Override PartName="/xl/chartsheets/sheet56.xml" ContentType="application/vnd.openxmlformats-officedocument.spreadsheetml.chartsheet+xml"/>
  <Override PartName="/xl/chartsheets/sheet57.xml" ContentType="application/vnd.openxmlformats-officedocument.spreadsheetml.chartsheet+xml"/>
  <Override PartName="/xl/chartsheets/sheet58.xml" ContentType="application/vnd.openxmlformats-officedocument.spreadsheetml.chartsheet+xml"/>
  <Override PartName="/xl/chartsheets/sheet59.xml" ContentType="application/vnd.openxmlformats-officedocument.spreadsheetml.chartsheet+xml"/>
  <Override PartName="/xl/chartsheets/sheet60.xml" ContentType="application/vnd.openxmlformats-officedocument.spreadsheetml.chartsheet+xml"/>
  <Override PartName="/xl/worksheets/sheet7.xml" ContentType="application/vnd.openxmlformats-officedocument.spreadsheetml.worksheet+xml"/>
  <Override PartName="/xl/chartsheets/sheet61.xml" ContentType="application/vnd.openxmlformats-officedocument.spreadsheetml.chartsheet+xml"/>
  <Override PartName="/xl/chartsheets/sheet62.xml" ContentType="application/vnd.openxmlformats-officedocument.spreadsheetml.chartsheet+xml"/>
  <Override PartName="/xl/chartsheets/sheet63.xml" ContentType="application/vnd.openxmlformats-officedocument.spreadsheetml.chartsheet+xml"/>
  <Override PartName="/xl/chartsheets/sheet64.xml" ContentType="application/vnd.openxmlformats-officedocument.spreadsheetml.chartsheet+xml"/>
  <Override PartName="/xl/chartsheets/sheet65.xml" ContentType="application/vnd.openxmlformats-officedocument.spreadsheetml.chartsheet+xml"/>
  <Override PartName="/xl/chartsheets/sheet66.xml" ContentType="application/vnd.openxmlformats-officedocument.spreadsheetml.chartsheet+xml"/>
  <Override PartName="/xl/chartsheets/sheet67.xml" ContentType="application/vnd.openxmlformats-officedocument.spreadsheetml.chartsheet+xml"/>
  <Override PartName="/xl/chartsheets/sheet68.xml" ContentType="application/vnd.openxmlformats-officedocument.spreadsheetml.chartsheet+xml"/>
  <Override PartName="/xl/chartsheets/sheet69.xml" ContentType="application/vnd.openxmlformats-officedocument.spreadsheetml.chartsheet+xml"/>
  <Override PartName="/xl/chartsheets/sheet70.xml" ContentType="application/vnd.openxmlformats-officedocument.spreadsheetml.chartsheet+xml"/>
  <Override PartName="/xl/chartsheets/sheet71.xml" ContentType="application/vnd.openxmlformats-officedocument.spreadsheetml.chartsheet+xml"/>
  <Override PartName="/xl/chartsheets/sheet72.xml" ContentType="application/vnd.openxmlformats-officedocument.spreadsheetml.chartsheet+xml"/>
  <Override PartName="/xl/chartsheets/sheet73.xml" ContentType="application/vnd.openxmlformats-officedocument.spreadsheetml.chartsheet+xml"/>
  <Override PartName="/xl/chartsheets/sheet74.xml" ContentType="application/vnd.openxmlformats-officedocument.spreadsheetml.chartsheet+xml"/>
  <Override PartName="/xl/chartsheets/sheet75.xml" ContentType="application/vnd.openxmlformats-officedocument.spreadsheetml.chartsheet+xml"/>
  <Override PartName="/xl/chartsheets/sheet76.xml" ContentType="application/vnd.openxmlformats-officedocument.spreadsheetml.chartsheet+xml"/>
  <Override PartName="/xl/chartsheets/sheet77.xml" ContentType="application/vnd.openxmlformats-officedocument.spreadsheetml.chartsheet+xml"/>
  <Override PartName="/xl/chartsheets/sheet78.xml" ContentType="application/vnd.openxmlformats-officedocument.spreadsheetml.chartsheet+xml"/>
  <Override PartName="/xl/chartsheets/sheet79.xml" ContentType="application/vnd.openxmlformats-officedocument.spreadsheetml.chartsheet+xml"/>
  <Override PartName="/xl/chartsheets/sheet80.xml" ContentType="application/vnd.openxmlformats-officedocument.spreadsheetml.chartsheet+xml"/>
  <Override PartName="/xl/chartsheets/sheet81.xml" ContentType="application/vnd.openxmlformats-officedocument.spreadsheetml.chartsheet+xml"/>
  <Override PartName="/xl/chartsheets/sheet82.xml" ContentType="application/vnd.openxmlformats-officedocument.spreadsheetml.chartsheet+xml"/>
  <Override PartName="/xl/chartsheets/sheet83.xml" ContentType="application/vnd.openxmlformats-officedocument.spreadsheetml.chartsheet+xml"/>
  <Override PartName="/xl/chartsheets/sheet84.xml" ContentType="application/vnd.openxmlformats-officedocument.spreadsheetml.chartsheet+xml"/>
  <Override PartName="/xl/chartsheets/sheet85.xml" ContentType="application/vnd.openxmlformats-officedocument.spreadsheetml.chartsheet+xml"/>
  <Override PartName="/xl/chartsheets/sheet86.xml" ContentType="application/vnd.openxmlformats-officedocument.spreadsheetml.chartsheet+xml"/>
  <Override PartName="/xl/chartsheets/sheet87.xml" ContentType="application/vnd.openxmlformats-officedocument.spreadsheetml.chartsheet+xml"/>
  <Override PartName="/xl/chartsheets/sheet88.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3.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4.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6.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8.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9.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0.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2.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3.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4.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5.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6.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7.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8.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9.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0.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1.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2.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3.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4.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6.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8.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9.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0.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1.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52.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3.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54.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5.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56.xml" ContentType="application/vnd.openxmlformats-officedocument.drawing+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7.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58.xml" ContentType="application/vnd.openxmlformats-officedocument.drawing+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9.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60.xml" ContentType="application/vnd.openxmlformats-officedocument.drawing+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61.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62.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63.xml" ContentType="application/vnd.openxmlformats-officedocument.drawing+xml"/>
  <Override PartName="/xl/drawings/drawing64.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65.xml" ContentType="application/vnd.openxmlformats-officedocument.drawing+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6.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67.xml" ContentType="application/vnd.openxmlformats-officedocument.drawing+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8.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69.xml" ContentType="application/vnd.openxmlformats-officedocument.drawing+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70.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71.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72.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73.xml" ContentType="application/vnd.openxmlformats-officedocument.drawing+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74.xml" ContentType="application/vnd.openxmlformats-officedocument.drawing+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75.xml" ContentType="application/vnd.openxmlformats-officedocument.drawing+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76.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77.xml" ContentType="application/vnd.openxmlformats-officedocument.drawing+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78.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79.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80.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81.xml" ContentType="application/vnd.openxmlformats-officedocument.drawing+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82.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83.xml" ContentType="application/vnd.openxmlformats-officedocument.drawing+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84.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85.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86.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87.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88.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89.xml" ContentType="application/vnd.openxmlformats-officedocument.drawing+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90.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91.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1F13389709928724/Desktop/"/>
    </mc:Choice>
  </mc:AlternateContent>
  <xr:revisionPtr revIDLastSave="157" documentId="8_{96089892-06C2-4B75-A4AD-A4AA08488B80}" xr6:coauthVersionLast="47" xr6:coauthVersionMax="47" xr10:uidLastSave="{1400D26B-9775-4D07-8B85-8E67F8C9DDB8}"/>
  <bookViews>
    <workbookView xWindow="-110" yWindow="-110" windowWidth="19420" windowHeight="10300" tabRatio="474" firstSheet="65" activeTab="67" xr2:uid="{8ED2293C-E121-4FE3-AADC-CAC025B4FE12}"/>
  </bookViews>
  <sheets>
    <sheet name="References" sheetId="10" r:id="rId1"/>
    <sheet name="Summary Biplane" sheetId="71" r:id="rId2"/>
    <sheet name="Summary Twin" sheetId="70" r:id="rId3"/>
    <sheet name="Percents" sheetId="68" r:id="rId4"/>
    <sheet name="Sheet1" sheetId="95" r:id="rId5"/>
    <sheet name="Empty (2)" sheetId="121" r:id="rId6"/>
    <sheet name="Body L" sheetId="118" r:id="rId7"/>
    <sheet name="Body L (2)" sheetId="119" r:id="rId8"/>
    <sheet name="Fuselage L (2)" sheetId="120" r:id="rId9"/>
    <sheet name="Fuselage L" sheetId="117" r:id="rId10"/>
    <sheet name="Overall L" sheetId="116" r:id="rId11"/>
    <sheet name="H Tail Area" sheetId="114" r:id="rId12"/>
    <sheet name="V Tail Area" sheetId="113" r:id="rId13"/>
    <sheet name="Tail Area" sheetId="112" r:id="rId14"/>
    <sheet name="Pwr Ld vs Wing Ld" sheetId="86" r:id="rId15"/>
    <sheet name="HP vs Wing Area" sheetId="87" r:id="rId16"/>
    <sheet name="Wing Area" sheetId="80" r:id="rId17"/>
    <sheet name="Wing Area (2)" sheetId="92" r:id="rId18"/>
    <sheet name="Wing Area (3)" sheetId="94" r:id="rId19"/>
    <sheet name="Wing Area (4)" sheetId="96" r:id="rId20"/>
    <sheet name="Wing Area (5)" sheetId="98" r:id="rId21"/>
    <sheet name="Wing Span" sheetId="108" r:id="rId22"/>
    <sheet name="Wing Span (2)" sheetId="111" r:id="rId23"/>
    <sheet name="Ailerons" sheetId="109" r:id="rId24"/>
    <sheet name="Flaps" sheetId="110" r:id="rId25"/>
    <sheet name="Fuel" sheetId="49" r:id="rId26"/>
    <sheet name="Oil" sheetId="67" r:id="rId27"/>
    <sheet name="Oil (2)" sheetId="72" r:id="rId28"/>
    <sheet name="Oil (3)" sheetId="73" r:id="rId29"/>
    <sheet name="Useful Lds" sheetId="48" r:id="rId30"/>
    <sheet name="Empty" sheetId="47" r:id="rId31"/>
    <sheet name="Sys &amp; Eq" sheetId="46" r:id="rId32"/>
    <sheet name="Instr" sheetId="60" r:id="rId33"/>
    <sheet name="Surf Cntrls" sheetId="61" r:id="rId34"/>
    <sheet name="Surf Cntrls (2)" sheetId="99" r:id="rId35"/>
    <sheet name="Furnishings" sheetId="78" r:id="rId36"/>
    <sheet name="Furnishings (2)" sheetId="100" r:id="rId37"/>
    <sheet name="Hydr" sheetId="62" r:id="rId38"/>
    <sheet name="Elec" sheetId="63" r:id="rId39"/>
    <sheet name="Elex-Comms" sheetId="65" r:id="rId40"/>
    <sheet name="Arm Prov" sheetId="64" r:id="rId41"/>
    <sheet name="Arm Prov (2)" sheetId="122" r:id="rId42"/>
    <sheet name="Other" sheetId="66" r:id="rId43"/>
    <sheet name="Prpln" sheetId="45" r:id="rId44"/>
    <sheet name="Prpln (2)" sheetId="69" r:id="rId45"/>
    <sheet name="Eng wAcc" sheetId="51" r:id="rId46"/>
    <sheet name="Eng" sheetId="52" r:id="rId47"/>
    <sheet name="Eng (2)" sheetId="81" r:id="rId48"/>
    <sheet name="Eng (3)" sheetId="88" r:id="rId49"/>
    <sheet name="Eng Acc" sheetId="53" r:id="rId50"/>
    <sheet name="Engines" sheetId="34" r:id="rId51"/>
    <sheet name="Eng Pwr" sheetId="103" r:id="rId52"/>
    <sheet name="Eng Pwr (2)" sheetId="104" r:id="rId53"/>
    <sheet name="Eng Pwr (3)" sheetId="105" r:id="rId54"/>
    <sheet name="Eng Pwr (4)" sheetId="107" r:id="rId55"/>
    <sheet name="Eng Pwr (5)" sheetId="125" r:id="rId56"/>
    <sheet name="Eng Acc (2)" sheetId="82" r:id="rId57"/>
    <sheet name="Prop Dia" sheetId="126" r:id="rId58"/>
    <sheet name="Prop" sheetId="30" r:id="rId59"/>
    <sheet name="Prop (2)" sheetId="31" r:id="rId60"/>
    <sheet name="Prop (3)" sheetId="123" r:id="rId61"/>
    <sheet name="Prpln Cntrls" sheetId="54" r:id="rId62"/>
    <sheet name="Starting" sheetId="56" r:id="rId63"/>
    <sheet name="Starting (2)" sheetId="79" r:id="rId64"/>
    <sheet name="Cooling" sheetId="55" r:id="rId65"/>
    <sheet name="LO Sys" sheetId="57" r:id="rId66"/>
    <sheet name="Summary" sheetId="11" r:id="rId67"/>
    <sheet name="LO Sys (2)" sheetId="84" r:id="rId68"/>
    <sheet name="Fuel Sys" sheetId="58" r:id="rId69"/>
    <sheet name="Fuel Sys (2)" sheetId="59" r:id="rId70"/>
    <sheet name="Fuel Sys (3)" sheetId="83" r:id="rId71"/>
    <sheet name="Struct" sheetId="44" r:id="rId72"/>
    <sheet name="Body" sheetId="13" r:id="rId73"/>
    <sheet name="Body (2)" sheetId="35" r:id="rId74"/>
    <sheet name="Body (3)" sheetId="97" r:id="rId75"/>
    <sheet name="Fuselage" sheetId="89" r:id="rId76"/>
    <sheet name="Eng Sect" sheetId="90" r:id="rId77"/>
    <sheet name="Eng Sect (2)" sheetId="91" r:id="rId78"/>
    <sheet name="Wing" sheetId="32" r:id="rId79"/>
    <sheet name="Wing Fold" sheetId="33" r:id="rId80"/>
    <sheet name="Wing (2)" sheetId="37" r:id="rId81"/>
    <sheet name="Sp_Wing_Wt_1" sheetId="127" r:id="rId82"/>
    <sheet name="Sp_Wing_Wt_2" sheetId="128" r:id="rId83"/>
    <sheet name="Sp_Wing_Wt_3" sheetId="129" r:id="rId84"/>
    <sheet name="Tail" sheetId="41" r:id="rId85"/>
    <sheet name="Tail (2)" sheetId="76" r:id="rId86"/>
    <sheet name="H Tail" sheetId="43" r:id="rId87"/>
    <sheet name="H Tail (2)" sheetId="74" r:id="rId88"/>
    <sheet name="V Tail" sheetId="42" r:id="rId89"/>
    <sheet name="V Tail (2)" sheetId="75" r:id="rId90"/>
    <sheet name="LG" sheetId="36" r:id="rId91"/>
    <sheet name="MLG" sheetId="40" r:id="rId92"/>
    <sheet name="ALG" sheetId="39" r:id="rId93"/>
    <sheet name="Tail Hook" sheetId="29" r:id="rId94"/>
    <sheet name="Tail Hook (2)" sheetId="102" r:id="rId95"/>
    <sheet name="Jets" sheetId="3" r:id="rId96"/>
    <sheet name="Wt Groups" sheetId="27" r:id="rId97"/>
    <sheet name="USAAC Fighters" sheetId="1" r:id="rId98"/>
    <sheet name="USN Fighters" sheetId="2" r:id="rId99"/>
    <sheet name="Dive &amp; Torp Bombers" sheetId="4" r:id="rId100"/>
    <sheet name="Twin Engine Bombers" sheetId="5" r:id="rId101"/>
    <sheet name="Four Engine Bombers" sheetId="6" r:id="rId102"/>
    <sheet name="Seaplane Patrol" sheetId="7" r:id="rId103"/>
    <sheet name="Transports" sheetId="8" r:id="rId104"/>
    <sheet name="Single Engine Trainers" sheetId="9" r:id="rId10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20" i="11" l="1"/>
  <c r="BK19" i="11"/>
  <c r="BK53" i="11"/>
  <c r="BK54" i="11"/>
  <c r="BK172" i="11"/>
  <c r="BK179" i="11"/>
  <c r="BK31" i="11"/>
  <c r="BK46" i="11"/>
  <c r="BK92" i="11"/>
  <c r="BK98" i="11"/>
  <c r="BK93" i="11"/>
  <c r="BK83" i="11"/>
  <c r="BK86" i="11"/>
  <c r="BK74" i="11"/>
  <c r="BK75" i="11"/>
  <c r="BK78" i="11"/>
  <c r="BK68" i="11"/>
  <c r="BK71" i="11"/>
  <c r="BK69" i="11"/>
  <c r="CC174" i="11"/>
  <c r="CD174" i="11"/>
  <c r="CE174" i="11"/>
  <c r="CF174" i="11"/>
  <c r="AN83" i="11"/>
  <c r="AN67" i="11" s="1"/>
  <c r="AN98" i="11"/>
  <c r="AN93" i="11"/>
  <c r="AN113" i="11"/>
  <c r="AN147" i="11"/>
  <c r="AN172" i="11"/>
  <c r="AN179" i="11"/>
  <c r="AN44" i="11"/>
  <c r="AN34" i="11"/>
  <c r="AN41" i="11"/>
  <c r="AN38" i="11"/>
  <c r="AN19" i="11"/>
  <c r="AN20" i="11"/>
  <c r="AN22" i="11"/>
  <c r="AN46" i="11"/>
  <c r="AN87" i="11"/>
  <c r="AN78" i="11"/>
  <c r="AN75" i="11"/>
  <c r="CA172" i="11"/>
  <c r="CA178" i="11"/>
  <c r="CA128" i="11"/>
  <c r="CA113" i="11"/>
  <c r="CA98" i="11"/>
  <c r="CA93" i="11"/>
  <c r="CA86" i="11"/>
  <c r="CA74" i="11"/>
  <c r="D145" i="71"/>
  <c r="D126" i="71"/>
  <c r="D125" i="71"/>
  <c r="D111" i="71"/>
  <c r="D90" i="71"/>
  <c r="D66" i="71"/>
  <c r="D96" i="71"/>
  <c r="BG37" i="11"/>
  <c r="BV128" i="11"/>
  <c r="BV147" i="11"/>
  <c r="BV173" i="11" s="1"/>
  <c r="BV172" i="11"/>
  <c r="BV20" i="11"/>
  <c r="BV19" i="11"/>
  <c r="BV98" i="11"/>
  <c r="BV93" i="11"/>
  <c r="BV86" i="11"/>
  <c r="BV67" i="11" s="1"/>
  <c r="BV26" i="11"/>
  <c r="BV178" i="11" s="1"/>
  <c r="BV46" i="11"/>
  <c r="BV30" i="11"/>
  <c r="BV38" i="11"/>
  <c r="BV43" i="11"/>
  <c r="BV41" i="11" s="1"/>
  <c r="BV120" i="11"/>
  <c r="BV113" i="11" s="1"/>
  <c r="BV79" i="11"/>
  <c r="BV78" i="11" s="1"/>
  <c r="BV76" i="11"/>
  <c r="BV75" i="11" s="1"/>
  <c r="BV69" i="11"/>
  <c r="BJ30" i="11"/>
  <c r="E179" i="11"/>
  <c r="F179" i="11"/>
  <c r="H179" i="11"/>
  <c r="I179" i="11"/>
  <c r="J179" i="11"/>
  <c r="K179" i="11"/>
  <c r="L179" i="11"/>
  <c r="M179" i="11"/>
  <c r="N179" i="11"/>
  <c r="O180" i="11"/>
  <c r="P180" i="11"/>
  <c r="Q180" i="11"/>
  <c r="AA180" i="11"/>
  <c r="AE179" i="11"/>
  <c r="AF179" i="11"/>
  <c r="AG179" i="11"/>
  <c r="AK179" i="11"/>
  <c r="AL179" i="11"/>
  <c r="AM179" i="11"/>
  <c r="AR179" i="11"/>
  <c r="AS179" i="11"/>
  <c r="AT179" i="11"/>
  <c r="AU179" i="11"/>
  <c r="AV179" i="11"/>
  <c r="AW179" i="11"/>
  <c r="BI179" i="11"/>
  <c r="BM179" i="11"/>
  <c r="BT178" i="11"/>
  <c r="BU178" i="11"/>
  <c r="BW178" i="11"/>
  <c r="BY178" i="11"/>
  <c r="BZ178" i="11"/>
  <c r="N175" i="11"/>
  <c r="Y175" i="11"/>
  <c r="AD175" i="11"/>
  <c r="BH175" i="11"/>
  <c r="BO175" i="11"/>
  <c r="BQ175" i="11"/>
  <c r="BY37" i="11"/>
  <c r="BZ37" i="11"/>
  <c r="BU37" i="11"/>
  <c r="AZ46" i="11"/>
  <c r="BZ43" i="11"/>
  <c r="BY43" i="11"/>
  <c r="BY34" i="11"/>
  <c r="BZ34" i="11"/>
  <c r="BY30" i="11"/>
  <c r="BZ30" i="11"/>
  <c r="BZ48" i="11"/>
  <c r="BZ46" i="11"/>
  <c r="BY46" i="11"/>
  <c r="BJ54" i="11"/>
  <c r="BJ53" i="11" s="1"/>
  <c r="BJ46" i="11"/>
  <c r="BA53" i="11"/>
  <c r="BB54" i="11"/>
  <c r="BB53" i="11" s="1"/>
  <c r="BC54" i="11"/>
  <c r="BC53" i="11" s="1"/>
  <c r="BD54" i="11"/>
  <c r="BD53" i="11" s="1"/>
  <c r="BE54" i="11"/>
  <c r="BE53" i="11" s="1"/>
  <c r="BF54" i="11"/>
  <c r="BF53" i="11" s="1"/>
  <c r="BB30" i="11"/>
  <c r="BD30" i="11"/>
  <c r="BE30" i="11"/>
  <c r="BF30" i="11"/>
  <c r="BB46" i="11"/>
  <c r="BC46" i="11"/>
  <c r="BD46" i="11"/>
  <c r="BE46" i="11"/>
  <c r="BF46" i="11"/>
  <c r="BG53" i="11"/>
  <c r="BG39" i="11"/>
  <c r="BG42" i="11"/>
  <c r="AC26" i="11"/>
  <c r="AC180" i="11" s="1"/>
  <c r="AB26" i="11"/>
  <c r="AB180" i="11" s="1"/>
  <c r="Y26" i="11"/>
  <c r="Y179" i="11" s="1"/>
  <c r="Z26" i="11"/>
  <c r="Z179" i="11" s="1"/>
  <c r="X26" i="11"/>
  <c r="X179" i="11" s="1"/>
  <c r="W26" i="11"/>
  <c r="W179" i="11" s="1"/>
  <c r="V26" i="11"/>
  <c r="V179" i="11" s="1"/>
  <c r="BX26" i="11"/>
  <c r="BX178" i="11" s="1"/>
  <c r="AS20" i="11"/>
  <c r="AS19" i="11"/>
  <c r="AE20" i="11"/>
  <c r="AE19" i="11"/>
  <c r="H174" i="11"/>
  <c r="J174" i="11"/>
  <c r="K174" i="11"/>
  <c r="L174" i="11"/>
  <c r="M174" i="11"/>
  <c r="N174" i="11"/>
  <c r="P174" i="11"/>
  <c r="Q174" i="11"/>
  <c r="R174" i="11"/>
  <c r="V174" i="11"/>
  <c r="X174" i="11"/>
  <c r="Z174" i="11"/>
  <c r="Y174" i="11"/>
  <c r="AA174" i="11"/>
  <c r="AB174" i="11"/>
  <c r="AC174" i="11"/>
  <c r="AD174" i="11"/>
  <c r="AK174" i="11"/>
  <c r="AR174" i="11"/>
  <c r="AT174" i="11"/>
  <c r="AW174" i="11"/>
  <c r="BB174" i="11"/>
  <c r="BD174" i="11"/>
  <c r="BH174" i="11"/>
  <c r="BO174" i="11"/>
  <c r="BQ174" i="11"/>
  <c r="BC44" i="11"/>
  <c r="AX44" i="11"/>
  <c r="AY44" i="11"/>
  <c r="BA44" i="11"/>
  <c r="AR44" i="11"/>
  <c r="AS44" i="11"/>
  <c r="AT44" i="11"/>
  <c r="AU44" i="11"/>
  <c r="AV44" i="11"/>
  <c r="R44" i="11"/>
  <c r="N44" i="11"/>
  <c r="G44" i="11"/>
  <c r="F44" i="11"/>
  <c r="R38" i="11"/>
  <c r="R41" i="11"/>
  <c r="R34" i="11"/>
  <c r="S56" i="11"/>
  <c r="S30" i="11"/>
  <c r="S54" i="11"/>
  <c r="S53" i="11" s="1"/>
  <c r="R50" i="11"/>
  <c r="P37" i="11"/>
  <c r="O37" i="11"/>
  <c r="M37" i="11"/>
  <c r="L37" i="11"/>
  <c r="J37" i="11"/>
  <c r="I37" i="11"/>
  <c r="H37" i="11"/>
  <c r="Q38" i="11"/>
  <c r="Q41" i="11"/>
  <c r="J46" i="11"/>
  <c r="I46" i="11"/>
  <c r="H46" i="11"/>
  <c r="J40" i="11"/>
  <c r="J43" i="11"/>
  <c r="J35" i="11"/>
  <c r="J34" i="11" s="1"/>
  <c r="H54" i="11"/>
  <c r="H53" i="11" s="1"/>
  <c r="I54" i="11"/>
  <c r="I53" i="11" s="1"/>
  <c r="J54" i="11"/>
  <c r="J53" i="11" s="1"/>
  <c r="K54" i="11"/>
  <c r="K53" i="11" s="1"/>
  <c r="L54" i="11"/>
  <c r="L53" i="11" s="1"/>
  <c r="M54" i="11"/>
  <c r="M53" i="11" s="1"/>
  <c r="N48" i="11"/>
  <c r="N54" i="11"/>
  <c r="N53" i="11" s="1"/>
  <c r="N47" i="11"/>
  <c r="N49" i="11"/>
  <c r="N50" i="11"/>
  <c r="N38" i="11"/>
  <c r="N41" i="11"/>
  <c r="N34" i="11"/>
  <c r="K38" i="11"/>
  <c r="K41" i="11"/>
  <c r="F20" i="11"/>
  <c r="F19" i="11"/>
  <c r="BO52" i="11"/>
  <c r="AK48" i="11"/>
  <c r="AM46" i="11"/>
  <c r="AM20" i="11"/>
  <c r="AM19" i="11"/>
  <c r="AG19" i="11"/>
  <c r="AG20" i="11"/>
  <c r="AF20" i="11"/>
  <c r="AF19" i="11"/>
  <c r="AQ20" i="11"/>
  <c r="AQ19" i="11"/>
  <c r="AO20" i="11"/>
  <c r="AO19" i="11"/>
  <c r="AP20" i="11"/>
  <c r="AP19" i="11"/>
  <c r="U131" i="11"/>
  <c r="U53" i="11"/>
  <c r="U49" i="11"/>
  <c r="U50" i="11"/>
  <c r="U46" i="11"/>
  <c r="U145" i="11"/>
  <c r="U142" i="11"/>
  <c r="U141" i="11"/>
  <c r="U113" i="11"/>
  <c r="U110" i="11"/>
  <c r="U107" i="11"/>
  <c r="U94" i="11"/>
  <c r="U95" i="11"/>
  <c r="U98" i="11"/>
  <c r="U86" i="11"/>
  <c r="U78" i="11"/>
  <c r="U75" i="11"/>
  <c r="U69" i="11"/>
  <c r="U68" i="11" s="1"/>
  <c r="W40" i="11"/>
  <c r="W38" i="11" s="1"/>
  <c r="V40" i="11"/>
  <c r="V38" i="11" s="1"/>
  <c r="W43" i="11"/>
  <c r="W41" i="11" s="1"/>
  <c r="V43" i="11"/>
  <c r="V41" i="11" s="1"/>
  <c r="W35" i="11"/>
  <c r="V35" i="11"/>
  <c r="E54" i="11"/>
  <c r="E53" i="11" s="1"/>
  <c r="E120" i="11"/>
  <c r="E113" i="11" s="1"/>
  <c r="C46" i="11"/>
  <c r="C30" i="11"/>
  <c r="AE172" i="11"/>
  <c r="S172" i="11"/>
  <c r="D172" i="11"/>
  <c r="E172" i="11"/>
  <c r="F172" i="11"/>
  <c r="G172" i="11"/>
  <c r="H172" i="11"/>
  <c r="I172" i="11"/>
  <c r="J172" i="11"/>
  <c r="K172" i="11"/>
  <c r="L172" i="11"/>
  <c r="M172" i="11"/>
  <c r="N172" i="11"/>
  <c r="O172" i="11"/>
  <c r="P172" i="11"/>
  <c r="Q172" i="11"/>
  <c r="R172" i="11"/>
  <c r="T172" i="11"/>
  <c r="V172" i="11"/>
  <c r="W172" i="11"/>
  <c r="X172" i="11"/>
  <c r="Z172" i="11"/>
  <c r="AA172" i="11"/>
  <c r="AB172" i="11"/>
  <c r="AC172" i="11"/>
  <c r="AF172" i="11"/>
  <c r="AG172" i="11"/>
  <c r="AI172" i="11"/>
  <c r="AJ172" i="11"/>
  <c r="AK172" i="11"/>
  <c r="AL172" i="11"/>
  <c r="AM172" i="11"/>
  <c r="AO172" i="11"/>
  <c r="AP172" i="11"/>
  <c r="AQ172" i="11"/>
  <c r="AR172" i="11"/>
  <c r="AT172" i="11"/>
  <c r="AU172" i="11"/>
  <c r="AW172" i="11"/>
  <c r="AZ172" i="11"/>
  <c r="BB172" i="11"/>
  <c r="BD172" i="11"/>
  <c r="BE172" i="11"/>
  <c r="BF172" i="11"/>
  <c r="BG172" i="11"/>
  <c r="BI172" i="11"/>
  <c r="BJ172" i="11"/>
  <c r="BL172" i="11"/>
  <c r="BM172" i="11"/>
  <c r="BN172" i="11"/>
  <c r="BP172" i="11"/>
  <c r="BR172" i="11"/>
  <c r="BS172" i="11"/>
  <c r="BT172" i="11"/>
  <c r="BU172" i="11"/>
  <c r="BW172" i="11"/>
  <c r="BX172" i="11"/>
  <c r="BY172" i="11"/>
  <c r="BZ172" i="11"/>
  <c r="C172" i="11"/>
  <c r="AR93" i="11"/>
  <c r="AK83" i="11"/>
  <c r="AK82" i="11" s="1"/>
  <c r="AP67" i="11"/>
  <c r="BC32" i="11"/>
  <c r="BC30" i="11"/>
  <c r="BC38" i="11"/>
  <c r="BC41" i="11"/>
  <c r="BB37" i="11"/>
  <c r="BC34" i="11"/>
  <c r="BA32" i="11"/>
  <c r="BA30" i="11"/>
  <c r="BA46" i="11"/>
  <c r="BA41" i="11"/>
  <c r="BA38" i="11"/>
  <c r="BA34" i="11"/>
  <c r="AY46" i="11"/>
  <c r="AY38" i="11"/>
  <c r="AY41" i="11"/>
  <c r="AY34" i="11"/>
  <c r="AY32" i="11"/>
  <c r="AY30" i="11"/>
  <c r="AX30" i="11"/>
  <c r="AX38" i="11"/>
  <c r="AX41" i="11"/>
  <c r="AX34" i="11"/>
  <c r="AX32" i="11"/>
  <c r="AT46" i="11"/>
  <c r="AV46" i="11"/>
  <c r="AU46" i="11"/>
  <c r="AU38" i="11"/>
  <c r="AT38" i="11"/>
  <c r="AV38" i="11"/>
  <c r="AU41" i="11"/>
  <c r="AT41" i="11"/>
  <c r="AV41" i="11"/>
  <c r="AS32" i="11"/>
  <c r="AR32" i="11"/>
  <c r="AS46" i="11"/>
  <c r="AR46" i="11"/>
  <c r="AR38" i="11"/>
  <c r="AS38" i="11"/>
  <c r="AS41" i="11"/>
  <c r="AR41" i="11"/>
  <c r="AR34" i="11"/>
  <c r="AS34" i="11"/>
  <c r="AU34" i="11"/>
  <c r="AT34" i="11"/>
  <c r="AV34" i="11"/>
  <c r="AQ26" i="11"/>
  <c r="AQ179" i="11" s="1"/>
  <c r="AK46" i="11"/>
  <c r="AL46" i="11"/>
  <c r="AJ46" i="11"/>
  <c r="AP46" i="11"/>
  <c r="AQ46" i="11"/>
  <c r="AO46" i="11"/>
  <c r="AF46" i="11"/>
  <c r="AG46" i="11"/>
  <c r="AH46" i="11"/>
  <c r="AI46" i="11"/>
  <c r="AE46" i="11"/>
  <c r="AF38" i="11"/>
  <c r="AG38" i="11"/>
  <c r="AH38" i="11"/>
  <c r="AI38" i="11"/>
  <c r="AJ38" i="11"/>
  <c r="AK38" i="11"/>
  <c r="AL38" i="11"/>
  <c r="AM38" i="11"/>
  <c r="AO38" i="11"/>
  <c r="AP38" i="11"/>
  <c r="AQ38" i="11"/>
  <c r="AE38" i="11"/>
  <c r="AF41" i="11"/>
  <c r="AG41" i="11"/>
  <c r="AH41" i="11"/>
  <c r="AI41" i="11"/>
  <c r="AJ41" i="11"/>
  <c r="AK41" i="11"/>
  <c r="AL41" i="11"/>
  <c r="AM41" i="11"/>
  <c r="AO41" i="11"/>
  <c r="AP41" i="11"/>
  <c r="AQ41" i="11"/>
  <c r="AE41" i="11"/>
  <c r="AF36" i="11"/>
  <c r="AF34" i="11" s="1"/>
  <c r="AG36" i="11"/>
  <c r="AG34" i="11" s="1"/>
  <c r="AH36" i="11"/>
  <c r="AH34" i="11" s="1"/>
  <c r="AI36" i="11"/>
  <c r="AI34" i="11" s="1"/>
  <c r="AJ36" i="11"/>
  <c r="AJ34" i="11" s="1"/>
  <c r="AK36" i="11"/>
  <c r="AK34" i="11" s="1"/>
  <c r="AL36" i="11"/>
  <c r="AL34" i="11" s="1"/>
  <c r="AM36" i="11"/>
  <c r="AM34" i="11" s="1"/>
  <c r="AO36" i="11"/>
  <c r="AO34" i="11" s="1"/>
  <c r="AP36" i="11"/>
  <c r="AP34" i="11" s="1"/>
  <c r="AQ36" i="11"/>
  <c r="AQ34" i="11" s="1"/>
  <c r="AE36" i="11"/>
  <c r="AE34" i="11" s="1"/>
  <c r="G34" i="11"/>
  <c r="F34" i="11"/>
  <c r="G54" i="11"/>
  <c r="G53" i="11" s="1"/>
  <c r="F54" i="11"/>
  <c r="F53" i="11" s="1"/>
  <c r="G38" i="11"/>
  <c r="F38" i="11"/>
  <c r="G41" i="11"/>
  <c r="F41" i="11"/>
  <c r="BA146" i="11"/>
  <c r="BA139" i="11"/>
  <c r="BA110" i="11"/>
  <c r="BA107" i="11"/>
  <c r="BA105" i="11"/>
  <c r="BA103" i="11" s="1"/>
  <c r="BA78" i="11"/>
  <c r="BA75" i="11"/>
  <c r="BA69" i="11"/>
  <c r="BA68" i="11" s="1"/>
  <c r="BA172" i="11" s="1"/>
  <c r="AY139" i="11"/>
  <c r="AY110" i="11"/>
  <c r="AY107" i="11"/>
  <c r="AY75" i="11"/>
  <c r="AY78" i="11"/>
  <c r="AY69" i="11"/>
  <c r="AY68" i="11" s="1"/>
  <c r="AY172" i="11" s="1"/>
  <c r="AX139" i="11"/>
  <c r="AX110" i="11"/>
  <c r="AX107" i="11"/>
  <c r="AX78" i="11"/>
  <c r="AX75" i="11"/>
  <c r="AX69" i="11"/>
  <c r="AX68" i="11" s="1"/>
  <c r="AX172" i="11" s="1"/>
  <c r="BC68" i="11"/>
  <c r="BC172" i="11" s="1"/>
  <c r="BC78" i="11"/>
  <c r="BC75" i="11"/>
  <c r="BC107" i="11"/>
  <c r="BC110" i="11"/>
  <c r="BC139" i="11"/>
  <c r="BC146" i="11"/>
  <c r="AV139" i="11"/>
  <c r="AV128" i="11" s="1"/>
  <c r="AS139" i="11"/>
  <c r="AS122" i="11"/>
  <c r="AS113" i="11" s="1"/>
  <c r="AV110" i="11"/>
  <c r="AV107" i="11"/>
  <c r="AV75" i="11"/>
  <c r="AV78" i="11"/>
  <c r="AV68" i="11"/>
  <c r="AV172" i="11" s="1"/>
  <c r="AE128" i="11"/>
  <c r="AF128" i="11"/>
  <c r="AG128" i="11"/>
  <c r="AH128" i="11"/>
  <c r="AH147" i="11" s="1"/>
  <c r="AH59" i="11" s="1"/>
  <c r="AI128" i="11"/>
  <c r="AJ128" i="11"/>
  <c r="AO128" i="11"/>
  <c r="AQ128" i="11"/>
  <c r="AP128" i="11"/>
  <c r="BO128" i="11"/>
  <c r="BQ128" i="11"/>
  <c r="BR128" i="11"/>
  <c r="BS128" i="11"/>
  <c r="BT128" i="11"/>
  <c r="BU128" i="11"/>
  <c r="BW128" i="11"/>
  <c r="BX128" i="11"/>
  <c r="BY128" i="11"/>
  <c r="BZ128" i="11"/>
  <c r="BP140" i="11"/>
  <c r="BP139" i="11" s="1"/>
  <c r="BN140" i="11"/>
  <c r="BN139" i="11" s="1"/>
  <c r="BN128" i="11" s="1"/>
  <c r="BM140" i="11"/>
  <c r="BM139" i="11" s="1"/>
  <c r="BM128" i="11" s="1"/>
  <c r="BL140" i="11"/>
  <c r="BL139" i="11" s="1"/>
  <c r="BJ140" i="11"/>
  <c r="BJ139" i="11" s="1"/>
  <c r="BJ128" i="11" s="1"/>
  <c r="BI140" i="11"/>
  <c r="BI139" i="11" s="1"/>
  <c r="BI128" i="11" s="1"/>
  <c r="BG140" i="11"/>
  <c r="BG139" i="11" s="1"/>
  <c r="BF140" i="11"/>
  <c r="BF139" i="11" s="1"/>
  <c r="BF128" i="11" s="1"/>
  <c r="BE140" i="11"/>
  <c r="BE139" i="11" s="1"/>
  <c r="BE128" i="11" s="1"/>
  <c r="AZ140" i="11"/>
  <c r="AZ139" i="11" s="1"/>
  <c r="AU140" i="11"/>
  <c r="AU139" i="11" s="1"/>
  <c r="AU128" i="11" s="1"/>
  <c r="AU154" i="11" s="1"/>
  <c r="AL140" i="11"/>
  <c r="AL139" i="11" s="1"/>
  <c r="AL128" i="11" s="1"/>
  <c r="W140" i="11"/>
  <c r="W139" i="11" s="1"/>
  <c r="W128" i="11" s="1"/>
  <c r="W154" i="11" s="1"/>
  <c r="S140" i="11"/>
  <c r="S139" i="11" s="1"/>
  <c r="O140" i="11"/>
  <c r="O139" i="11" s="1"/>
  <c r="O128" i="11" s="1"/>
  <c r="I140" i="11"/>
  <c r="I139" i="11" s="1"/>
  <c r="I128" i="11" s="1"/>
  <c r="T140" i="11"/>
  <c r="T139" i="11" s="1"/>
  <c r="T128" i="11" s="1"/>
  <c r="D140" i="11"/>
  <c r="D139" i="11" s="1"/>
  <c r="D128" i="11" s="1"/>
  <c r="E140" i="11"/>
  <c r="E139" i="11" s="1"/>
  <c r="C140" i="11"/>
  <c r="C139" i="11" s="1"/>
  <c r="C128" i="11" s="1"/>
  <c r="C154" i="11" s="1"/>
  <c r="AV122" i="11"/>
  <c r="AV113" i="11" s="1"/>
  <c r="AS110" i="11"/>
  <c r="AS107" i="11"/>
  <c r="AS78" i="11"/>
  <c r="AS75" i="11"/>
  <c r="AS68" i="11"/>
  <c r="AS172" i="11" s="1"/>
  <c r="BZ74" i="11"/>
  <c r="BY74" i="11"/>
  <c r="BX74" i="11"/>
  <c r="BW74" i="11"/>
  <c r="BU74" i="11"/>
  <c r="BT74" i="11"/>
  <c r="BS74" i="11"/>
  <c r="BR74" i="11"/>
  <c r="BP74" i="11"/>
  <c r="BN74" i="11"/>
  <c r="BM74" i="11"/>
  <c r="BL74" i="11"/>
  <c r="BJ74" i="11"/>
  <c r="BI74" i="11"/>
  <c r="BG74" i="11"/>
  <c r="BF74" i="11"/>
  <c r="BE74" i="11"/>
  <c r="AZ74" i="11"/>
  <c r="AU74" i="11"/>
  <c r="AL74" i="11"/>
  <c r="W74" i="11"/>
  <c r="S74" i="11"/>
  <c r="O74" i="11"/>
  <c r="I74" i="11"/>
  <c r="T74" i="11"/>
  <c r="D74" i="11"/>
  <c r="E74" i="11"/>
  <c r="C74" i="11"/>
  <c r="BC131" i="11"/>
  <c r="BA131" i="11"/>
  <c r="AY131" i="11"/>
  <c r="AX131" i="11"/>
  <c r="BC113" i="11"/>
  <c r="BC98" i="11"/>
  <c r="BC93" i="11"/>
  <c r="BC86" i="11"/>
  <c r="BC83" i="11"/>
  <c r="BC48" i="11"/>
  <c r="BC26" i="11"/>
  <c r="BC179" i="11" s="1"/>
  <c r="BC20" i="11"/>
  <c r="BC19" i="11"/>
  <c r="BA93" i="11"/>
  <c r="BA98" i="11"/>
  <c r="BA113" i="11"/>
  <c r="BA83" i="11"/>
  <c r="BA86" i="11"/>
  <c r="BA47" i="11"/>
  <c r="AZ26" i="11"/>
  <c r="AZ179" i="11" s="1"/>
  <c r="BA26" i="11"/>
  <c r="BA179" i="11" s="1"/>
  <c r="BA48" i="11"/>
  <c r="BA20" i="11"/>
  <c r="BA19" i="11"/>
  <c r="AY98" i="11"/>
  <c r="AY26" i="11"/>
  <c r="AY179" i="11" s="1"/>
  <c r="AY113" i="11"/>
  <c r="AY93" i="11"/>
  <c r="AY86" i="11"/>
  <c r="AY83" i="11"/>
  <c r="AY48" i="11"/>
  <c r="AY20" i="11"/>
  <c r="AY19" i="11"/>
  <c r="AX46" i="11"/>
  <c r="AX83" i="11"/>
  <c r="AX113" i="11"/>
  <c r="AX98" i="11"/>
  <c r="AX93" i="11"/>
  <c r="AX86" i="11"/>
  <c r="AX48" i="11"/>
  <c r="AX26" i="11"/>
  <c r="AX179" i="11" s="1"/>
  <c r="AX20" i="11"/>
  <c r="AX19" i="11"/>
  <c r="AV83" i="11"/>
  <c r="AV93" i="11"/>
  <c r="AV98" i="11"/>
  <c r="AV87" i="11"/>
  <c r="AV86" i="11" s="1"/>
  <c r="AS136" i="11"/>
  <c r="AV48" i="11"/>
  <c r="AV20" i="11"/>
  <c r="AV19" i="11"/>
  <c r="AS93" i="11"/>
  <c r="AS98" i="11"/>
  <c r="AS83" i="11"/>
  <c r="AS87" i="11"/>
  <c r="AS86" i="11" s="1"/>
  <c r="AS49" i="11"/>
  <c r="AS48" i="11"/>
  <c r="BE19" i="11"/>
  <c r="BE20" i="11"/>
  <c r="BE26" i="11"/>
  <c r="BE179" i="11" s="1"/>
  <c r="BE37" i="11"/>
  <c r="BE48" i="11"/>
  <c r="BE86" i="11"/>
  <c r="BE82" i="11" s="1"/>
  <c r="BE93" i="11"/>
  <c r="BE98" i="11"/>
  <c r="BE113" i="11"/>
  <c r="I58" i="34"/>
  <c r="H58" i="34"/>
  <c r="I57" i="34"/>
  <c r="H57" i="34"/>
  <c r="I56" i="34"/>
  <c r="H56" i="34"/>
  <c r="I55" i="34"/>
  <c r="H55" i="34"/>
  <c r="I54" i="34"/>
  <c r="H54" i="34"/>
  <c r="S52" i="34"/>
  <c r="S51" i="34"/>
  <c r="J51" i="34"/>
  <c r="I51" i="34"/>
  <c r="H51" i="34"/>
  <c r="S49" i="34"/>
  <c r="I49" i="34"/>
  <c r="H49" i="34"/>
  <c r="S47" i="34"/>
  <c r="I47" i="34"/>
  <c r="H47" i="34"/>
  <c r="I46" i="34"/>
  <c r="H46" i="34"/>
  <c r="S48" i="34"/>
  <c r="I48" i="34"/>
  <c r="H48" i="34"/>
  <c r="S45" i="34"/>
  <c r="I45" i="34"/>
  <c r="H45" i="34"/>
  <c r="I44" i="34"/>
  <c r="H44" i="34"/>
  <c r="S43" i="34"/>
  <c r="I43" i="34"/>
  <c r="H43" i="34"/>
  <c r="S41" i="34"/>
  <c r="I41" i="34"/>
  <c r="H41" i="34"/>
  <c r="S42" i="34"/>
  <c r="I42" i="34"/>
  <c r="H42" i="34"/>
  <c r="S40" i="34"/>
  <c r="I40" i="34"/>
  <c r="H40" i="34"/>
  <c r="I39" i="34"/>
  <c r="H39" i="34"/>
  <c r="I38" i="34"/>
  <c r="H38" i="34"/>
  <c r="I37" i="34"/>
  <c r="H37" i="34"/>
  <c r="I32" i="34"/>
  <c r="H32" i="34"/>
  <c r="I31" i="34"/>
  <c r="H31" i="34"/>
  <c r="I30" i="34"/>
  <c r="H30" i="34"/>
  <c r="S18" i="34"/>
  <c r="S17" i="34"/>
  <c r="I16" i="34"/>
  <c r="H16" i="34"/>
  <c r="I14" i="34"/>
  <c r="H14" i="34"/>
  <c r="S8" i="34"/>
  <c r="I8" i="34"/>
  <c r="H8" i="34"/>
  <c r="I6" i="34"/>
  <c r="H6" i="34"/>
  <c r="I5" i="34"/>
  <c r="H5" i="34"/>
  <c r="I3" i="34"/>
  <c r="H3" i="34"/>
  <c r="BR21" i="11"/>
  <c r="BR19" i="11"/>
  <c r="BR20" i="11"/>
  <c r="BI19" i="11"/>
  <c r="BI20" i="11"/>
  <c r="BI52" i="11" s="1"/>
  <c r="AW20" i="11"/>
  <c r="AW19" i="11"/>
  <c r="AK20" i="11"/>
  <c r="AK19" i="11"/>
  <c r="AJ20" i="11"/>
  <c r="AJ19" i="11"/>
  <c r="AI20" i="11"/>
  <c r="AI19" i="11"/>
  <c r="AH20" i="11"/>
  <c r="AH19" i="11"/>
  <c r="AL20" i="11"/>
  <c r="AL19" i="11"/>
  <c r="BJ20" i="11"/>
  <c r="BJ19" i="11"/>
  <c r="BL20" i="11"/>
  <c r="BL19" i="11"/>
  <c r="BN20" i="11"/>
  <c r="BN19" i="11"/>
  <c r="BM20" i="11"/>
  <c r="BM52" i="11" s="1"/>
  <c r="BM19" i="11"/>
  <c r="BP20" i="11"/>
  <c r="BP52" i="11" s="1"/>
  <c r="BP19" i="11"/>
  <c r="BU20" i="11"/>
  <c r="BU52" i="11" s="1"/>
  <c r="BU19" i="11"/>
  <c r="BG19" i="11"/>
  <c r="BG20" i="11"/>
  <c r="BG52" i="11" s="1"/>
  <c r="BF19" i="11"/>
  <c r="BB19" i="11"/>
  <c r="BD19" i="11"/>
  <c r="BF20" i="11"/>
  <c r="BB20" i="11"/>
  <c r="BD20" i="11"/>
  <c r="BD52" i="11" s="1"/>
  <c r="AZ19" i="11"/>
  <c r="AZ20" i="11"/>
  <c r="C19" i="11"/>
  <c r="C20" i="11"/>
  <c r="BZ19" i="11"/>
  <c r="BZ20" i="11"/>
  <c r="BY20" i="11"/>
  <c r="BY19" i="11"/>
  <c r="BX19" i="11"/>
  <c r="BX20" i="11"/>
  <c r="AT20" i="11"/>
  <c r="AU20" i="11"/>
  <c r="AT19" i="11"/>
  <c r="AU19" i="11"/>
  <c r="Q20" i="11"/>
  <c r="Q52" i="11" s="1"/>
  <c r="Q19" i="11"/>
  <c r="O19" i="11"/>
  <c r="O20" i="11"/>
  <c r="O52" i="11" s="1"/>
  <c r="BW19" i="11"/>
  <c r="BW20" i="11"/>
  <c r="BW52" i="11" s="1"/>
  <c r="G19" i="11"/>
  <c r="G20" i="11"/>
  <c r="G52" i="11" s="1"/>
  <c r="AR19" i="11"/>
  <c r="AR20" i="11"/>
  <c r="E19" i="11"/>
  <c r="D20" i="11"/>
  <c r="D52" i="11" s="1"/>
  <c r="E20" i="11"/>
  <c r="E52" i="11" s="1"/>
  <c r="D19" i="11"/>
  <c r="BM48" i="11"/>
  <c r="AR49" i="11"/>
  <c r="BU48" i="11"/>
  <c r="BW37" i="11"/>
  <c r="BW48" i="11"/>
  <c r="J48" i="11"/>
  <c r="H48" i="11"/>
  <c r="D37" i="11"/>
  <c r="T37" i="11"/>
  <c r="T48" i="11"/>
  <c r="AB48" i="11"/>
  <c r="AC48" i="11"/>
  <c r="AA48" i="11"/>
  <c r="P48" i="11"/>
  <c r="Q48" i="11"/>
  <c r="O48" i="11"/>
  <c r="I48" i="11"/>
  <c r="M48" i="11"/>
  <c r="L48" i="11"/>
  <c r="K48" i="11"/>
  <c r="V48" i="11"/>
  <c r="X48" i="11"/>
  <c r="Z48" i="11"/>
  <c r="Y48" i="11"/>
  <c r="W48" i="11"/>
  <c r="F47" i="11"/>
  <c r="G47" i="11"/>
  <c r="E37" i="11"/>
  <c r="E48" i="11"/>
  <c r="D48" i="11"/>
  <c r="C37" i="11"/>
  <c r="C48" i="11"/>
  <c r="BB48" i="11"/>
  <c r="BD48" i="11"/>
  <c r="AZ48" i="11"/>
  <c r="BF48" i="11"/>
  <c r="AW48" i="11"/>
  <c r="AU48" i="11"/>
  <c r="AT48" i="11"/>
  <c r="AR48" i="11"/>
  <c r="AF48" i="11"/>
  <c r="AG48" i="11"/>
  <c r="AH48" i="11"/>
  <c r="AI48" i="11"/>
  <c r="AJ48" i="11"/>
  <c r="AO48" i="11"/>
  <c r="AQ48" i="11"/>
  <c r="AP48" i="11"/>
  <c r="AM48" i="11"/>
  <c r="AE48" i="11"/>
  <c r="BP41" i="11"/>
  <c r="BM41" i="11"/>
  <c r="BJ41" i="11"/>
  <c r="BI41" i="11"/>
  <c r="BP38" i="11"/>
  <c r="BP37" i="11" s="1"/>
  <c r="BM38" i="11"/>
  <c r="BJ38" i="11"/>
  <c r="BI38" i="11"/>
  <c r="BI37" i="11" s="1"/>
  <c r="AE47" i="11"/>
  <c r="BP48" i="11"/>
  <c r="BJ48" i="11"/>
  <c r="H28" i="70"/>
  <c r="H26" i="70" s="1"/>
  <c r="H27" i="70"/>
  <c r="BI48" i="11"/>
  <c r="F82" i="11"/>
  <c r="G82" i="11"/>
  <c r="H82" i="11"/>
  <c r="J82" i="11"/>
  <c r="K82" i="11"/>
  <c r="L82" i="11"/>
  <c r="M82" i="11"/>
  <c r="N82" i="11"/>
  <c r="V82" i="11"/>
  <c r="X82" i="11"/>
  <c r="Z82" i="11"/>
  <c r="S49" i="11"/>
  <c r="S50" i="11"/>
  <c r="L49" i="11"/>
  <c r="M49" i="11"/>
  <c r="K49" i="11"/>
  <c r="J49" i="11"/>
  <c r="H49" i="11"/>
  <c r="I49" i="11"/>
  <c r="L50" i="11"/>
  <c r="M50" i="11"/>
  <c r="K50" i="11"/>
  <c r="J50" i="11"/>
  <c r="I50" i="11"/>
  <c r="H50" i="11"/>
  <c r="L46" i="11"/>
  <c r="M46" i="11"/>
  <c r="N46" i="11"/>
  <c r="AA37" i="11"/>
  <c r="AB37" i="11"/>
  <c r="AC37" i="11"/>
  <c r="X37" i="11"/>
  <c r="Z37" i="11"/>
  <c r="Y37" i="11"/>
  <c r="BD37" i="11"/>
  <c r="BF37" i="11"/>
  <c r="AZ37" i="11"/>
  <c r="BT98" i="11"/>
  <c r="BU98" i="11"/>
  <c r="BW98" i="11"/>
  <c r="BX98" i="11"/>
  <c r="BY98" i="11"/>
  <c r="BZ98" i="11"/>
  <c r="BS98" i="11"/>
  <c r="BR98" i="11"/>
  <c r="BP98" i="11"/>
  <c r="BN98" i="11"/>
  <c r="BM98" i="11"/>
  <c r="BL98" i="11"/>
  <c r="BJ98" i="11"/>
  <c r="AT98" i="11"/>
  <c r="AW98" i="11"/>
  <c r="AW92" i="11" s="1"/>
  <c r="AZ98" i="11"/>
  <c r="BF98" i="11"/>
  <c r="BB98" i="11"/>
  <c r="BD98" i="11"/>
  <c r="BG98" i="11"/>
  <c r="BI98" i="11"/>
  <c r="AU98" i="11"/>
  <c r="AR98" i="11"/>
  <c r="AR92" i="11" s="1"/>
  <c r="AK98" i="11"/>
  <c r="AK92" i="11" s="1"/>
  <c r="AM98" i="11"/>
  <c r="AL98" i="11"/>
  <c r="AB98" i="11"/>
  <c r="AC98" i="11"/>
  <c r="AA98" i="11"/>
  <c r="AA92" i="11" s="1"/>
  <c r="Z98" i="11"/>
  <c r="X98" i="11"/>
  <c r="V98" i="11"/>
  <c r="W98" i="11"/>
  <c r="R98" i="11"/>
  <c r="R92" i="11" s="1"/>
  <c r="S98" i="11"/>
  <c r="Q98" i="11"/>
  <c r="P98" i="11"/>
  <c r="O98" i="11"/>
  <c r="N98" i="11"/>
  <c r="M98" i="11"/>
  <c r="L98" i="11"/>
  <c r="K98" i="11"/>
  <c r="J98" i="11"/>
  <c r="H98" i="11"/>
  <c r="I98" i="11"/>
  <c r="T98" i="11"/>
  <c r="D98" i="11"/>
  <c r="E98" i="11"/>
  <c r="C98" i="11"/>
  <c r="BL46" i="11"/>
  <c r="BL52" i="11" s="1"/>
  <c r="BN26" i="11"/>
  <c r="BN179" i="11" s="1"/>
  <c r="BN46" i="11"/>
  <c r="BN52" i="11" s="1"/>
  <c r="D91" i="71"/>
  <c r="D84" i="71"/>
  <c r="D72" i="71"/>
  <c r="H88" i="70"/>
  <c r="F88" i="70"/>
  <c r="B88" i="70"/>
  <c r="H67" i="70"/>
  <c r="F67" i="70"/>
  <c r="D67" i="70"/>
  <c r="C67" i="70"/>
  <c r="B67" i="70"/>
  <c r="H60" i="70"/>
  <c r="F60" i="70"/>
  <c r="F58" i="70" s="1"/>
  <c r="D60" i="70"/>
  <c r="D58" i="70" s="1"/>
  <c r="C60" i="70"/>
  <c r="C58" i="70" s="1"/>
  <c r="H58" i="70"/>
  <c r="H53" i="70"/>
  <c r="F53" i="70"/>
  <c r="D53" i="70"/>
  <c r="C53" i="70"/>
  <c r="B53" i="70"/>
  <c r="B52" i="70" s="1"/>
  <c r="H47" i="70"/>
  <c r="F47" i="70"/>
  <c r="B47" i="70"/>
  <c r="D43" i="70"/>
  <c r="D36" i="70" s="1"/>
  <c r="C43" i="70"/>
  <c r="C36" i="70" s="1"/>
  <c r="H38" i="70"/>
  <c r="F38" i="70"/>
  <c r="B38" i="70"/>
  <c r="D29" i="70"/>
  <c r="B29" i="70"/>
  <c r="H17" i="70"/>
  <c r="F17" i="70"/>
  <c r="B13" i="70"/>
  <c r="H12" i="70"/>
  <c r="H13" i="70" s="1"/>
  <c r="F12" i="70"/>
  <c r="F13" i="70" s="1"/>
  <c r="D12" i="70"/>
  <c r="D13" i="70" s="1"/>
  <c r="C12" i="70"/>
  <c r="C13" i="70" s="1"/>
  <c r="G128" i="11"/>
  <c r="F128" i="11"/>
  <c r="AW122" i="11"/>
  <c r="AW113" i="11" s="1"/>
  <c r="AR113" i="11"/>
  <c r="BZ113" i="11"/>
  <c r="BY113" i="11"/>
  <c r="BX113" i="11"/>
  <c r="BW113" i="11"/>
  <c r="BU113" i="11"/>
  <c r="BT113" i="11"/>
  <c r="BS113" i="11"/>
  <c r="BR113" i="11"/>
  <c r="BP113" i="11"/>
  <c r="BN113" i="11"/>
  <c r="BM113" i="11"/>
  <c r="BL113" i="11"/>
  <c r="BJ113" i="11"/>
  <c r="BI113" i="11"/>
  <c r="BG113" i="11"/>
  <c r="BD113" i="11"/>
  <c r="BB113" i="11"/>
  <c r="BF113" i="11"/>
  <c r="AZ113" i="11"/>
  <c r="AT113" i="11"/>
  <c r="AU113" i="11"/>
  <c r="AK113" i="11"/>
  <c r="AM113" i="11"/>
  <c r="AL113" i="11"/>
  <c r="AC113" i="11"/>
  <c r="AB113" i="11"/>
  <c r="AA113" i="11"/>
  <c r="Z113" i="11"/>
  <c r="X113" i="11"/>
  <c r="V113" i="11"/>
  <c r="W113" i="11"/>
  <c r="R113" i="11"/>
  <c r="S113" i="11"/>
  <c r="Q113" i="11"/>
  <c r="P113" i="11"/>
  <c r="O113" i="11"/>
  <c r="M113" i="11"/>
  <c r="L113" i="11"/>
  <c r="K113" i="11"/>
  <c r="J113" i="11"/>
  <c r="H113" i="11"/>
  <c r="I113" i="11"/>
  <c r="D113" i="11"/>
  <c r="T113" i="11"/>
  <c r="C113" i="11"/>
  <c r="BZ93" i="11"/>
  <c r="BY93" i="11"/>
  <c r="BX93" i="11"/>
  <c r="BW93" i="11"/>
  <c r="BU93" i="11"/>
  <c r="BT93" i="11"/>
  <c r="BS93" i="11"/>
  <c r="BR93" i="11"/>
  <c r="BP93" i="11"/>
  <c r="BN93" i="11"/>
  <c r="BM93" i="11"/>
  <c r="BL93" i="11"/>
  <c r="BJ93" i="11"/>
  <c r="BI93" i="11"/>
  <c r="BG93" i="11"/>
  <c r="BD93" i="11"/>
  <c r="BB93" i="11"/>
  <c r="BF93" i="11"/>
  <c r="AZ93" i="11"/>
  <c r="AT93" i="11"/>
  <c r="AU93" i="11"/>
  <c r="AM93" i="11"/>
  <c r="AL93" i="11"/>
  <c r="AC93" i="11"/>
  <c r="AB93" i="11"/>
  <c r="Z93" i="11"/>
  <c r="X93" i="11"/>
  <c r="V93" i="11"/>
  <c r="W93" i="11"/>
  <c r="S93" i="11"/>
  <c r="Q93" i="11"/>
  <c r="P93" i="11"/>
  <c r="O93" i="11"/>
  <c r="N93" i="11"/>
  <c r="M93" i="11"/>
  <c r="L93" i="11"/>
  <c r="K93" i="11"/>
  <c r="J93" i="11"/>
  <c r="H93" i="11"/>
  <c r="I93" i="11"/>
  <c r="E93" i="11"/>
  <c r="D93" i="11"/>
  <c r="T93" i="11"/>
  <c r="C93" i="11"/>
  <c r="BZ86" i="11"/>
  <c r="BZ82" i="11" s="1"/>
  <c r="BY86" i="11"/>
  <c r="BY82" i="11" s="1"/>
  <c r="BX86" i="11"/>
  <c r="BX82" i="11" s="1"/>
  <c r="BW86" i="11"/>
  <c r="BW82" i="11" s="1"/>
  <c r="BU86" i="11"/>
  <c r="BU82" i="11" s="1"/>
  <c r="BT86" i="11"/>
  <c r="BT82" i="11" s="1"/>
  <c r="BS86" i="11"/>
  <c r="BS82" i="11" s="1"/>
  <c r="BR86" i="11"/>
  <c r="BR82" i="11" s="1"/>
  <c r="BP86" i="11"/>
  <c r="BP82" i="11" s="1"/>
  <c r="BN86" i="11"/>
  <c r="BN82" i="11" s="1"/>
  <c r="BM86" i="11"/>
  <c r="BM82" i="11" s="1"/>
  <c r="BL86" i="11"/>
  <c r="BL82" i="11" s="1"/>
  <c r="BJ86" i="11"/>
  <c r="BK82" i="11" s="1"/>
  <c r="BI86" i="11"/>
  <c r="BI82" i="11" s="1"/>
  <c r="BG86" i="11"/>
  <c r="BG82" i="11" s="1"/>
  <c r="BF86" i="11"/>
  <c r="BF82" i="11" s="1"/>
  <c r="AZ86" i="11"/>
  <c r="AZ82" i="11" s="1"/>
  <c r="AU86" i="11"/>
  <c r="AU82" i="11" s="1"/>
  <c r="AL86" i="11"/>
  <c r="AL82" i="11" s="1"/>
  <c r="W86" i="11"/>
  <c r="W82" i="11" s="1"/>
  <c r="S86" i="11"/>
  <c r="S82" i="11" s="1"/>
  <c r="O86" i="11"/>
  <c r="O82" i="11" s="1"/>
  <c r="I86" i="11"/>
  <c r="I82" i="11" s="1"/>
  <c r="E86" i="11"/>
  <c r="E82" i="11" s="1"/>
  <c r="D86" i="11"/>
  <c r="D82" i="11" s="1"/>
  <c r="T86" i="11"/>
  <c r="T82" i="11" s="1"/>
  <c r="C86" i="11"/>
  <c r="C82" i="11" s="1"/>
  <c r="BD83" i="11"/>
  <c r="BD67" i="11" s="1"/>
  <c r="BB83" i="11"/>
  <c r="AW83" i="11"/>
  <c r="AW67" i="11" s="1"/>
  <c r="AT83" i="11"/>
  <c r="AT67" i="11" s="1"/>
  <c r="AR83" i="11"/>
  <c r="AR67" i="11" s="1"/>
  <c r="AM83" i="11"/>
  <c r="AM67" i="11" s="1"/>
  <c r="AC83" i="11"/>
  <c r="AC67" i="11" s="1"/>
  <c r="AB83" i="11"/>
  <c r="AB67" i="11" s="1"/>
  <c r="AA83" i="11"/>
  <c r="AA82" i="11" s="1"/>
  <c r="R83" i="11"/>
  <c r="R67" i="11" s="1"/>
  <c r="Q83" i="11"/>
  <c r="Q67" i="11" s="1"/>
  <c r="P83" i="11"/>
  <c r="P67" i="11" s="1"/>
  <c r="AQ67" i="11"/>
  <c r="AO67" i="11"/>
  <c r="AJ67" i="11"/>
  <c r="AI67" i="11"/>
  <c r="AG67" i="11"/>
  <c r="AF67" i="11"/>
  <c r="AE67" i="11"/>
  <c r="Z67" i="11"/>
  <c r="X67" i="11"/>
  <c r="V67" i="11"/>
  <c r="N67" i="11"/>
  <c r="M67" i="11"/>
  <c r="L67" i="11"/>
  <c r="K67" i="11"/>
  <c r="J67" i="11"/>
  <c r="H67" i="11"/>
  <c r="G67" i="11"/>
  <c r="F67" i="11"/>
  <c r="K46" i="11"/>
  <c r="N30" i="11"/>
  <c r="M30" i="11"/>
  <c r="K30" i="11"/>
  <c r="J30" i="11"/>
  <c r="H30" i="11"/>
  <c r="I30" i="11"/>
  <c r="E30" i="11"/>
  <c r="T30" i="11"/>
  <c r="BS26" i="11"/>
  <c r="BS178" i="11" s="1"/>
  <c r="BR26" i="11"/>
  <c r="BR178" i="11" s="1"/>
  <c r="BP26" i="11"/>
  <c r="BP179" i="11" s="1"/>
  <c r="BL26" i="11"/>
  <c r="BL179" i="11" s="1"/>
  <c r="BJ26" i="11"/>
  <c r="BJ179" i="11" s="1"/>
  <c r="BG26" i="11"/>
  <c r="BG179" i="11" s="1"/>
  <c r="BD26" i="11"/>
  <c r="BD179" i="11" s="1"/>
  <c r="BB26" i="11"/>
  <c r="BB179" i="11" s="1"/>
  <c r="BF26" i="11"/>
  <c r="BF179" i="11" s="1"/>
  <c r="R26" i="11"/>
  <c r="R180" i="11" s="1"/>
  <c r="S26" i="11"/>
  <c r="S180" i="11" s="1"/>
  <c r="G26" i="11"/>
  <c r="G179" i="11" s="1"/>
  <c r="AJ4" i="68"/>
  <c r="AI4" i="68"/>
  <c r="AH4" i="68"/>
  <c r="AG4" i="68"/>
  <c r="AF4" i="68"/>
  <c r="AE4" i="68"/>
  <c r="AD4" i="68"/>
  <c r="AC4" i="68"/>
  <c r="AB4" i="68"/>
  <c r="AA4" i="68"/>
  <c r="Z4" i="68"/>
  <c r="Y4" i="68"/>
  <c r="X4" i="68"/>
  <c r="W4" i="68"/>
  <c r="V4" i="68"/>
  <c r="U4" i="68"/>
  <c r="T4" i="68"/>
  <c r="S4" i="68"/>
  <c r="R4" i="68"/>
  <c r="Q4" i="68"/>
  <c r="P4" i="68"/>
  <c r="O4" i="68"/>
  <c r="N4" i="68"/>
  <c r="M4" i="68"/>
  <c r="L4" i="68"/>
  <c r="K4" i="68"/>
  <c r="J4" i="68"/>
  <c r="I4" i="68"/>
  <c r="H4" i="68"/>
  <c r="G4" i="68"/>
  <c r="F4" i="68"/>
  <c r="E4" i="68"/>
  <c r="D4" i="68"/>
  <c r="C4" i="68"/>
  <c r="B4" i="68"/>
  <c r="AJ3" i="68"/>
  <c r="AI3" i="68"/>
  <c r="AH3" i="68"/>
  <c r="AG3" i="68"/>
  <c r="AF3" i="68"/>
  <c r="AE3" i="68"/>
  <c r="AD3" i="68"/>
  <c r="AC3" i="68"/>
  <c r="AB3" i="68"/>
  <c r="AA3" i="68"/>
  <c r="Z3" i="68"/>
  <c r="Y3" i="68"/>
  <c r="X3" i="68"/>
  <c r="W3" i="68"/>
  <c r="V3" i="68"/>
  <c r="U3" i="68"/>
  <c r="T3" i="68"/>
  <c r="S3" i="68"/>
  <c r="R3" i="68"/>
  <c r="Q3" i="68"/>
  <c r="P3" i="68"/>
  <c r="O3" i="68"/>
  <c r="N3" i="68"/>
  <c r="M3" i="68"/>
  <c r="L3" i="68"/>
  <c r="K3" i="68"/>
  <c r="J3" i="68"/>
  <c r="I3" i="68"/>
  <c r="H3" i="68"/>
  <c r="G3" i="68"/>
  <c r="F3" i="68"/>
  <c r="E3" i="68"/>
  <c r="D3" i="68"/>
  <c r="C3" i="68"/>
  <c r="B3" i="68"/>
  <c r="AJ2" i="68"/>
  <c r="AI2" i="68"/>
  <c r="AH2" i="68"/>
  <c r="AG2" i="68"/>
  <c r="AF2" i="68"/>
  <c r="AE2" i="68"/>
  <c r="AD2" i="68"/>
  <c r="AC2" i="68"/>
  <c r="AB2" i="68"/>
  <c r="AA2" i="68"/>
  <c r="Z2" i="68"/>
  <c r="Y2" i="68"/>
  <c r="X2" i="68"/>
  <c r="W2" i="68"/>
  <c r="V2" i="68"/>
  <c r="U2" i="68"/>
  <c r="T2" i="68"/>
  <c r="S2" i="68"/>
  <c r="R2" i="68"/>
  <c r="Q2" i="68"/>
  <c r="P2" i="68"/>
  <c r="O2" i="68"/>
  <c r="N2" i="68"/>
  <c r="M2" i="68"/>
  <c r="L2" i="68"/>
  <c r="K2" i="68"/>
  <c r="J2" i="68"/>
  <c r="I2" i="68"/>
  <c r="H2" i="68"/>
  <c r="G2" i="68"/>
  <c r="F2" i="68"/>
  <c r="E2" i="68"/>
  <c r="D2" i="68"/>
  <c r="C2" i="68"/>
  <c r="B2" i="68"/>
  <c r="BJ52" i="11" l="1"/>
  <c r="CA67" i="11"/>
  <c r="CA127" i="11" s="1"/>
  <c r="CA92" i="11"/>
  <c r="AN92" i="11"/>
  <c r="AN82" i="11"/>
  <c r="AN174" i="11"/>
  <c r="AN60" i="11"/>
  <c r="AN173" i="11"/>
  <c r="AN59" i="11"/>
  <c r="AN175" i="11"/>
  <c r="AN37" i="11"/>
  <c r="BV82" i="11"/>
  <c r="BV60" i="11"/>
  <c r="BV174" i="11"/>
  <c r="CA82" i="11"/>
  <c r="BV59" i="11"/>
  <c r="BV92" i="11"/>
  <c r="BV127" i="11" s="1"/>
  <c r="AH175" i="11"/>
  <c r="BA52" i="11"/>
  <c r="AG22" i="11"/>
  <c r="BF52" i="11"/>
  <c r="BE52" i="11"/>
  <c r="F22" i="11"/>
  <c r="AR22" i="11"/>
  <c r="BW22" i="11"/>
  <c r="C22" i="11"/>
  <c r="BI22" i="11"/>
  <c r="AF52" i="11"/>
  <c r="AO52" i="11"/>
  <c r="AU22" i="11"/>
  <c r="E22" i="11"/>
  <c r="AT22" i="11"/>
  <c r="BD22" i="11"/>
  <c r="AO22" i="11"/>
  <c r="AF22" i="11"/>
  <c r="AM22" i="11"/>
  <c r="G22" i="11"/>
  <c r="BG22" i="11"/>
  <c r="BB22" i="11"/>
  <c r="BU22" i="11"/>
  <c r="BM22" i="11"/>
  <c r="O22" i="11"/>
  <c r="BX22" i="11"/>
  <c r="BZ22" i="11"/>
  <c r="AZ22" i="11"/>
  <c r="BR22" i="11"/>
  <c r="BE22" i="11"/>
  <c r="BB52" i="11"/>
  <c r="AI22" i="11"/>
  <c r="BP22" i="11"/>
  <c r="BN22" i="11"/>
  <c r="BJ22" i="11"/>
  <c r="AH22" i="11"/>
  <c r="AJ22" i="11"/>
  <c r="AW22" i="11"/>
  <c r="AV22" i="11"/>
  <c r="AX22" i="11"/>
  <c r="W44" i="11"/>
  <c r="D22" i="11"/>
  <c r="BY22" i="11"/>
  <c r="BL22" i="11"/>
  <c r="AL22" i="11"/>
  <c r="AK22" i="11"/>
  <c r="AY22" i="11"/>
  <c r="BC22" i="11"/>
  <c r="AP22" i="11"/>
  <c r="AQ22" i="11"/>
  <c r="BF22" i="11"/>
  <c r="AQ52" i="11"/>
  <c r="Q22" i="11"/>
  <c r="BA22" i="11"/>
  <c r="V44" i="11"/>
  <c r="AH174" i="11"/>
  <c r="AH173" i="11"/>
  <c r="AS22" i="11"/>
  <c r="AP52" i="11"/>
  <c r="Q37" i="11"/>
  <c r="AK44" i="11"/>
  <c r="N51" i="11"/>
  <c r="R37" i="11"/>
  <c r="AP44" i="11"/>
  <c r="AX52" i="11"/>
  <c r="AG44" i="11"/>
  <c r="K37" i="11"/>
  <c r="AJ44" i="11"/>
  <c r="AF44" i="11"/>
  <c r="AO44" i="11"/>
  <c r="AG52" i="11"/>
  <c r="AU52" i="11"/>
  <c r="J44" i="11"/>
  <c r="AI44" i="11"/>
  <c r="AM44" i="11"/>
  <c r="AV52" i="11"/>
  <c r="AE44" i="11"/>
  <c r="AH44" i="11"/>
  <c r="AQ44" i="11"/>
  <c r="AL44" i="11"/>
  <c r="AJ52" i="11"/>
  <c r="AY52" i="11"/>
  <c r="AI52" i="11"/>
  <c r="AL52" i="11"/>
  <c r="AR52" i="11"/>
  <c r="AT52" i="11"/>
  <c r="BC37" i="11"/>
  <c r="BC52" i="11"/>
  <c r="U93" i="11"/>
  <c r="U92" i="11" s="1"/>
  <c r="U140" i="11"/>
  <c r="U139" i="11" s="1"/>
  <c r="U128" i="11" s="1"/>
  <c r="AM52" i="11"/>
  <c r="AH52" i="11"/>
  <c r="AK52" i="11"/>
  <c r="AS52" i="11"/>
  <c r="C52" i="11"/>
  <c r="N37" i="11"/>
  <c r="BA37" i="11"/>
  <c r="AB92" i="11"/>
  <c r="AB127" i="11" s="1"/>
  <c r="AB175" i="11" s="1"/>
  <c r="BA128" i="11"/>
  <c r="U74" i="11"/>
  <c r="U67" i="11" s="1"/>
  <c r="AU92" i="11"/>
  <c r="BB92" i="11"/>
  <c r="BU92" i="11"/>
  <c r="BZ92" i="11"/>
  <c r="AZ92" i="11"/>
  <c r="BG92" i="11"/>
  <c r="BX92" i="11"/>
  <c r="AS82" i="11"/>
  <c r="V37" i="11"/>
  <c r="AR37" i="11"/>
  <c r="AV37" i="11"/>
  <c r="W37" i="11"/>
  <c r="F37" i="11"/>
  <c r="AK67" i="11"/>
  <c r="AK127" i="11" s="1"/>
  <c r="AK175" i="11" s="1"/>
  <c r="L92" i="11"/>
  <c r="L127" i="11" s="1"/>
  <c r="L175" i="11" s="1"/>
  <c r="AH60" i="11"/>
  <c r="AP37" i="11"/>
  <c r="AK37" i="11"/>
  <c r="AG37" i="11"/>
  <c r="AY74" i="11"/>
  <c r="AY67" i="11" s="1"/>
  <c r="AY37" i="11"/>
  <c r="AE37" i="11"/>
  <c r="AM37" i="11"/>
  <c r="AI37" i="11"/>
  <c r="AX37" i="11"/>
  <c r="AJ37" i="11"/>
  <c r="AF37" i="11"/>
  <c r="AT37" i="11"/>
  <c r="AO37" i="11"/>
  <c r="G37" i="11"/>
  <c r="AQ37" i="11"/>
  <c r="AL37" i="11"/>
  <c r="AH37" i="11"/>
  <c r="AS37" i="11"/>
  <c r="AU37" i="11"/>
  <c r="BD92" i="11"/>
  <c r="BD127" i="11" s="1"/>
  <c r="BD175" i="11" s="1"/>
  <c r="D92" i="11"/>
  <c r="J92" i="11"/>
  <c r="J127" i="11" s="1"/>
  <c r="J175" i="11" s="1"/>
  <c r="N92" i="11"/>
  <c r="S92" i="11"/>
  <c r="BM92" i="11"/>
  <c r="BS92" i="11"/>
  <c r="AT92" i="11"/>
  <c r="AT127" i="11" s="1"/>
  <c r="AT175" i="11" s="1"/>
  <c r="Z92" i="11"/>
  <c r="Z127" i="11" s="1"/>
  <c r="Z175" i="11" s="1"/>
  <c r="T92" i="11"/>
  <c r="I92" i="11"/>
  <c r="K92" i="11"/>
  <c r="K127" i="11" s="1"/>
  <c r="K175" i="11" s="1"/>
  <c r="O92" i="11"/>
  <c r="BN92" i="11"/>
  <c r="AM92" i="11"/>
  <c r="AM127" i="11" s="1"/>
  <c r="AC92" i="11"/>
  <c r="AC127" i="11" s="1"/>
  <c r="AC175" i="11" s="1"/>
  <c r="BL92" i="11"/>
  <c r="BR92" i="11"/>
  <c r="AS92" i="11"/>
  <c r="AY92" i="11"/>
  <c r="W92" i="11"/>
  <c r="BF92" i="11"/>
  <c r="BI92" i="11"/>
  <c r="BT92" i="11"/>
  <c r="BY92" i="11"/>
  <c r="X92" i="11"/>
  <c r="X127" i="11" s="1"/>
  <c r="X175" i="11" s="1"/>
  <c r="BW92" i="11"/>
  <c r="C92" i="11"/>
  <c r="P92" i="11"/>
  <c r="P127" i="11" s="1"/>
  <c r="P175" i="11" s="1"/>
  <c r="BJ92" i="11"/>
  <c r="BP92" i="11"/>
  <c r="V92" i="11"/>
  <c r="V127" i="11" s="1"/>
  <c r="V175" i="11" s="1"/>
  <c r="AL92" i="11"/>
  <c r="AV92" i="11"/>
  <c r="BA92" i="11"/>
  <c r="E92" i="11"/>
  <c r="H92" i="11"/>
  <c r="H127" i="11" s="1"/>
  <c r="H175" i="11" s="1"/>
  <c r="M92" i="11"/>
  <c r="M127" i="11" s="1"/>
  <c r="M175" i="11" s="1"/>
  <c r="Q92" i="11"/>
  <c r="Q127" i="11" s="1"/>
  <c r="Q175" i="11" s="1"/>
  <c r="BE92" i="11"/>
  <c r="AS128" i="11"/>
  <c r="BC92" i="11"/>
  <c r="AX92" i="11"/>
  <c r="F127" i="11"/>
  <c r="G127" i="11"/>
  <c r="BC128" i="11"/>
  <c r="AX128" i="11"/>
  <c r="AY128" i="11"/>
  <c r="AZ128" i="11"/>
  <c r="AZ154" i="11" s="1"/>
  <c r="BF154" i="11"/>
  <c r="O154" i="11"/>
  <c r="BJ37" i="11"/>
  <c r="D154" i="11"/>
  <c r="BE154" i="11"/>
  <c r="BJ154" i="11"/>
  <c r="BC74" i="11"/>
  <c r="BC67" i="11" s="1"/>
  <c r="I154" i="11"/>
  <c r="BM154" i="11"/>
  <c r="BP128" i="11"/>
  <c r="BP154" i="11" s="1"/>
  <c r="BL128" i="11"/>
  <c r="BL154" i="11" s="1"/>
  <c r="BG128" i="11"/>
  <c r="BG154" i="11" s="1"/>
  <c r="S128" i="11"/>
  <c r="S154" i="11" s="1"/>
  <c r="E128" i="11"/>
  <c r="E154" i="11" s="1"/>
  <c r="AL154" i="11"/>
  <c r="T154" i="11"/>
  <c r="BN154" i="11"/>
  <c r="AV74" i="11"/>
  <c r="AV67" i="11" s="1"/>
  <c r="AS74" i="11"/>
  <c r="AS67" i="11" s="1"/>
  <c r="AX74" i="11"/>
  <c r="AX67" i="11" s="1"/>
  <c r="BA74" i="11"/>
  <c r="BA67" i="11" s="1"/>
  <c r="BC82" i="11"/>
  <c r="BB67" i="11"/>
  <c r="BA82" i="11"/>
  <c r="AV82" i="11"/>
  <c r="BE67" i="11"/>
  <c r="BM37" i="11"/>
  <c r="AA67" i="11"/>
  <c r="AA127" i="11" s="1"/>
  <c r="AA175" i="11" s="1"/>
  <c r="AT82" i="11"/>
  <c r="AM82" i="11"/>
  <c r="AW82" i="11"/>
  <c r="BB82" i="11"/>
  <c r="AR82" i="11"/>
  <c r="BD82" i="11"/>
  <c r="AC82" i="11"/>
  <c r="Q82" i="11"/>
  <c r="AB82" i="11"/>
  <c r="P82" i="11"/>
  <c r="R82" i="11"/>
  <c r="I51" i="11"/>
  <c r="H51" i="11"/>
  <c r="S67" i="11"/>
  <c r="AZ67" i="11"/>
  <c r="BI67" i="11"/>
  <c r="BN67" i="11"/>
  <c r="BU67" i="11"/>
  <c r="AU67" i="11"/>
  <c r="BG67" i="11"/>
  <c r="BM67" i="11"/>
  <c r="AR127" i="11"/>
  <c r="AR175" i="11" s="1"/>
  <c r="BL67" i="11"/>
  <c r="C67" i="11"/>
  <c r="AL67" i="11"/>
  <c r="BF67" i="11"/>
  <c r="AF127" i="11"/>
  <c r="BR67" i="11"/>
  <c r="BW67" i="11"/>
  <c r="BZ67" i="11"/>
  <c r="AO127" i="11"/>
  <c r="BT67" i="11"/>
  <c r="BY67" i="11"/>
  <c r="AE127" i="11"/>
  <c r="W67" i="11"/>
  <c r="BP67" i="11"/>
  <c r="BX67" i="11"/>
  <c r="I67" i="11"/>
  <c r="T67" i="11"/>
  <c r="O67" i="11"/>
  <c r="AW127" i="11"/>
  <c r="AW175" i="11" s="1"/>
  <c r="AJ127" i="11"/>
  <c r="R127" i="11"/>
  <c r="R175" i="11" s="1"/>
  <c r="E67" i="11"/>
  <c r="BJ67" i="11"/>
  <c r="BS67" i="11"/>
  <c r="AI127" i="11"/>
  <c r="AP127" i="11"/>
  <c r="D67" i="11"/>
  <c r="AG127" i="11"/>
  <c r="AQ127" i="11"/>
  <c r="H36" i="70"/>
  <c r="C52" i="70"/>
  <c r="B36" i="70"/>
  <c r="B77" i="70" s="1"/>
  <c r="B89" i="70" s="1"/>
  <c r="F36" i="70"/>
  <c r="H52" i="70"/>
  <c r="C77" i="70"/>
  <c r="F52" i="70"/>
  <c r="D52" i="70"/>
  <c r="D77" i="70" s="1"/>
  <c r="CA147" i="11" l="1"/>
  <c r="CA175" i="11"/>
  <c r="BV175" i="11"/>
  <c r="CD127" i="11"/>
  <c r="AQ147" i="11"/>
  <c r="AQ175" i="11"/>
  <c r="AI147" i="11"/>
  <c r="AI174" i="11" s="1"/>
  <c r="AI175" i="11"/>
  <c r="AO147" i="11"/>
  <c r="AF147" i="11"/>
  <c r="AF174" i="11" s="1"/>
  <c r="F147" i="11"/>
  <c r="F174" i="11" s="1"/>
  <c r="F175" i="11"/>
  <c r="AJ147" i="11"/>
  <c r="AJ60" i="11" s="1"/>
  <c r="AE147" i="11"/>
  <c r="AE173" i="11" s="1"/>
  <c r="U127" i="11"/>
  <c r="U147" i="11" s="1"/>
  <c r="U174" i="11" s="1"/>
  <c r="AG147" i="11"/>
  <c r="AG175" i="11" s="1"/>
  <c r="AP147" i="11"/>
  <c r="G147" i="11"/>
  <c r="G175" i="11" s="1"/>
  <c r="AI173" i="11"/>
  <c r="F173" i="11"/>
  <c r="AJ173" i="11"/>
  <c r="AV127" i="11"/>
  <c r="AI60" i="11"/>
  <c r="F59" i="11"/>
  <c r="BC127" i="11"/>
  <c r="BC147" i="11" s="1"/>
  <c r="AX127" i="11"/>
  <c r="BU127" i="11"/>
  <c r="AY127" i="11"/>
  <c r="BA127" i="11"/>
  <c r="BE127" i="11"/>
  <c r="AS127" i="11"/>
  <c r="BB127" i="11"/>
  <c r="BB175" i="11" s="1"/>
  <c r="BI127" i="11"/>
  <c r="AZ127" i="11"/>
  <c r="S127" i="11"/>
  <c r="AL127" i="11"/>
  <c r="BN127" i="11"/>
  <c r="BG127" i="11"/>
  <c r="BY127" i="11"/>
  <c r="AU127" i="11"/>
  <c r="T127" i="11"/>
  <c r="BL127" i="11"/>
  <c r="C127" i="11"/>
  <c r="BR127" i="11"/>
  <c r="BM127" i="11"/>
  <c r="D127" i="11"/>
  <c r="BF127" i="11"/>
  <c r="BZ127" i="11"/>
  <c r="O127" i="11"/>
  <c r="BT127" i="11"/>
  <c r="BW127" i="11"/>
  <c r="BS127" i="11"/>
  <c r="E127" i="11"/>
  <c r="W127" i="11"/>
  <c r="I127" i="11"/>
  <c r="BJ127" i="11"/>
  <c r="BX127" i="11"/>
  <c r="BP127" i="11"/>
  <c r="H77" i="70"/>
  <c r="H89" i="70" s="1"/>
  <c r="F77" i="70"/>
  <c r="F89" i="70" s="1"/>
  <c r="CA173" i="11" l="1"/>
  <c r="CA174" i="11"/>
  <c r="AP60" i="11"/>
  <c r="AP59" i="11"/>
  <c r="AP173" i="11"/>
  <c r="AO60" i="11"/>
  <c r="AO59" i="11"/>
  <c r="AF60" i="11"/>
  <c r="AQ60" i="11"/>
  <c r="AQ59" i="11"/>
  <c r="AO173" i="11"/>
  <c r="AP175" i="11"/>
  <c r="AE175" i="11"/>
  <c r="AG60" i="11"/>
  <c r="AJ59" i="11"/>
  <c r="AJ174" i="11"/>
  <c r="AF173" i="11"/>
  <c r="AQ174" i="11"/>
  <c r="AF175" i="11"/>
  <c r="AO175" i="11"/>
  <c r="AE174" i="11"/>
  <c r="AP174" i="11"/>
  <c r="AJ175" i="11"/>
  <c r="AE60" i="11"/>
  <c r="F60" i="11"/>
  <c r="AO174" i="11"/>
  <c r="AQ173" i="11"/>
  <c r="BP147" i="11"/>
  <c r="BP175" i="11" s="1"/>
  <c r="BT147" i="11"/>
  <c r="BT173" i="11" s="1"/>
  <c r="BL147" i="11"/>
  <c r="BL175" i="11" s="1"/>
  <c r="BG147" i="11"/>
  <c r="BG173" i="11" s="1"/>
  <c r="BG175" i="11"/>
  <c r="BE147" i="11"/>
  <c r="BE175" i="11" s="1"/>
  <c r="BU147" i="11"/>
  <c r="BU173" i="11" s="1"/>
  <c r="E147" i="11"/>
  <c r="E175" i="11" s="1"/>
  <c r="BM147" i="11"/>
  <c r="BM59" i="11" s="1"/>
  <c r="T147" i="11"/>
  <c r="T175" i="11" s="1"/>
  <c r="BA147" i="11"/>
  <c r="BA59" i="11" s="1"/>
  <c r="AX147" i="11"/>
  <c r="AX175" i="11" s="1"/>
  <c r="U175" i="11"/>
  <c r="BJ147" i="11"/>
  <c r="BJ175" i="11" s="1"/>
  <c r="BR147" i="11"/>
  <c r="BR175" i="11" s="1"/>
  <c r="AL147" i="11"/>
  <c r="AL175" i="11" s="1"/>
  <c r="BC175" i="11"/>
  <c r="G60" i="11"/>
  <c r="AI59" i="11"/>
  <c r="AG174" i="11"/>
  <c r="G173" i="11"/>
  <c r="W147" i="11"/>
  <c r="W174" i="11" s="1"/>
  <c r="AZ147" i="11"/>
  <c r="AZ174" i="11" s="1"/>
  <c r="BX147" i="11"/>
  <c r="BX59" i="11" s="1"/>
  <c r="O147" i="11"/>
  <c r="O174" i="11" s="1"/>
  <c r="BN147" i="11"/>
  <c r="BN60" i="11" s="1"/>
  <c r="G59" i="11"/>
  <c r="BS147" i="11"/>
  <c r="BS174" i="11" s="1"/>
  <c r="BZ147" i="11"/>
  <c r="BZ175" i="11" s="1"/>
  <c r="AU147" i="11"/>
  <c r="AU60" i="11" s="1"/>
  <c r="AU175" i="11"/>
  <c r="I147" i="11"/>
  <c r="I175" i="11" s="1"/>
  <c r="BW147" i="11"/>
  <c r="BW175" i="11" s="1"/>
  <c r="BF147" i="11"/>
  <c r="BF175" i="11" s="1"/>
  <c r="C147" i="11"/>
  <c r="C175" i="11" s="1"/>
  <c r="BY147" i="11"/>
  <c r="BY175" i="11" s="1"/>
  <c r="S147" i="11"/>
  <c r="S173" i="11" s="1"/>
  <c r="S175" i="11"/>
  <c r="AY147" i="11"/>
  <c r="AY175" i="11" s="1"/>
  <c r="AV147" i="11"/>
  <c r="AV60" i="11" s="1"/>
  <c r="AG173" i="11"/>
  <c r="G174" i="11"/>
  <c r="BI147" i="11"/>
  <c r="BI173" i="11" s="1"/>
  <c r="AS147" i="11"/>
  <c r="AS175" i="11" s="1"/>
  <c r="D147" i="11"/>
  <c r="D174" i="11" s="1"/>
  <c r="D175" i="11"/>
  <c r="D173" i="11"/>
  <c r="S174" i="11"/>
  <c r="BP173" i="11"/>
  <c r="AU174" i="11"/>
  <c r="BC173" i="11"/>
  <c r="BC174" i="11"/>
  <c r="BT59" i="11"/>
  <c r="BR59" i="11"/>
  <c r="BE59" i="11"/>
  <c r="BC59" i="11"/>
  <c r="BC60" i="11"/>
  <c r="D60" i="11"/>
  <c r="E59" i="11"/>
  <c r="AU59" i="11" l="1"/>
  <c r="BI59" i="11"/>
  <c r="AU173" i="11"/>
  <c r="BM173" i="11"/>
  <c r="D59" i="11"/>
  <c r="BZ174" i="11"/>
  <c r="BG174" i="11"/>
  <c r="BS175" i="11"/>
  <c r="O175" i="11"/>
  <c r="O60" i="11"/>
  <c r="BJ173" i="11"/>
  <c r="O173" i="11"/>
  <c r="BA175" i="11"/>
  <c r="O59" i="11"/>
  <c r="BG59" i="11"/>
  <c r="AZ173" i="11"/>
  <c r="BA173" i="11"/>
  <c r="BA60" i="11"/>
  <c r="AZ60" i="11"/>
  <c r="BR174" i="11"/>
  <c r="BT174" i="11"/>
  <c r="BA174" i="11"/>
  <c r="E174" i="11"/>
  <c r="AZ175" i="11"/>
  <c r="BM175" i="11"/>
  <c r="BT175" i="11"/>
  <c r="BW173" i="11"/>
  <c r="BI174" i="11"/>
  <c r="BI60" i="11"/>
  <c r="BW59" i="11"/>
  <c r="AV173" i="11"/>
  <c r="BW174" i="11"/>
  <c r="BN173" i="11"/>
  <c r="BY60" i="11"/>
  <c r="BZ60" i="11"/>
  <c r="BU60" i="11"/>
  <c r="BW60" i="11"/>
  <c r="AX59" i="11"/>
  <c r="AV59" i="11"/>
  <c r="BL174" i="11"/>
  <c r="AV174" i="11"/>
  <c r="BU174" i="11"/>
  <c r="BY174" i="11"/>
  <c r="BI175" i="11"/>
  <c r="AV175" i="11"/>
  <c r="BU175" i="11"/>
  <c r="AS59" i="11"/>
  <c r="BL59" i="11"/>
  <c r="AX60" i="11"/>
  <c r="BR60" i="11"/>
  <c r="BP60" i="11"/>
  <c r="BX173" i="11"/>
  <c r="BL173" i="11"/>
  <c r="C173" i="11"/>
  <c r="T173" i="11"/>
  <c r="I174" i="11"/>
  <c r="I60" i="11"/>
  <c r="S59" i="11"/>
  <c r="BX60" i="11"/>
  <c r="BL60" i="11"/>
  <c r="BS59" i="11"/>
  <c r="BN59" i="11"/>
  <c r="BP59" i="11"/>
  <c r="BS173" i="11"/>
  <c r="C174" i="11"/>
  <c r="AX174" i="11"/>
  <c r="T174" i="11"/>
  <c r="BE173" i="11"/>
  <c r="E60" i="11"/>
  <c r="S60" i="11"/>
  <c r="BE60" i="11"/>
  <c r="W60" i="11"/>
  <c r="AL59" i="11"/>
  <c r="BS60" i="11"/>
  <c r="AZ59" i="11"/>
  <c r="BM60" i="11"/>
  <c r="BR173" i="11"/>
  <c r="BP174" i="11"/>
  <c r="C60" i="11"/>
  <c r="AX173" i="11"/>
  <c r="BN174" i="11"/>
  <c r="T59" i="11"/>
  <c r="E173" i="11"/>
  <c r="BE174" i="11"/>
  <c r="W173" i="11"/>
  <c r="BN175" i="11"/>
  <c r="BX175" i="11"/>
  <c r="W175" i="11"/>
  <c r="BF60" i="11"/>
  <c r="BJ59" i="11"/>
  <c r="AY60" i="11"/>
  <c r="AL174" i="11"/>
  <c r="AS173" i="11"/>
  <c r="BF59" i="11"/>
  <c r="BT60" i="11"/>
  <c r="AY59" i="11"/>
  <c r="AL173" i="11"/>
  <c r="BX174" i="11"/>
  <c r="AY173" i="11"/>
  <c r="BM174" i="11"/>
  <c r="AS174" i="11"/>
  <c r="BF174" i="11"/>
  <c r="AY174" i="11"/>
  <c r="BF173" i="11"/>
  <c r="BJ60" i="11"/>
  <c r="W59" i="11"/>
  <c r="I59" i="11"/>
  <c r="AS60" i="11"/>
  <c r="BY59" i="11"/>
  <c r="BZ59" i="11"/>
  <c r="AL60" i="11"/>
  <c r="BU59" i="11"/>
  <c r="BG60" i="11"/>
  <c r="BZ173" i="11"/>
  <c r="BJ174" i="11"/>
  <c r="BY173" i="11"/>
  <c r="I173" i="11"/>
</calcChain>
</file>

<file path=xl/sharedStrings.xml><?xml version="1.0" encoding="utf-8"?>
<sst xmlns="http://schemas.openxmlformats.org/spreadsheetml/2006/main" count="1519" uniqueCount="496">
  <si>
    <t xml:space="preserve">U.S. Army Air Forces Technical Report 4411 Rev. 1, “Weights of Typical Air Corps Airplanes,” Materiel Center, Wright Field, Dayton, OH, Sept. 29, 1942 </t>
  </si>
  <si>
    <t>U.S. Navy informal report, unnamed (collection of weights and design data for Navy and Army aircraft), Bureau of Aeronautics, Washington DC, 1945</t>
  </si>
  <si>
    <t>Wagner, Ray, American Combat Planes, 3rd edition, Doubleday &amp; Co., Inc., Garden City, NY, 1982 (later editions exist)</t>
  </si>
  <si>
    <t xml:space="preserve">Swanborough, Gordon, and Peter Bowers, United States Military Aircraft since 1909, Putnam Aeronautical Books, London, England, 1989 </t>
  </si>
  <si>
    <t>Swanborough, Gordon, and Peter Bowers, United States Navy Aircraft since 1911, Putnam Aeronautical Books, London, England, 1990 [6] U.S. Air Force and U.S. Navy Standard Aircraft Characteristics Charts, published by Air Materiel Command and Bureau of Aeronautics at various times for individual variants of aircraft models (a good source of SAC charts is http://alternatewars.com/SAC/SAC.htm)</t>
  </si>
  <si>
    <t>ULF</t>
  </si>
  <si>
    <t>Empty Wt</t>
  </si>
  <si>
    <t>Basic Mission GW</t>
  </si>
  <si>
    <t>Boeing</t>
  </si>
  <si>
    <t>P-26A</t>
  </si>
  <si>
    <t>V-1570-61</t>
  </si>
  <si>
    <t>V-1710-39</t>
  </si>
  <si>
    <t>Design Speed (mph)</t>
  </si>
  <si>
    <t>D-1180</t>
  </si>
  <si>
    <t>R-1340-27</t>
  </si>
  <si>
    <t>33-28</t>
  </si>
  <si>
    <t>Ref [1]</t>
  </si>
  <si>
    <t>26Z520</t>
  </si>
  <si>
    <t>35-1</t>
  </si>
  <si>
    <t>36-364</t>
  </si>
  <si>
    <t>R-1830-9</t>
  </si>
  <si>
    <t>GWS</t>
  </si>
  <si>
    <t>37-70</t>
  </si>
  <si>
    <t>R-1830-13</t>
  </si>
  <si>
    <t>40-358</t>
  </si>
  <si>
    <t>15-942-002</t>
  </si>
  <si>
    <t>40-2991</t>
  </si>
  <si>
    <t>V1710-35</t>
  </si>
  <si>
    <t>Ref [2]</t>
  </si>
  <si>
    <t>R-2800-63</t>
  </si>
  <si>
    <t>NA-8305</t>
  </si>
  <si>
    <t>V-1650-7</t>
  </si>
  <si>
    <t>Two Eng TwinBoom</t>
  </si>
  <si>
    <t>V-1710-89</t>
  </si>
  <si>
    <t>Engine(s)</t>
  </si>
  <si>
    <t>Propeller(s)</t>
  </si>
  <si>
    <t>Starting System</t>
  </si>
  <si>
    <t>Total Sys. &amp; Eqpmt.</t>
  </si>
  <si>
    <t>Instruments</t>
  </si>
  <si>
    <t>V Tail</t>
  </si>
  <si>
    <t>H Tail</t>
  </si>
  <si>
    <t>Wing</t>
  </si>
  <si>
    <t>Body</t>
  </si>
  <si>
    <t>Total Struct Weight</t>
  </si>
  <si>
    <t>Booms</t>
  </si>
  <si>
    <t>Mn Landing Gr</t>
  </si>
  <si>
    <t>Tail/Nose Aux LG</t>
  </si>
  <si>
    <t>Turbocharger(s)</t>
  </si>
  <si>
    <t>Accessories</t>
  </si>
  <si>
    <t>Controls</t>
  </si>
  <si>
    <t>Water Injection System</t>
  </si>
  <si>
    <t>Cooling System</t>
  </si>
  <si>
    <t>Lube System</t>
  </si>
  <si>
    <t>Fuel System</t>
  </si>
  <si>
    <t xml:space="preserve">Surface Controls </t>
  </si>
  <si>
    <t>Hydraulics</t>
  </si>
  <si>
    <t>Electrical Equip</t>
  </si>
  <si>
    <t>Electronics</t>
  </si>
  <si>
    <t>Furnishings</t>
  </si>
  <si>
    <t>Arm Equipment &amp; Armor</t>
  </si>
  <si>
    <t>Ser No</t>
  </si>
  <si>
    <t>Date</t>
  </si>
  <si>
    <t>Model</t>
  </si>
  <si>
    <t>Qty</t>
  </si>
  <si>
    <t>Pwr Ldng</t>
  </si>
  <si>
    <t xml:space="preserve">Wing Area </t>
  </si>
  <si>
    <t>Wing Ldng</t>
  </si>
  <si>
    <t>(in)</t>
  </si>
  <si>
    <t>Root Thkns (%)</t>
  </si>
  <si>
    <t>Body  Length (f)</t>
  </si>
  <si>
    <t>Wetted Area (sqf)</t>
  </si>
  <si>
    <t xml:space="preserve">Struct. Des. GW </t>
  </si>
  <si>
    <t>Consolidated</t>
  </si>
  <si>
    <t>PB-2A</t>
  </si>
  <si>
    <t>Seversky</t>
  </si>
  <si>
    <t>P-35</t>
  </si>
  <si>
    <t>Curtiss</t>
  </si>
  <si>
    <t>P-36A</t>
  </si>
  <si>
    <t>P-40E</t>
  </si>
  <si>
    <t>P-39D</t>
  </si>
  <si>
    <t>Bell</t>
  </si>
  <si>
    <t>Republic</t>
  </si>
  <si>
    <t>P-47D (early)</t>
  </si>
  <si>
    <t>P-51D</t>
  </si>
  <si>
    <t>Lockheed</t>
  </si>
  <si>
    <t>P-38J</t>
  </si>
  <si>
    <t>Crew</t>
  </si>
  <si>
    <t>Oil</t>
  </si>
  <si>
    <t>Fuel</t>
  </si>
  <si>
    <t>Guns</t>
  </si>
  <si>
    <t>Ammo</t>
  </si>
  <si>
    <t>Other Useful Load</t>
  </si>
  <si>
    <t>Basic Mission Useful Load</t>
  </si>
  <si>
    <t>Bombs Etc</t>
  </si>
  <si>
    <t>Max GW</t>
  </si>
  <si>
    <t>Additional Loads</t>
  </si>
  <si>
    <t>Additional Load Notes</t>
  </si>
  <si>
    <t>52 gal in Wing Tanks</t>
  </si>
  <si>
    <t>2 x 122lb Bomb</t>
  </si>
  <si>
    <t>Max Useful Load</t>
  </si>
  <si>
    <t>90 gal in Wing Tanks</t>
  </si>
  <si>
    <t>10 x 17lb Bomb</t>
  </si>
  <si>
    <t>2 x 250lb Bomb</t>
  </si>
  <si>
    <t>58 gal (Full Internal)</t>
  </si>
  <si>
    <t>90 gal (Full Internal)</t>
  </si>
  <si>
    <t>6 x 20lb Bomb</t>
  </si>
  <si>
    <t>1 x 75 gal</t>
  </si>
  <si>
    <t>1 x 52 gal</t>
  </si>
  <si>
    <t>1 x 500lb Bomb</t>
  </si>
  <si>
    <t>1x37mm/2x50cal &amp; 4x30cal</t>
  </si>
  <si>
    <t>2 x 110 gal</t>
  </si>
  <si>
    <t>2 x 1000lb Bomb</t>
  </si>
  <si>
    <t>2 x 150 gal</t>
  </si>
  <si>
    <t>3 x 500lb Bomb</t>
  </si>
  <si>
    <t>&amp; 8 HVAL</t>
  </si>
  <si>
    <t>2 x 165 gal</t>
  </si>
  <si>
    <t>2 x 1600lb Bomb</t>
  </si>
  <si>
    <t>-</t>
  </si>
  <si>
    <t>YP-38</t>
  </si>
  <si>
    <t>P-39D-2</t>
  </si>
  <si>
    <t>P-400</t>
  </si>
  <si>
    <t>P-39Q-1</t>
  </si>
  <si>
    <t>P-40F</t>
  </si>
  <si>
    <t>P-40K</t>
  </si>
  <si>
    <t>P-40L</t>
  </si>
  <si>
    <t>P-40M</t>
  </si>
  <si>
    <t>P-40N-25</t>
  </si>
  <si>
    <t>P-47D-RE</t>
  </si>
  <si>
    <t>P-47D-25</t>
  </si>
  <si>
    <t>P-51B &amp; P-51C</t>
  </si>
  <si>
    <t>XP-63A</t>
  </si>
  <si>
    <t>P-63A-10</t>
  </si>
  <si>
    <t>P-63C</t>
  </si>
  <si>
    <t>X F2A-1</t>
  </si>
  <si>
    <t>F2A-1 #1</t>
  </si>
  <si>
    <t>F2A-1</t>
  </si>
  <si>
    <t>XF2A-2</t>
  </si>
  <si>
    <t>F2A-2</t>
  </si>
  <si>
    <t>F2A-3</t>
  </si>
  <si>
    <t>339B</t>
  </si>
  <si>
    <t>339E</t>
  </si>
  <si>
    <t>339D</t>
  </si>
  <si>
    <t>B239</t>
  </si>
  <si>
    <t>F4F-3</t>
  </si>
  <si>
    <t>F4F-4</t>
  </si>
  <si>
    <t>FM-2</t>
  </si>
  <si>
    <t>F6F-3</t>
  </si>
  <si>
    <t>F6F-5</t>
  </si>
  <si>
    <t>Propeller</t>
  </si>
  <si>
    <t>Dia</t>
  </si>
  <si>
    <t>(with access.)</t>
  </si>
  <si>
    <t>(IN USEFUL LOAD)</t>
  </si>
  <si>
    <t>Tail</t>
  </si>
  <si>
    <t>Landing Gear</t>
  </si>
  <si>
    <t>Total Propulsion Weight</t>
  </si>
  <si>
    <t># Blades</t>
  </si>
  <si>
    <t>Other /Misc</t>
  </si>
  <si>
    <t>Brewster</t>
  </si>
  <si>
    <t>Grumman</t>
  </si>
  <si>
    <t>Vought</t>
  </si>
  <si>
    <t>F4U-4</t>
  </si>
  <si>
    <t>Report</t>
  </si>
  <si>
    <t>Engine:</t>
  </si>
  <si>
    <t xml:space="preserve">TO Pwr (tot.) </t>
  </si>
  <si>
    <t>1448AB</t>
  </si>
  <si>
    <t>1937AA</t>
  </si>
  <si>
    <t>1937AR</t>
  </si>
  <si>
    <t>2751C</t>
  </si>
  <si>
    <t>2637I</t>
  </si>
  <si>
    <t>R-1820-40</t>
  </si>
  <si>
    <t>R-1830-86</t>
  </si>
  <si>
    <t>R-2800-18W</t>
  </si>
  <si>
    <t>R-2800-10W</t>
  </si>
  <si>
    <t>R-2800-22W</t>
  </si>
  <si>
    <t>R-2800-34W</t>
  </si>
  <si>
    <t>478/209</t>
  </si>
  <si>
    <t>Tail Hook</t>
  </si>
  <si>
    <t>Nacelles</t>
  </si>
  <si>
    <t>2 x 100lb Bomb</t>
  </si>
  <si>
    <t>Ferry +80 gal internal</t>
  </si>
  <si>
    <t>2 x 58 gal</t>
  </si>
  <si>
    <t xml:space="preserve">2 x 11.75in </t>
  </si>
  <si>
    <t>&amp; 8 x 5in HVAR</t>
  </si>
  <si>
    <t>2 x 150 &amp; 2 x 100</t>
  </si>
  <si>
    <t>2 x 11.75</t>
  </si>
  <si>
    <t>1 x 300 &amp; 2 x 150</t>
  </si>
  <si>
    <t>1 x 2000 &amp; 2 x 1000</t>
  </si>
  <si>
    <t>Douglas</t>
  </si>
  <si>
    <t>A-17A</t>
  </si>
  <si>
    <t>North American</t>
  </si>
  <si>
    <t>F8F-1</t>
  </si>
  <si>
    <t>F7F-3</t>
  </si>
  <si>
    <t>V Tail Area (sqf)</t>
  </si>
  <si>
    <t>4-Blade</t>
  </si>
  <si>
    <t>3-Blade</t>
  </si>
  <si>
    <t>2-Blade</t>
  </si>
  <si>
    <t>TBM-3</t>
  </si>
  <si>
    <t>A-20A</t>
  </si>
  <si>
    <t>36-162</t>
  </si>
  <si>
    <t>R-1535-13</t>
  </si>
  <si>
    <t>Anti-Ice (If not in Furn)</t>
  </si>
  <si>
    <t>Bombs/Torp Etc</t>
  </si>
  <si>
    <t>+96 gal</t>
  </si>
  <si>
    <t>SBD-6</t>
  </si>
  <si>
    <t>ES-6620</t>
  </si>
  <si>
    <t>R-1820-66</t>
  </si>
  <si>
    <t>1600lb Bomb</t>
  </si>
  <si>
    <t>WG 2 x 235lb</t>
  </si>
  <si>
    <t>SB2C-5</t>
  </si>
  <si>
    <t>XBT2B-1</t>
  </si>
  <si>
    <t>AD-7</t>
  </si>
  <si>
    <t>R-2600-20</t>
  </si>
  <si>
    <t>HVAR</t>
  </si>
  <si>
    <t>R-3350-24W</t>
  </si>
  <si>
    <t>R-3350-26W</t>
  </si>
  <si>
    <t>R-2600-3</t>
  </si>
  <si>
    <t>Electronics (Comms Etc)</t>
  </si>
  <si>
    <t>Bombs or Torp</t>
  </si>
  <si>
    <t>Engine Section</t>
  </si>
  <si>
    <t>Engine with Accessories</t>
  </si>
  <si>
    <t>Engine Accessories</t>
  </si>
  <si>
    <t>Armor</t>
  </si>
  <si>
    <t>BP Glass</t>
  </si>
  <si>
    <t>Gunsight</t>
  </si>
  <si>
    <t>Engine w/ Accessries</t>
  </si>
  <si>
    <t>Armament</t>
  </si>
  <si>
    <t>Fuselage</t>
  </si>
  <si>
    <t>Arm Prov/Equipment &amp; Armor</t>
  </si>
  <si>
    <t>Equipment</t>
  </si>
  <si>
    <t>Body + Eng Section + LG</t>
  </si>
  <si>
    <t>37-71</t>
  </si>
  <si>
    <t>R-680-7</t>
  </si>
  <si>
    <t>40-2481</t>
  </si>
  <si>
    <t>L-440-1</t>
  </si>
  <si>
    <t>R-440-3</t>
  </si>
  <si>
    <t>Biplane</t>
  </si>
  <si>
    <t>No. 101</t>
  </si>
  <si>
    <t>No. KB54-1017</t>
  </si>
  <si>
    <t>No. 6244</t>
  </si>
  <si>
    <t>35-247</t>
  </si>
  <si>
    <t>R-985-11</t>
  </si>
  <si>
    <t>NA-237</t>
  </si>
  <si>
    <t>37-115</t>
  </si>
  <si>
    <t>R-975-7</t>
  </si>
  <si>
    <t>No. 75-6920</t>
  </si>
  <si>
    <t>No. 1835</t>
  </si>
  <si>
    <t>37-372</t>
  </si>
  <si>
    <t>R-1340-47</t>
  </si>
  <si>
    <t>41-1109</t>
  </si>
  <si>
    <t>R-985-25</t>
  </si>
  <si>
    <t>NA-349</t>
  </si>
  <si>
    <t>NA-957</t>
  </si>
  <si>
    <t>NA-6132</t>
  </si>
  <si>
    <t>41-149</t>
  </si>
  <si>
    <t>R-1340-49</t>
  </si>
  <si>
    <t>R-1340-AN-1</t>
  </si>
  <si>
    <t>Stearman</t>
  </si>
  <si>
    <t>PT-13A</t>
  </si>
  <si>
    <t>Fairchild</t>
  </si>
  <si>
    <t>PT-19</t>
  </si>
  <si>
    <t>Ryan</t>
  </si>
  <si>
    <t>PT-21</t>
  </si>
  <si>
    <t>BT-8</t>
  </si>
  <si>
    <t>NAA</t>
  </si>
  <si>
    <t>BT-9B</t>
  </si>
  <si>
    <t>Vultee</t>
  </si>
  <si>
    <t>BT-13</t>
  </si>
  <si>
    <t>BC-1</t>
  </si>
  <si>
    <t>AT-6A</t>
  </si>
  <si>
    <t>SNJ-5</t>
  </si>
  <si>
    <t>2 Eng
Tricycle LG</t>
  </si>
  <si>
    <t>2Eng
3 Crew
Glass Nose</t>
  </si>
  <si>
    <t>Source</t>
  </si>
  <si>
    <t>Manufacturer</t>
  </si>
  <si>
    <t>Type</t>
  </si>
  <si>
    <t>Hamilton Std</t>
  </si>
  <si>
    <t>Length</t>
  </si>
  <si>
    <t>Wing Span</t>
  </si>
  <si>
    <t>Const Speed</t>
  </si>
  <si>
    <t>Fixed Pitch</t>
  </si>
  <si>
    <t>Variable Pitch</t>
  </si>
  <si>
    <t>H Tail Area (sqf)</t>
  </si>
  <si>
    <t>Curtiss (Elec)</t>
  </si>
  <si>
    <t>V-1710-27/29</t>
  </si>
  <si>
    <t>V-1710-89/91</t>
  </si>
  <si>
    <t>V-1650-1</t>
  </si>
  <si>
    <t>R-1820-G105A</t>
  </si>
  <si>
    <t>P&amp;W S3C3G</t>
  </si>
  <si>
    <t>No. 6595-A</t>
  </si>
  <si>
    <t>Body + LG</t>
  </si>
  <si>
    <t>Radio (if Not Included in Empty Wt)</t>
  </si>
  <si>
    <t>2-Post</t>
  </si>
  <si>
    <t>Per Engine</t>
  </si>
  <si>
    <t>Total</t>
  </si>
  <si>
    <t>V-1710-73 (F4R)</t>
  </si>
  <si>
    <t xml:space="preserve"> V-1710-18</t>
  </si>
  <si>
    <t>V-1710-99</t>
  </si>
  <si>
    <t>V-1710-63</t>
  </si>
  <si>
    <t>V-1710-E4 (-35)</t>
  </si>
  <si>
    <t>R-2800-59</t>
  </si>
  <si>
    <t>V-1650-3</t>
  </si>
  <si>
    <t>V-1710-93</t>
  </si>
  <si>
    <t>R-1820-56 </t>
  </si>
  <si>
    <t>V-1710-117</t>
  </si>
  <si>
    <t>XR-1820-22 </t>
  </si>
  <si>
    <t>R-1820-34 </t>
  </si>
  <si>
    <t>R-1820-G5</t>
  </si>
  <si>
    <t>R-1820-G105</t>
  </si>
  <si>
    <t>Norm</t>
  </si>
  <si>
    <t>H-75A (CW)</t>
  </si>
  <si>
    <t>H-75A (P&amp;W)</t>
  </si>
  <si>
    <t>Tail Area (sqf)</t>
  </si>
  <si>
    <t>Body L * D * W</t>
  </si>
  <si>
    <t>USAAF Pursuit/Fighters</t>
  </si>
  <si>
    <t>USN Fighters</t>
  </si>
  <si>
    <t>Attack/Dive &amp; Torp Bombers</t>
  </si>
  <si>
    <t>Single Engine Monoplane Trainers</t>
  </si>
  <si>
    <t>Displacement (cu in)</t>
  </si>
  <si>
    <t>Power</t>
  </si>
  <si>
    <t>Take Off</t>
  </si>
  <si>
    <t>Eng Dims</t>
  </si>
  <si>
    <t>L</t>
  </si>
  <si>
    <t>H</t>
  </si>
  <si>
    <t>W/D</t>
  </si>
  <si>
    <t>Wt</t>
  </si>
  <si>
    <t>Mil</t>
  </si>
  <si>
    <t>War Emergency</t>
  </si>
  <si>
    <t>V-1710-85 (E19)</t>
  </si>
  <si>
    <t>865/878</t>
  </si>
  <si>
    <t>[7]</t>
  </si>
  <si>
    <t>[8]</t>
  </si>
  <si>
    <t>[9]</t>
  </si>
  <si>
    <t>Aircraft</t>
  </si>
  <si>
    <t>L-440-3</t>
  </si>
  <si>
    <t>F4U-1</t>
  </si>
  <si>
    <t>Engine w/ Accessories</t>
  </si>
  <si>
    <t>R-2800-8</t>
  </si>
  <si>
    <t>F4U-1D</t>
  </si>
  <si>
    <t>R-2800-8W</t>
  </si>
  <si>
    <t>Fuel &amp; Oil Trapped in Systems</t>
  </si>
  <si>
    <t>Total Wing</t>
  </si>
  <si>
    <t>Ailerons</t>
  </si>
  <si>
    <t>Flaps</t>
  </si>
  <si>
    <t>(HP)</t>
  </si>
  <si>
    <t>(ft)</t>
  </si>
  <si>
    <t>(lb)</t>
  </si>
  <si>
    <t>(sq ft)</t>
  </si>
  <si>
    <t>(%)</t>
  </si>
  <si>
    <t>(mph)</t>
  </si>
  <si>
    <t>Root Thickness</t>
  </si>
  <si>
    <t>Design Speed</t>
  </si>
  <si>
    <t>Body Width</t>
  </si>
  <si>
    <t>Body Depth</t>
  </si>
  <si>
    <t>H Tail Area</t>
  </si>
  <si>
    <t>V Tail Area</t>
  </si>
  <si>
    <t>Tail Area</t>
  </si>
  <si>
    <t>Stabilizer</t>
  </si>
  <si>
    <t>Elevator</t>
  </si>
  <si>
    <t>Fin</t>
  </si>
  <si>
    <t>Rudder</t>
  </si>
  <si>
    <t>Tanks</t>
  </si>
  <si>
    <t>Piping Etc</t>
  </si>
  <si>
    <t>Camera</t>
  </si>
  <si>
    <t>Pyrotechnics</t>
  </si>
  <si>
    <t>Other</t>
  </si>
  <si>
    <t>Nav Equipment</t>
  </si>
  <si>
    <t>Water Solution for Engine Injection</t>
  </si>
  <si>
    <t>Hoisting Gear</t>
  </si>
  <si>
    <t>Floatation Gear</t>
  </si>
  <si>
    <t>Armor Plate</t>
  </si>
  <si>
    <t>Guns &amp; Ammo</t>
  </si>
  <si>
    <t>Fuselage Carry-Through</t>
  </si>
  <si>
    <t>Fuel Tank Volume</t>
  </si>
  <si>
    <t>Oil Tank Volume</t>
  </si>
  <si>
    <t>Water Injection Fluid Tank Volume</t>
  </si>
  <si>
    <t>(cu ft)</t>
  </si>
  <si>
    <t>Oxygen System</t>
  </si>
  <si>
    <t>(gal)</t>
  </si>
  <si>
    <t>Wing Tanks</t>
  </si>
  <si>
    <t>FuselageTanks</t>
  </si>
  <si>
    <t>R-1830-76</t>
  </si>
  <si>
    <t>Base Engine Wt</t>
  </si>
  <si>
    <t>Engine(s) as Installed</t>
  </si>
  <si>
    <t>Total Wing Wt/sq ft</t>
  </si>
  <si>
    <t>50/106</t>
  </si>
  <si>
    <t>Not to Exceed Speed</t>
  </si>
  <si>
    <t>P-39?</t>
  </si>
  <si>
    <t>R-1820G5/Model 286T______________1000@2200 TO ___850@2100 SL______geared, 2-speed_____87 grade____ 1210 lbs</t>
  </si>
  <si>
    <t>R-1830G5/R-1820-34/Model N548A __ 950@2200 TO ___850@2100 SL_______ direct, 2-speed____ 92 grade_____1105 lbs</t>
  </si>
  <si>
    <t>R-1830G71/R1820-53/Model 496A___1000@2200 TO ___850@2100 SL______ geared, 2-speed___ 100 grade_____1210 lbs</t>
  </si>
  <si>
    <t>C9CC1/R-1830-71/Model 702_______ 1200@2500 TO__ 1000@2300 SL______ geared, 1-speed____ 91/96 grade__1305 lbs</t>
  </si>
  <si>
    <t>R-1820-G5(-34)N548A</t>
  </si>
  <si>
    <t>For the military models, there is no 'G' prefix even if it is geared. i.e. R-1820-11, not GR-1820-11.</t>
  </si>
  <si>
    <t>If the civil F or G series ends in '2', it has a single speed supercharger and the blower ratio is 7:1.</t>
  </si>
  <si>
    <t>If the civil F or G series ends in '3' it is single speed and supercharger and blower ratio is 8.3:1 (I have also seen 8.31:1 and 8.34:1)</t>
  </si>
  <si>
    <t>If the civil F or G series ends in '5' it has a two speed and supercharger and blower ratios are 7.14:1 and 10.0:1</t>
  </si>
  <si>
    <t>I'm slowly getting a spreadsheet together, which will have all the civil models. Hopefully all the obscure details will fall out.</t>
  </si>
  <si>
    <t>1 XSBA-1 Scout Bomber</t>
  </si>
  <si>
    <t>2 XSBA-2 Scout Bomber [never built]</t>
  </si>
  <si>
    <t>3 XF2A-1 Navy Fighter</t>
  </si>
  <si>
    <t>4 XT3D-2 Douglas Torpedo [subcontract work?]</t>
  </si>
  <si>
    <t>5 F2A-1 Navy Fighter</t>
  </si>
  <si>
    <t>6 XF2A-2 Navy Fighter</t>
  </si>
  <si>
    <t>7 XSB2A-1 Scout Bomber</t>
  </si>
  <si>
    <t>8 XNR-1 Target Plane</t>
  </si>
  <si>
    <t>9 Fleet B-1 Fleet Trainer</t>
  </si>
  <si>
    <t>10 339-10 Belgian Fighter</t>
  </si>
  <si>
    <t>11 239-11 Finnish Fighter</t>
  </si>
  <si>
    <t>12 F2A-2 Navy Fighter</t>
  </si>
  <si>
    <t>13 339-13 English Fighter (339E)</t>
  </si>
  <si>
    <t>14 340-14 English Dive Bomber</t>
  </si>
  <si>
    <t>15 no entry this line</t>
  </si>
  <si>
    <t>16 339-16 Dutch Fighter (339D)</t>
  </si>
  <si>
    <t>17 340-17 Dutch Dive Bomber</t>
  </si>
  <si>
    <t>18 339-18 Dutch Fighter (339C)</t>
  </si>
  <si>
    <t>19 no entry this line</t>
  </si>
  <si>
    <t>20 SB2A-1 Navy Dive Bomber</t>
  </si>
  <si>
    <t>21 339-21 English Fighter</t>
  </si>
  <si>
    <t>22 F2A-3 Navy Fighter</t>
  </si>
  <si>
    <t>23 339-23 Dutch Fighter</t>
  </si>
  <si>
    <t>24 RESERVED FOR NEW DESIGN</t>
  </si>
  <si>
    <t>25 XA-32 Army Bomber</t>
  </si>
  <si>
    <t>Oddly, no Brewster model number for the proposed Turner racer.</t>
  </si>
  <si>
    <t>Most of the Model 239's were in fact hastily modified F2A-1's, as evidenced by the fact that, while painted in overall aluminum lacquer before being boxed and sent to Sweden, and then camouflaged upon the outbreak of the Continuation War, weathering on the upper surface of the wings eventually revealed Orange Yellow paint, as prescribed for the F2A-1. The modifications were as noted above plus relocation of the compass from top center of the control panel to a 'doghouse' on the upper right. I've got some papers that seem to suggest Brewster expected to make 66 Type 11/239's, but the end of the Winter War cut production to the 43 ex-F2A-1's plus one more for a total of 44.</t>
  </si>
  <si>
    <t>As far as engines, here are the types as posted to the Brewster spec sheets (usually accurate except where performance claims are made)</t>
  </si>
  <si>
    <r>
      <t>Characteristics </t>
    </r>
    <r>
      <rPr>
        <b/>
        <sz val="8"/>
        <color rgb="FF1D1D1D"/>
        <rFont val="Segoe UI"/>
        <family val="2"/>
      </rPr>
      <t>Characteristics</t>
    </r>
  </si>
  <si>
    <t>Type&gt;</t>
  </si>
  <si>
    <t>XF2A-1</t>
  </si>
  <si>
    <t>239 Finnish</t>
  </si>
  <si>
    <t>339B Belgian</t>
  </si>
  <si>
    <t>339C Dutch</t>
  </si>
  <si>
    <t>339D Dutch</t>
  </si>
  <si>
    <t>339E British</t>
  </si>
  <si>
    <t>339-23 Dutch</t>
  </si>
  <si>
    <t>Engine</t>
  </si>
  <si>
    <t>WAC 1820-G-22</t>
  </si>
  <si>
    <t>WAC 1820-34</t>
  </si>
  <si>
    <t>WAC 1820-G-5</t>
  </si>
  <si>
    <t>WAC 1820-40</t>
  </si>
  <si>
    <t>WAC 1820-G105</t>
  </si>
  <si>
    <t>WAC 1820-205</t>
  </si>
  <si>
    <t>WAC 1820-105</t>
  </si>
  <si>
    <t>WAC 1820-G5E</t>
  </si>
  <si>
    <t>Hope this helps...</t>
  </si>
  <si>
    <t>R-1820-G205</t>
  </si>
  <si>
    <t>L *Eng W * Eng H</t>
  </si>
  <si>
    <t>Reference Sources</t>
  </si>
  <si>
    <t xml:space="preserve"> V-1710-81</t>
  </si>
  <si>
    <t>No of Crew</t>
  </si>
  <si>
    <t>L * D * H or L * D^2</t>
  </si>
  <si>
    <t>Basic Mission Gross Wt * Take-Off Pwr/100000</t>
  </si>
  <si>
    <t>Basic Mission Gross Wt * TO Pwr^3/100000000</t>
  </si>
  <si>
    <t>Fixed</t>
  </si>
  <si>
    <t>7' 6"</t>
  </si>
  <si>
    <t>Two-Speed</t>
  </si>
  <si>
    <t>Const Spd</t>
  </si>
  <si>
    <t>2, 3</t>
  </si>
  <si>
    <t>2, 3, 5</t>
  </si>
  <si>
    <t>1, 3, 5</t>
  </si>
  <si>
    <t>3, 4, 5</t>
  </si>
  <si>
    <t>1, 3, 8</t>
  </si>
  <si>
    <t>2, 3, 8</t>
  </si>
  <si>
    <t>1,3, 8</t>
  </si>
  <si>
    <t>Military</t>
  </si>
  <si>
    <t>Normal</t>
  </si>
  <si>
    <t>Width/Dia</t>
  </si>
  <si>
    <t>Height</t>
  </si>
  <si>
    <t>Span</t>
  </si>
  <si>
    <t xml:space="preserve">Total Area </t>
  </si>
  <si>
    <t>Wing (less Ailerons &amp; Flaps)</t>
  </si>
  <si>
    <t>Total Control Surf Area</t>
  </si>
  <si>
    <t>Overall</t>
  </si>
  <si>
    <t xml:space="preserve">Body </t>
  </si>
  <si>
    <t>(lb/HP)</t>
  </si>
  <si>
    <t>(lb/sq ft)</t>
  </si>
  <si>
    <t>(G's)</t>
  </si>
  <si>
    <t>Ultimate Load Factor</t>
  </si>
  <si>
    <t>XBT2D-1</t>
  </si>
  <si>
    <t xml:space="preserve">Displacement </t>
  </si>
  <si>
    <t>(cu in)</t>
  </si>
  <si>
    <t>We/Wbmgw</t>
  </si>
  <si>
    <t>Electronics (Purple means incl in Furn/Gray in Useful Ld)</t>
  </si>
  <si>
    <t>Prop Dia</t>
  </si>
  <si>
    <t>Northrop</t>
  </si>
  <si>
    <t>Fleetwings</t>
  </si>
  <si>
    <t>BT-12</t>
  </si>
  <si>
    <t>PW WJr</t>
  </si>
  <si>
    <t>2 Pos CP</t>
  </si>
  <si>
    <t>R-985-AN-1</t>
  </si>
  <si>
    <t>Landing Speed</t>
  </si>
  <si>
    <t>4, 3, 8</t>
  </si>
  <si>
    <t>A-35B</t>
  </si>
  <si>
    <t>X</t>
  </si>
  <si>
    <t>Dive Brakes</t>
  </si>
  <si>
    <t>N-1412</t>
  </si>
  <si>
    <t>R-2600-13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</si>
</sst>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font>
      <sz val="11"/>
      <color theme="1"/>
      <name val="Aptos Narrow"/>
      <family val="2"/>
      <scheme val="minor"/>
    </font>
    <font>
      <sz val="8"/>
      <color rgb="FF000000"/>
      <name val="Tahoma"/>
      <family val="2"/>
    </font>
    <font>
      <sz val="8"/>
      <color theme="1"/>
      <name val="Tahoma"/>
      <family val="2"/>
    </font>
    <font>
      <sz val="8"/>
      <color rgb="FFFF0000"/>
      <name val="Tahoma"/>
      <family val="2"/>
    </font>
    <font>
      <sz val="8"/>
      <name val="Aptos Narrow"/>
      <family val="2"/>
      <scheme val="minor"/>
    </font>
    <font>
      <sz val="8"/>
      <name val="Tahoma"/>
      <family val="2"/>
    </font>
    <font>
      <sz val="10"/>
      <name val="Arial"/>
      <family val="2"/>
    </font>
    <font>
      <sz val="10"/>
      <color indexed="18"/>
      <name val="Arial"/>
      <family val="2"/>
    </font>
    <font>
      <sz val="10"/>
      <name val="Antique Olive Roman"/>
      <family val="2"/>
    </font>
    <font>
      <sz val="10"/>
      <color rgb="FF00B050"/>
      <name val="Arial"/>
      <family val="2"/>
    </font>
    <font>
      <b/>
      <sz val="8"/>
      <color theme="8"/>
      <name val="Tahoma"/>
      <family val="2"/>
    </font>
    <font>
      <sz val="14"/>
      <color theme="1"/>
      <name val="Tahoma"/>
      <family val="2"/>
    </font>
    <font>
      <sz val="11"/>
      <color theme="1"/>
      <name val="Aptos Narrow"/>
      <family val="2"/>
      <scheme val="minor"/>
    </font>
    <font>
      <sz val="8"/>
      <color rgb="FF1D1D1D"/>
      <name val="Segoe UI"/>
      <family val="2"/>
    </font>
    <font>
      <b/>
      <sz val="8"/>
      <color rgb="FF1D1D1D"/>
      <name val="Segoe UI"/>
      <family val="2"/>
    </font>
    <font>
      <b/>
      <sz val="11"/>
      <color theme="1"/>
      <name val="Segoe UI"/>
      <family val="2"/>
    </font>
    <font>
      <sz val="11"/>
      <color theme="1"/>
      <name val="Segoe UI"/>
      <family val="2"/>
    </font>
    <font>
      <sz val="8"/>
      <color rgb="FF0070C0"/>
      <name val="Tahoma"/>
      <family val="2"/>
    </font>
    <font>
      <sz val="8"/>
      <color rgb="FFFFFF00"/>
      <name val="Tahoma"/>
      <family val="2"/>
    </font>
  </fonts>
  <fills count="1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F4C8"/>
        <bgColor indexed="64"/>
      </patternFill>
    </fill>
    <fill>
      <patternFill patternType="solid">
        <fgColor rgb="FFF1E7D1"/>
        <bgColor indexed="64"/>
      </patternFill>
    </fill>
    <fill>
      <patternFill patternType="solid">
        <fgColor rgb="FF00B050"/>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medium">
        <color indexed="64"/>
      </left>
      <right style="medium">
        <color indexed="64"/>
      </right>
      <top style="thick">
        <color theme="1"/>
      </top>
      <bottom style="thick">
        <color theme="1"/>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rgb="FF553E19"/>
      </left>
      <right style="medium">
        <color rgb="FF553E19"/>
      </right>
      <top style="medium">
        <color rgb="FF553E19"/>
      </top>
      <bottom style="medium">
        <color rgb="FFB39F6A"/>
      </bottom>
      <diagonal/>
    </border>
    <border>
      <left style="medium">
        <color rgb="FF553E19"/>
      </left>
      <right style="medium">
        <color rgb="FF553E19"/>
      </right>
      <top style="medium">
        <color rgb="FF553E19"/>
      </top>
      <bottom style="medium">
        <color rgb="FF553E19"/>
      </bottom>
      <diagonal/>
    </border>
    <border>
      <left style="medium">
        <color indexed="64"/>
      </left>
      <right/>
      <top/>
      <bottom style="thick">
        <color theme="1"/>
      </bottom>
      <diagonal/>
    </border>
    <border>
      <left/>
      <right/>
      <top/>
      <bottom style="thick">
        <color theme="1"/>
      </bottom>
      <diagonal/>
    </border>
    <border>
      <left/>
      <right style="medium">
        <color indexed="64"/>
      </right>
      <top/>
      <bottom style="thick">
        <color theme="1"/>
      </bottom>
      <diagonal/>
    </border>
  </borders>
  <cellStyleXfs count="3">
    <xf numFmtId="0" fontId="0" fillId="0" borderId="0"/>
    <xf numFmtId="0" fontId="6" fillId="0" borderId="0"/>
    <xf numFmtId="9" fontId="12" fillId="0" borderId="0" applyFont="0" applyFill="0" applyBorder="0" applyAlignment="0" applyProtection="0"/>
  </cellStyleXfs>
  <cellXfs count="412">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0" borderId="0" xfId="0" applyFont="1"/>
    <xf numFmtId="0" fontId="1" fillId="0" borderId="2" xfId="0" applyFont="1" applyBorder="1" applyAlignment="1">
      <alignment horizontal="left" vertical="center" wrapText="1" indent="1"/>
    </xf>
    <xf numFmtId="0" fontId="2" fillId="0" borderId="2" xfId="0" applyFont="1" applyBorder="1" applyAlignment="1">
      <alignment horizontal="left" indent="1"/>
    </xf>
    <xf numFmtId="0" fontId="1" fillId="0" borderId="2" xfId="0" applyFont="1" applyBorder="1" applyAlignment="1">
      <alignment horizontal="left" vertical="top" wrapText="1" indent="1"/>
    </xf>
    <xf numFmtId="0" fontId="1" fillId="4" borderId="2" xfId="0" applyFont="1" applyFill="1" applyBorder="1" applyAlignment="1">
      <alignment horizontal="left" vertical="center" wrapText="1" indent="2"/>
    </xf>
    <xf numFmtId="0" fontId="1" fillId="0" borderId="1" xfId="0" applyFont="1" applyBorder="1" applyAlignment="1">
      <alignment vertical="center" wrapText="1"/>
    </xf>
    <xf numFmtId="0" fontId="2" fillId="0" borderId="1" xfId="0" applyFont="1" applyBorder="1"/>
    <xf numFmtId="0" fontId="0" fillId="0" borderId="0" xfId="0" applyAlignment="1">
      <alignment horizontal="left" indent="1"/>
    </xf>
    <xf numFmtId="0" fontId="2" fillId="0" borderId="2" xfId="0" applyFont="1" applyBorder="1" applyAlignment="1">
      <alignment horizontal="left" indent="2"/>
    </xf>
    <xf numFmtId="0" fontId="1" fillId="2" borderId="2" xfId="0" applyFont="1" applyFill="1" applyBorder="1" applyAlignment="1">
      <alignment horizontal="left" vertical="center" wrapText="1" indent="2"/>
    </xf>
    <xf numFmtId="0" fontId="2" fillId="0" borderId="0" xfId="0" applyFont="1" applyAlignment="1">
      <alignment horizontal="center"/>
    </xf>
    <xf numFmtId="0" fontId="6" fillId="0" borderId="0" xfId="0" applyFont="1" applyAlignment="1">
      <alignment horizontal="center" vertical="center"/>
    </xf>
    <xf numFmtId="0" fontId="0" fillId="0" borderId="0" xfId="0"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0" fontId="9" fillId="0" borderId="0" xfId="0" applyFont="1" applyAlignment="1">
      <alignment horizontal="left" vertical="center"/>
    </xf>
    <xf numFmtId="0" fontId="1" fillId="0" borderId="0" xfId="0" applyFont="1" applyAlignment="1">
      <alignment horizontal="left" vertical="center" wrapText="1" indent="1"/>
    </xf>
    <xf numFmtId="0" fontId="6" fillId="0" borderId="0" xfId="0" applyFont="1" applyAlignment="1">
      <alignment horizontal="right" vertical="center"/>
    </xf>
    <xf numFmtId="0" fontId="1" fillId="0" borderId="0" xfId="0" applyFont="1" applyAlignment="1">
      <alignment horizontal="left" vertical="center" wrapText="1" indent="2"/>
    </xf>
    <xf numFmtId="0" fontId="6" fillId="0" borderId="0" xfId="0" applyFont="1" applyAlignment="1">
      <alignment horizontal="left" vertical="center"/>
    </xf>
    <xf numFmtId="0" fontId="6" fillId="0" borderId="0" xfId="0" applyFont="1" applyAlignment="1">
      <alignment horizontal="left" vertical="center" indent="2"/>
    </xf>
    <xf numFmtId="0" fontId="0" fillId="0" borderId="0" xfId="0" applyAlignment="1">
      <alignment horizontal="left" vertical="center"/>
    </xf>
    <xf numFmtId="0" fontId="2" fillId="0" borderId="0" xfId="0" applyFont="1" applyAlignment="1">
      <alignment horizontal="left" vertical="top" wrapText="1" indent="1"/>
    </xf>
    <xf numFmtId="0" fontId="5" fillId="0" borderId="0" xfId="0" applyFont="1" applyAlignment="1">
      <alignment horizontal="center" vertical="center" wrapText="1"/>
    </xf>
    <xf numFmtId="0" fontId="7" fillId="0" borderId="0" xfId="0" applyFont="1" applyAlignment="1">
      <alignment horizontal="left" vertical="center"/>
    </xf>
    <xf numFmtId="0" fontId="2" fillId="0" borderId="0" xfId="0" applyFont="1" applyAlignment="1">
      <alignment horizontal="left" indent="1"/>
    </xf>
    <xf numFmtId="0" fontId="6" fillId="0" borderId="0" xfId="0" applyFont="1" applyAlignment="1">
      <alignment horizontal="left" vertical="top"/>
    </xf>
    <xf numFmtId="0" fontId="2" fillId="0" borderId="0" xfId="0" applyFont="1" applyAlignment="1">
      <alignment horizontal="center" vertical="center" wrapText="1"/>
    </xf>
    <xf numFmtId="0" fontId="2" fillId="0" borderId="0" xfId="0" applyFont="1" applyAlignment="1">
      <alignment horizontal="center" vertical="top" wrapText="1"/>
    </xf>
    <xf numFmtId="0" fontId="1" fillId="0" borderId="0" xfId="0" applyFont="1" applyAlignment="1">
      <alignment horizontal="left" vertical="top" wrapText="1" indent="1"/>
    </xf>
    <xf numFmtId="0" fontId="0" fillId="0" borderId="0" xfId="0" applyAlignment="1">
      <alignment horizontal="left" vertical="top"/>
    </xf>
    <xf numFmtId="0" fontId="6" fillId="0" borderId="0" xfId="0" applyFont="1" applyAlignment="1">
      <alignment horizontal="left"/>
    </xf>
    <xf numFmtId="0" fontId="3" fillId="0" borderId="0" xfId="0" applyFont="1" applyAlignment="1">
      <alignment horizontal="center"/>
    </xf>
    <xf numFmtId="0" fontId="5" fillId="0" borderId="0" xfId="0" applyFont="1" applyAlignment="1">
      <alignment horizontal="center"/>
    </xf>
    <xf numFmtId="0" fontId="8" fillId="0" borderId="0" xfId="0" applyFont="1" applyAlignment="1">
      <alignment horizontal="left" vertical="center"/>
    </xf>
    <xf numFmtId="0" fontId="9" fillId="0" borderId="0" xfId="0" applyFont="1"/>
    <xf numFmtId="0" fontId="0" fillId="0" borderId="0" xfId="0" quotePrefix="1"/>
    <xf numFmtId="0" fontId="6" fillId="0" borderId="0" xfId="0" applyFont="1" applyAlignment="1">
      <alignment horizontal="right" vertical="top"/>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3"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17"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0" fontId="1" fillId="0" borderId="0" xfId="0" applyFont="1" applyAlignment="1">
      <alignment horizontal="center" vertical="top" wrapText="1"/>
    </xf>
    <xf numFmtId="0" fontId="2" fillId="0" borderId="5" xfId="0" applyFont="1" applyBorder="1"/>
    <xf numFmtId="0" fontId="2" fillId="0" borderId="13" xfId="0" applyFont="1" applyBorder="1" applyAlignment="1">
      <alignment horizontal="center"/>
    </xf>
    <xf numFmtId="0" fontId="2" fillId="0" borderId="6" xfId="0" applyFont="1" applyBorder="1" applyAlignment="1">
      <alignment horizontal="center"/>
    </xf>
    <xf numFmtId="0" fontId="2" fillId="0" borderId="4" xfId="0" applyFont="1" applyBorder="1"/>
    <xf numFmtId="0" fontId="1" fillId="0" borderId="3" xfId="0" applyFont="1" applyBorder="1" applyAlignment="1">
      <alignment horizontal="center" vertical="center" wrapText="1"/>
    </xf>
    <xf numFmtId="0" fontId="1" fillId="0" borderId="4" xfId="0" applyFont="1" applyBorder="1" applyAlignment="1">
      <alignment vertical="center" wrapText="1"/>
    </xf>
    <xf numFmtId="17" fontId="1" fillId="0" borderId="3" xfId="0" applyNumberFormat="1" applyFont="1" applyBorder="1" applyAlignment="1">
      <alignment horizontal="center" vertical="center" wrapText="1"/>
    </xf>
    <xf numFmtId="0" fontId="1" fillId="0" borderId="4" xfId="0" applyFont="1" applyBorder="1" applyAlignment="1">
      <alignment horizontal="left" vertical="center" wrapText="1" indent="1"/>
    </xf>
    <xf numFmtId="9" fontId="1"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indent="1"/>
    </xf>
    <xf numFmtId="0" fontId="1" fillId="0" borderId="4" xfId="0" applyFont="1" applyBorder="1" applyAlignment="1">
      <alignment horizontal="left" vertical="top" wrapText="1" indent="1"/>
    </xf>
    <xf numFmtId="0" fontId="2" fillId="0" borderId="7" xfId="0" applyFont="1" applyBorder="1"/>
    <xf numFmtId="0" fontId="1" fillId="0" borderId="7" xfId="0" applyFont="1" applyBorder="1" applyAlignment="1">
      <alignment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wrapText="1"/>
    </xf>
    <xf numFmtId="0" fontId="1" fillId="0" borderId="5" xfId="0" applyFont="1" applyBorder="1" applyAlignment="1">
      <alignment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wrapText="1"/>
    </xf>
    <xf numFmtId="0" fontId="1" fillId="0" borderId="7" xfId="0" applyFont="1" applyBorder="1" applyAlignment="1">
      <alignment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2" xfId="0" applyFont="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10" xfId="0" applyFont="1" applyBorder="1" applyAlignment="1">
      <alignment horizontal="center"/>
    </xf>
    <xf numFmtId="0" fontId="2" fillId="0" borderId="12" xfId="0" applyFont="1" applyBorder="1"/>
    <xf numFmtId="1" fontId="10" fillId="0" borderId="10" xfId="0" applyNumberFormat="1" applyFont="1" applyBorder="1" applyAlignment="1">
      <alignment horizontal="center"/>
    </xf>
    <xf numFmtId="1" fontId="2" fillId="0" borderId="11" xfId="0" applyNumberFormat="1" applyFont="1" applyBorder="1" applyAlignment="1">
      <alignment horizontal="center"/>
    </xf>
    <xf numFmtId="0" fontId="2" fillId="0" borderId="11" xfId="0" applyFont="1" applyBorder="1" applyAlignment="1">
      <alignment horizontal="center"/>
    </xf>
    <xf numFmtId="0" fontId="3" fillId="0" borderId="10" xfId="0" applyFont="1" applyBorder="1" applyAlignment="1">
      <alignment horizontal="center"/>
    </xf>
    <xf numFmtId="0" fontId="1" fillId="4" borderId="4" xfId="0" applyFont="1" applyFill="1" applyBorder="1" applyAlignment="1">
      <alignment horizontal="left" vertical="center" wrapText="1" indent="2"/>
    </xf>
    <xf numFmtId="0" fontId="1" fillId="4" borderId="0" xfId="0" applyFont="1" applyFill="1" applyAlignment="1">
      <alignment horizontal="center" vertical="center" wrapText="1"/>
    </xf>
    <xf numFmtId="0" fontId="1" fillId="4" borderId="3" xfId="0" applyFont="1" applyFill="1" applyBorder="1" applyAlignment="1">
      <alignment horizontal="center" vertical="center" wrapText="1"/>
    </xf>
    <xf numFmtId="0" fontId="2" fillId="4" borderId="0" xfId="0" applyFont="1" applyFill="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indent="2"/>
    </xf>
    <xf numFmtId="0" fontId="1" fillId="3" borderId="0" xfId="0" applyFont="1" applyFill="1" applyAlignment="1">
      <alignment horizontal="center" vertical="center" wrapText="1"/>
    </xf>
    <xf numFmtId="2" fontId="1" fillId="0" borderId="3" xfId="0" applyNumberFormat="1" applyFont="1" applyBorder="1" applyAlignment="1">
      <alignment horizontal="center" vertical="center" wrapText="1"/>
    </xf>
    <xf numFmtId="0" fontId="1" fillId="2" borderId="4" xfId="0" applyFont="1" applyFill="1" applyBorder="1" applyAlignment="1">
      <alignment horizontal="left" vertical="center" wrapText="1" indent="1"/>
    </xf>
    <xf numFmtId="0" fontId="2" fillId="0" borderId="14" xfId="0" applyFont="1" applyBorder="1" applyAlignment="1">
      <alignment horizontal="center"/>
    </xf>
    <xf numFmtId="0" fontId="2" fillId="0" borderId="15" xfId="0" applyFont="1" applyBorder="1" applyAlignment="1">
      <alignment horizontal="center"/>
    </xf>
    <xf numFmtId="0" fontId="1"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xf>
    <xf numFmtId="17" fontId="1" fillId="0" borderId="2" xfId="0" applyNumberFormat="1" applyFont="1" applyBorder="1" applyAlignment="1">
      <alignment horizontal="center" vertical="center" wrapText="1"/>
    </xf>
    <xf numFmtId="9" fontId="1"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xf>
    <xf numFmtId="0" fontId="1" fillId="5" borderId="0" xfId="0" applyFont="1" applyFill="1" applyAlignment="1">
      <alignment horizontal="center" vertical="center" wrapText="1"/>
    </xf>
    <xf numFmtId="0" fontId="1" fillId="0" borderId="18" xfId="0" applyFont="1" applyBorder="1" applyAlignment="1">
      <alignment horizontal="center" vertical="center" wrapText="1"/>
    </xf>
    <xf numFmtId="0" fontId="2" fillId="0" borderId="18" xfId="0" applyFont="1" applyBorder="1" applyAlignment="1">
      <alignment horizontal="center"/>
    </xf>
    <xf numFmtId="0" fontId="1" fillId="0" borderId="19" xfId="0" applyFont="1" applyBorder="1" applyAlignment="1">
      <alignment horizontal="center" vertic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4" borderId="24" xfId="0" applyFont="1" applyFill="1" applyBorder="1" applyAlignment="1">
      <alignment horizontal="center"/>
    </xf>
    <xf numFmtId="0" fontId="1" fillId="0" borderId="24" xfId="0" applyFont="1" applyBorder="1" applyAlignment="1">
      <alignment horizontal="center" vertical="center" wrapText="1"/>
    </xf>
    <xf numFmtId="0" fontId="2" fillId="0" borderId="24" xfId="0" applyFont="1" applyBorder="1" applyAlignment="1">
      <alignment horizontal="center"/>
    </xf>
    <xf numFmtId="0" fontId="1" fillId="4" borderId="24" xfId="0" applyFont="1" applyFill="1" applyBorder="1" applyAlignment="1">
      <alignment horizontal="center" vertical="center" wrapText="1"/>
    </xf>
    <xf numFmtId="0" fontId="2" fillId="0" borderId="24" xfId="0" applyFont="1" applyBorder="1" applyAlignment="1">
      <alignment horizontal="center" vertical="top" wrapText="1"/>
    </xf>
    <xf numFmtId="0" fontId="1" fillId="0" borderId="26" xfId="0" applyFont="1" applyBorder="1" applyAlignment="1">
      <alignment horizontal="center" vertical="center" wrapText="1"/>
    </xf>
    <xf numFmtId="0" fontId="2" fillId="0" borderId="26" xfId="0" applyFont="1" applyBorder="1" applyAlignment="1">
      <alignment horizontal="center" vertical="top" wrapText="1"/>
    </xf>
    <xf numFmtId="0" fontId="2" fillId="0" borderId="26" xfId="0" applyFont="1" applyBorder="1" applyAlignment="1">
      <alignment horizontal="center"/>
    </xf>
    <xf numFmtId="0" fontId="2" fillId="0" borderId="27" xfId="0" applyFont="1" applyBorder="1" applyAlignment="1">
      <alignment horizontal="center" vertical="top" wrapText="1"/>
    </xf>
    <xf numFmtId="0" fontId="2" fillId="0" borderId="19" xfId="0" applyFont="1" applyBorder="1" applyAlignment="1">
      <alignment horizontal="center"/>
    </xf>
    <xf numFmtId="0" fontId="2" fillId="0" borderId="28" xfId="0" applyFont="1" applyBorder="1"/>
    <xf numFmtId="0" fontId="2" fillId="0" borderId="29" xfId="0" applyFont="1" applyBorder="1"/>
    <xf numFmtId="0" fontId="1" fillId="0" borderId="31" xfId="0" applyFont="1" applyBorder="1" applyAlignment="1">
      <alignment vertical="center" wrapText="1"/>
    </xf>
    <xf numFmtId="0" fontId="1" fillId="0" borderId="31" xfId="0" applyFont="1" applyBorder="1" applyAlignment="1">
      <alignment horizontal="left" vertical="center" wrapText="1" indent="1"/>
    </xf>
    <xf numFmtId="0" fontId="2" fillId="0" borderId="31" xfId="0" applyFont="1" applyBorder="1"/>
    <xf numFmtId="0" fontId="1" fillId="0" borderId="32" xfId="0" applyFont="1" applyBorder="1" applyAlignment="1">
      <alignment vertical="center" wrapText="1"/>
    </xf>
    <xf numFmtId="0" fontId="1" fillId="4" borderId="31" xfId="0" applyFont="1" applyFill="1" applyBorder="1" applyAlignment="1">
      <alignment horizontal="left" vertical="center" wrapText="1" indent="2"/>
    </xf>
    <xf numFmtId="0" fontId="1" fillId="0" borderId="16" xfId="0" applyFont="1" applyBorder="1" applyAlignment="1">
      <alignment vertical="center" wrapText="1"/>
    </xf>
    <xf numFmtId="0" fontId="2" fillId="0" borderId="28" xfId="0" applyFont="1" applyBorder="1" applyAlignment="1">
      <alignment horizontal="left" indent="1"/>
    </xf>
    <xf numFmtId="0" fontId="2" fillId="0" borderId="31" xfId="0" applyFont="1" applyBorder="1" applyAlignment="1">
      <alignment horizontal="left" indent="1"/>
    </xf>
    <xf numFmtId="0" fontId="1" fillId="0" borderId="31" xfId="0" applyFont="1" applyBorder="1" applyAlignment="1">
      <alignment horizontal="left" vertical="top" wrapText="1" indent="1"/>
    </xf>
    <xf numFmtId="0" fontId="2" fillId="0" borderId="16" xfId="0" applyFont="1" applyBorder="1"/>
    <xf numFmtId="0" fontId="2" fillId="4" borderId="31" xfId="0" applyFont="1" applyFill="1" applyBorder="1" applyAlignment="1">
      <alignment horizontal="left" indent="2"/>
    </xf>
    <xf numFmtId="0" fontId="2" fillId="0" borderId="34" xfId="0" applyFont="1" applyBorder="1"/>
    <xf numFmtId="0" fontId="2" fillId="0" borderId="33" xfId="0" applyFont="1" applyBorder="1"/>
    <xf numFmtId="0" fontId="2" fillId="0" borderId="35" xfId="0" applyFont="1" applyBorder="1" applyAlignment="1">
      <alignment horizontal="center"/>
    </xf>
    <xf numFmtId="17" fontId="1" fillId="0" borderId="24"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xf>
    <xf numFmtId="0" fontId="2" fillId="0" borderId="20" xfId="0" applyFont="1" applyBorder="1" applyAlignment="1">
      <alignment horizontal="center"/>
    </xf>
    <xf numFmtId="0" fontId="2" fillId="0" borderId="36" xfId="0" applyFont="1" applyBorder="1" applyAlignment="1">
      <alignment horizontal="center"/>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4" borderId="23" xfId="0" applyFont="1" applyFill="1" applyBorder="1" applyAlignment="1">
      <alignment horizontal="center" vertical="center" wrapText="1"/>
    </xf>
    <xf numFmtId="0" fontId="2" fillId="4" borderId="23" xfId="0" applyFont="1" applyFill="1" applyBorder="1" applyAlignment="1">
      <alignment horizontal="center"/>
    </xf>
    <xf numFmtId="0" fontId="2" fillId="0" borderId="23" xfId="0" applyFont="1" applyBorder="1" applyAlignment="1">
      <alignment horizontal="center"/>
    </xf>
    <xf numFmtId="0" fontId="2" fillId="0" borderId="25" xfId="0" applyFont="1" applyBorder="1" applyAlignment="1">
      <alignment horizontal="center"/>
    </xf>
    <xf numFmtId="0" fontId="2" fillId="0" borderId="27" xfId="0" applyFont="1" applyBorder="1" applyAlignment="1">
      <alignment horizontal="center"/>
    </xf>
    <xf numFmtId="0" fontId="10" fillId="0" borderId="18" xfId="0" applyFont="1" applyBorder="1" applyAlignment="1">
      <alignment horizontal="center"/>
    </xf>
    <xf numFmtId="17" fontId="1" fillId="0" borderId="23" xfId="0" applyNumberFormat="1" applyFont="1" applyBorder="1" applyAlignment="1">
      <alignment horizontal="center" vertical="center" wrapText="1"/>
    </xf>
    <xf numFmtId="0" fontId="1" fillId="5" borderId="24"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horizontal="center" vertical="top" wrapText="1"/>
    </xf>
    <xf numFmtId="0" fontId="2" fillId="0" borderId="28" xfId="0" applyFont="1" applyBorder="1" applyAlignment="1">
      <alignment horizontal="center"/>
    </xf>
    <xf numFmtId="0" fontId="2" fillId="0" borderId="29" xfId="0" applyFont="1" applyBorder="1" applyAlignment="1">
      <alignment horizontal="center"/>
    </xf>
    <xf numFmtId="0" fontId="1" fillId="0" borderId="1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1" xfId="0" applyFont="1" applyBorder="1" applyAlignment="1">
      <alignment horizontal="center" vertical="center" wrapText="1"/>
    </xf>
    <xf numFmtId="0" fontId="1" fillId="4" borderId="31" xfId="0" applyFont="1" applyFill="1" applyBorder="1" applyAlignment="1">
      <alignment horizontal="center" vertical="center" wrapText="1"/>
    </xf>
    <xf numFmtId="0" fontId="2" fillId="4" borderId="31" xfId="0" applyFont="1" applyFill="1" applyBorder="1" applyAlignment="1">
      <alignment horizontal="center"/>
    </xf>
    <xf numFmtId="0" fontId="2" fillId="0" borderId="31" xfId="0" applyFont="1" applyBorder="1" applyAlignment="1">
      <alignment horizontal="center"/>
    </xf>
    <xf numFmtId="0" fontId="2" fillId="0" borderId="33" xfId="0" applyFont="1" applyBorder="1" applyAlignment="1">
      <alignment horizontal="center"/>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2" fillId="0" borderId="25" xfId="0" applyFont="1" applyBorder="1" applyAlignment="1">
      <alignment horizontal="center" vertical="top" wrapText="1"/>
    </xf>
    <xf numFmtId="0" fontId="2" fillId="0" borderId="31" xfId="0" applyFont="1" applyBorder="1" applyAlignment="1">
      <alignment horizontal="center" vertical="top" wrapText="1"/>
    </xf>
    <xf numFmtId="0" fontId="2" fillId="0" borderId="33" xfId="0" applyFont="1" applyBorder="1" applyAlignment="1">
      <alignment horizontal="center" vertical="top" wrapText="1"/>
    </xf>
    <xf numFmtId="0" fontId="2" fillId="0" borderId="16" xfId="0" applyFont="1" applyBorder="1" applyAlignment="1">
      <alignment horizontal="center"/>
    </xf>
    <xf numFmtId="0" fontId="3" fillId="0" borderId="10" xfId="0" quotePrefix="1" applyFont="1" applyBorder="1" applyAlignment="1">
      <alignment horizontal="center"/>
    </xf>
    <xf numFmtId="0" fontId="2" fillId="0" borderId="10" xfId="0" quotePrefix="1" applyFont="1" applyBorder="1" applyAlignment="1">
      <alignment horizontal="center"/>
    </xf>
    <xf numFmtId="0" fontId="2" fillId="0" borderId="0" xfId="0" quotePrefix="1" applyFont="1" applyAlignment="1">
      <alignment horizontal="center"/>
    </xf>
    <xf numFmtId="0" fontId="2" fillId="0" borderId="9" xfId="0" quotePrefix="1" applyFont="1" applyBorder="1" applyAlignment="1">
      <alignment horizontal="center"/>
    </xf>
    <xf numFmtId="2" fontId="1" fillId="0" borderId="23" xfId="0" applyNumberFormat="1" applyFont="1" applyBorder="1" applyAlignment="1">
      <alignment horizontal="center" vertical="center" wrapText="1"/>
    </xf>
    <xf numFmtId="2" fontId="1" fillId="3" borderId="0" xfId="0" applyNumberFormat="1" applyFont="1" applyFill="1" applyAlignment="1">
      <alignment horizontal="center" vertical="center" wrapText="1"/>
    </xf>
    <xf numFmtId="0" fontId="1" fillId="2" borderId="0" xfId="0" applyFont="1" applyFill="1" applyAlignment="1">
      <alignment horizontal="center" vertical="center" wrapText="1"/>
    </xf>
    <xf numFmtId="0" fontId="2" fillId="3" borderId="0" xfId="0" applyFont="1" applyFill="1" applyAlignment="1">
      <alignment horizontal="center"/>
    </xf>
    <xf numFmtId="0" fontId="2" fillId="0" borderId="42" xfId="0" quotePrefix="1" applyFont="1" applyBorder="1" applyAlignment="1">
      <alignment horizontal="center"/>
    </xf>
    <xf numFmtId="0" fontId="1" fillId="5" borderId="23" xfId="0" applyFont="1" applyFill="1" applyBorder="1" applyAlignment="1">
      <alignment horizontal="center" vertical="center" wrapText="1"/>
    </xf>
    <xf numFmtId="164" fontId="1" fillId="0" borderId="0" xfId="0" applyNumberFormat="1" applyFont="1" applyAlignment="1">
      <alignment horizontal="center" vertical="center" wrapText="1"/>
    </xf>
    <xf numFmtId="0" fontId="3" fillId="0" borderId="0" xfId="0" applyFont="1" applyAlignment="1">
      <alignment horizontal="center" vertical="center" wrapText="1"/>
    </xf>
    <xf numFmtId="2" fontId="1" fillId="2" borderId="0" xfId="0" applyNumberFormat="1" applyFont="1" applyFill="1" applyAlignment="1">
      <alignment horizontal="center" vertical="center" wrapText="1"/>
    </xf>
    <xf numFmtId="2"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3" fillId="0" borderId="24" xfId="0" applyFont="1" applyBorder="1" applyAlignment="1">
      <alignment horizontal="center"/>
    </xf>
    <xf numFmtId="0" fontId="3" fillId="0" borderId="41" xfId="0" quotePrefix="1" applyFont="1" applyBorder="1" applyAlignment="1">
      <alignment horizontal="center"/>
    </xf>
    <xf numFmtId="0" fontId="2" fillId="0" borderId="42"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5" fillId="0" borderId="26" xfId="0" applyFont="1" applyBorder="1" applyAlignment="1">
      <alignment horizontal="center"/>
    </xf>
    <xf numFmtId="0" fontId="2" fillId="0" borderId="35" xfId="0" quotePrefix="1" applyFont="1" applyBorder="1" applyAlignment="1">
      <alignment horizontal="center"/>
    </xf>
    <xf numFmtId="0" fontId="2" fillId="0" borderId="29" xfId="0" quotePrefix="1"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1" fillId="2" borderId="23"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2" fillId="5" borderId="0" xfId="0" applyFont="1" applyFill="1" applyAlignment="1">
      <alignment horizontal="center"/>
    </xf>
    <xf numFmtId="2" fontId="1" fillId="0" borderId="24" xfId="0" applyNumberFormat="1" applyFont="1" applyBorder="1" applyAlignment="1">
      <alignment horizontal="center" vertical="center" wrapText="1"/>
    </xf>
    <xf numFmtId="0" fontId="5" fillId="5" borderId="0" xfId="0" applyFont="1" applyFill="1" applyAlignment="1">
      <alignment horizontal="center" vertical="center" wrapText="1"/>
    </xf>
    <xf numFmtId="0" fontId="5" fillId="2" borderId="0" xfId="0" applyFont="1" applyFill="1" applyAlignment="1">
      <alignment horizontal="center" vertical="center" wrapText="1"/>
    </xf>
    <xf numFmtId="0" fontId="2" fillId="5" borderId="0" xfId="0" applyFont="1" applyFill="1" applyAlignment="1">
      <alignment horizontal="center" vertical="center" wrapText="1"/>
    </xf>
    <xf numFmtId="0" fontId="1" fillId="2" borderId="24" xfId="0" applyFont="1" applyFill="1" applyBorder="1" applyAlignment="1">
      <alignment horizontal="center" vertical="center" wrapText="1"/>
    </xf>
    <xf numFmtId="0" fontId="2" fillId="5" borderId="36" xfId="0" applyFont="1" applyFill="1" applyBorder="1" applyAlignment="1">
      <alignment horizontal="center"/>
    </xf>
    <xf numFmtId="0" fontId="2" fillId="5" borderId="9" xfId="0" applyFont="1" applyFill="1" applyBorder="1" applyAlignment="1">
      <alignment horizontal="center"/>
    </xf>
    <xf numFmtId="2" fontId="2" fillId="0" borderId="0" xfId="0" applyNumberFormat="1" applyFont="1" applyAlignment="1">
      <alignment horizontal="center"/>
    </xf>
    <xf numFmtId="0" fontId="1" fillId="0" borderId="31" xfId="0" applyFont="1" applyBorder="1" applyAlignment="1">
      <alignment horizontal="left" vertical="center" wrapText="1"/>
    </xf>
    <xf numFmtId="0" fontId="1" fillId="7" borderId="0" xfId="0" applyFont="1" applyFill="1" applyAlignment="1">
      <alignment horizontal="center" vertical="center" wrapText="1"/>
    </xf>
    <xf numFmtId="2" fontId="1" fillId="7" borderId="0" xfId="0" applyNumberFormat="1" applyFont="1" applyFill="1" applyAlignment="1">
      <alignment horizontal="center" vertical="center" wrapText="1"/>
    </xf>
    <xf numFmtId="0" fontId="1" fillId="7" borderId="24" xfId="0" applyFont="1" applyFill="1" applyBorder="1" applyAlignment="1">
      <alignment horizontal="center" vertical="center" wrapText="1"/>
    </xf>
    <xf numFmtId="0" fontId="1" fillId="7" borderId="23" xfId="0" applyFont="1" applyFill="1" applyBorder="1" applyAlignment="1">
      <alignment horizontal="center" vertical="center" wrapText="1"/>
    </xf>
    <xf numFmtId="2" fontId="1" fillId="7" borderId="23" xfId="0" applyNumberFormat="1" applyFont="1" applyFill="1" applyBorder="1" applyAlignment="1">
      <alignment horizontal="center" vertical="center" wrapText="1"/>
    </xf>
    <xf numFmtId="1" fontId="1" fillId="7" borderId="23" xfId="0" applyNumberFormat="1" applyFont="1" applyFill="1" applyBorder="1" applyAlignment="1">
      <alignment horizontal="center" vertical="center" wrapText="1"/>
    </xf>
    <xf numFmtId="2" fontId="1" fillId="7" borderId="24" xfId="0" applyNumberFormat="1" applyFont="1" applyFill="1" applyBorder="1" applyAlignment="1">
      <alignment horizontal="center" vertical="center" wrapText="1"/>
    </xf>
    <xf numFmtId="0" fontId="1" fillId="8" borderId="0" xfId="0" applyFont="1" applyFill="1" applyAlignment="1">
      <alignment horizontal="center" vertical="center" wrapText="1"/>
    </xf>
    <xf numFmtId="2" fontId="1" fillId="8" borderId="0" xfId="0" applyNumberFormat="1" applyFont="1" applyFill="1" applyAlignment="1">
      <alignment horizontal="center" vertical="center" wrapText="1"/>
    </xf>
    <xf numFmtId="0" fontId="1" fillId="8" borderId="23" xfId="0" applyFont="1" applyFill="1" applyBorder="1" applyAlignment="1">
      <alignment horizontal="center" vertical="center" wrapText="1"/>
    </xf>
    <xf numFmtId="2" fontId="1" fillId="8" borderId="23" xfId="0" applyNumberFormat="1" applyFont="1" applyFill="1" applyBorder="1" applyAlignment="1">
      <alignment horizontal="center" vertical="center" wrapText="1"/>
    </xf>
    <xf numFmtId="0" fontId="1" fillId="9" borderId="23" xfId="0" applyFont="1" applyFill="1" applyBorder="1" applyAlignment="1">
      <alignment horizontal="center" vertical="center" wrapText="1"/>
    </xf>
    <xf numFmtId="2" fontId="1" fillId="9" borderId="23" xfId="0" applyNumberFormat="1" applyFont="1" applyFill="1" applyBorder="1" applyAlignment="1">
      <alignment horizontal="center" vertical="center" wrapText="1"/>
    </xf>
    <xf numFmtId="0" fontId="1" fillId="9" borderId="0" xfId="0" applyFont="1" applyFill="1" applyAlignment="1">
      <alignment horizontal="center" vertical="center" wrapText="1"/>
    </xf>
    <xf numFmtId="1" fontId="1" fillId="0" borderId="0" xfId="0" applyNumberFormat="1" applyFont="1" applyAlignment="1">
      <alignment horizontal="center" vertical="center" wrapText="1"/>
    </xf>
    <xf numFmtId="2" fontId="1" fillId="9" borderId="20" xfId="0" applyNumberFormat="1" applyFont="1" applyFill="1" applyBorder="1" applyAlignment="1">
      <alignment horizontal="center" vertical="center" wrapText="1"/>
    </xf>
    <xf numFmtId="1" fontId="1" fillId="0" borderId="22" xfId="0" applyNumberFormat="1" applyFont="1" applyBorder="1" applyAlignment="1">
      <alignment horizontal="center" vertical="center" wrapText="1"/>
    </xf>
    <xf numFmtId="1" fontId="1" fillId="0" borderId="24" xfId="0" applyNumberFormat="1" applyFont="1" applyBorder="1" applyAlignment="1">
      <alignment horizontal="center" vertical="center" wrapText="1"/>
    </xf>
    <xf numFmtId="0" fontId="1" fillId="7" borderId="27" xfId="0" applyFont="1" applyFill="1" applyBorder="1" applyAlignment="1">
      <alignment horizontal="center" vertical="center" wrapText="1"/>
    </xf>
    <xf numFmtId="2" fontId="1" fillId="7" borderId="26" xfId="0" applyNumberFormat="1" applyFont="1" applyFill="1" applyBorder="1" applyAlignment="1">
      <alignment horizontal="center" vertical="center" wrapText="1"/>
    </xf>
    <xf numFmtId="0" fontId="1" fillId="7" borderId="26" xfId="0" applyFont="1" applyFill="1" applyBorder="1" applyAlignment="1">
      <alignment horizontal="center" vertical="center" wrapText="1"/>
    </xf>
    <xf numFmtId="1" fontId="1" fillId="0" borderId="27" xfId="0" applyNumberFormat="1" applyFont="1" applyBorder="1" applyAlignment="1">
      <alignment horizontal="center" vertical="center" wrapText="1"/>
    </xf>
    <xf numFmtId="1" fontId="3" fillId="0" borderId="24" xfId="0" applyNumberFormat="1" applyFont="1" applyBorder="1" applyAlignment="1">
      <alignment horizontal="center" vertical="center" wrapText="1"/>
    </xf>
    <xf numFmtId="2" fontId="1" fillId="8" borderId="20" xfId="0" applyNumberFormat="1" applyFont="1" applyFill="1" applyBorder="1" applyAlignment="1">
      <alignment horizontal="center" vertical="center" wrapText="1"/>
    </xf>
    <xf numFmtId="0" fontId="1" fillId="8" borderId="21" xfId="0" applyFont="1" applyFill="1" applyBorder="1" applyAlignment="1">
      <alignment horizontal="center" vertical="center" wrapText="1"/>
    </xf>
    <xf numFmtId="2" fontId="1" fillId="8" borderId="21" xfId="0" applyNumberFormat="1" applyFont="1" applyFill="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0" xfId="0" applyFont="1" applyBorder="1" applyAlignment="1">
      <alignment horizontal="center" vertical="center"/>
    </xf>
    <xf numFmtId="0" fontId="1" fillId="9" borderId="21" xfId="0" applyFont="1" applyFill="1" applyBorder="1" applyAlignment="1">
      <alignment horizontal="center" vertical="center" wrapText="1"/>
    </xf>
    <xf numFmtId="2" fontId="1" fillId="9" borderId="21" xfId="0" applyNumberFormat="1" applyFont="1" applyFill="1" applyBorder="1" applyAlignment="1">
      <alignment horizontal="center" vertical="center" wrapTex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1" fillId="8" borderId="26" xfId="0" applyFont="1" applyFill="1" applyBorder="1" applyAlignment="1">
      <alignment horizontal="center" vertical="center" wrapText="1"/>
    </xf>
    <xf numFmtId="2" fontId="1" fillId="8" borderId="26" xfId="0" applyNumberFormat="1" applyFont="1" applyFill="1" applyBorder="1" applyAlignment="1">
      <alignment horizontal="center" vertical="center" wrapText="1"/>
    </xf>
    <xf numFmtId="0" fontId="2" fillId="5" borderId="20" xfId="0" applyFont="1" applyFill="1" applyBorder="1" applyAlignment="1">
      <alignment horizontal="center" vertical="center"/>
    </xf>
    <xf numFmtId="0" fontId="1" fillId="7" borderId="21" xfId="0" applyFont="1" applyFill="1" applyBorder="1" applyAlignment="1">
      <alignment horizontal="center" vertical="center" wrapText="1"/>
    </xf>
    <xf numFmtId="2" fontId="1" fillId="7" borderId="21" xfId="0" applyNumberFormat="1" applyFont="1" applyFill="1" applyBorder="1" applyAlignment="1">
      <alignment horizontal="center" vertical="center" wrapText="1"/>
    </xf>
    <xf numFmtId="2" fontId="1" fillId="0" borderId="21" xfId="0" applyNumberFormat="1" applyFont="1" applyBorder="1" applyAlignment="1">
      <alignment horizontal="center" vertical="center" wrapText="1"/>
    </xf>
    <xf numFmtId="0" fontId="2" fillId="5" borderId="23" xfId="0" applyFont="1" applyFill="1" applyBorder="1" applyAlignment="1">
      <alignment horizontal="center" vertical="center"/>
    </xf>
    <xf numFmtId="0" fontId="1" fillId="7" borderId="22"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9" borderId="22" xfId="0" applyFont="1" applyFill="1" applyBorder="1" applyAlignment="1">
      <alignment horizontal="center" vertical="center" wrapText="1"/>
    </xf>
    <xf numFmtId="0" fontId="3" fillId="0" borderId="24" xfId="0" applyFont="1" applyBorder="1" applyAlignment="1">
      <alignment horizontal="center" vertical="center" wrapText="1"/>
    </xf>
    <xf numFmtId="2" fontId="1" fillId="7" borderId="20" xfId="0" applyNumberFormat="1" applyFont="1" applyFill="1" applyBorder="1" applyAlignment="1">
      <alignment horizontal="center" vertical="center" wrapText="1"/>
    </xf>
    <xf numFmtId="1" fontId="1" fillId="7" borderId="22" xfId="0" applyNumberFormat="1" applyFont="1" applyFill="1" applyBorder="1" applyAlignment="1">
      <alignment horizontal="center" vertical="center" wrapText="1"/>
    </xf>
    <xf numFmtId="2" fontId="5" fillId="7" borderId="23"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0" fillId="0" borderId="23" xfId="0" applyBorder="1" applyAlignment="1">
      <alignment horizontal="center" vertical="center"/>
    </xf>
    <xf numFmtId="2" fontId="1" fillId="7" borderId="25" xfId="0" applyNumberFormat="1" applyFont="1" applyFill="1" applyBorder="1" applyAlignment="1">
      <alignment horizontal="center" vertical="center" wrapText="1"/>
    </xf>
    <xf numFmtId="2" fontId="1" fillId="8" borderId="25" xfId="0" applyNumberFormat="1" applyFont="1" applyFill="1" applyBorder="1" applyAlignment="1">
      <alignment horizontal="center" vertical="center" wrapText="1"/>
    </xf>
    <xf numFmtId="0" fontId="5" fillId="0" borderId="18" xfId="0" applyFont="1" applyBorder="1" applyAlignment="1">
      <alignment horizontal="center"/>
    </xf>
    <xf numFmtId="0" fontId="5" fillId="0" borderId="18" xfId="0" applyFont="1" applyBorder="1" applyAlignment="1">
      <alignment horizontal="center" vertical="center" wrapText="1"/>
    </xf>
    <xf numFmtId="0" fontId="5" fillId="4" borderId="0" xfId="0" applyFont="1" applyFill="1" applyAlignment="1">
      <alignment horizontal="center" vertical="center" wrapText="1"/>
    </xf>
    <xf numFmtId="0" fontId="1" fillId="0" borderId="23" xfId="0" applyFont="1" applyBorder="1" applyAlignment="1">
      <alignment horizontal="center" vertical="top" wrapText="1"/>
    </xf>
    <xf numFmtId="0" fontId="2" fillId="0" borderId="41" xfId="0" applyFont="1" applyBorder="1" applyAlignment="1">
      <alignment horizontal="center"/>
    </xf>
    <xf numFmtId="0" fontId="1" fillId="4" borderId="31" xfId="0" applyFont="1" applyFill="1" applyBorder="1" applyAlignment="1">
      <alignment horizontal="left" vertical="center" wrapText="1" indent="3"/>
    </xf>
    <xf numFmtId="0" fontId="2" fillId="4" borderId="0" xfId="0" applyFont="1" applyFill="1" applyAlignment="1">
      <alignment horizontal="center" vertical="top" wrapText="1"/>
    </xf>
    <xf numFmtId="0" fontId="2" fillId="4" borderId="24" xfId="0" applyFont="1" applyFill="1" applyBorder="1" applyAlignment="1">
      <alignment horizontal="center" vertical="top" wrapText="1"/>
    </xf>
    <xf numFmtId="0" fontId="5" fillId="0" borderId="26" xfId="0" applyFont="1" applyBorder="1" applyAlignment="1">
      <alignment horizontal="center" vertical="top"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2" fillId="4" borderId="26" xfId="0" applyFont="1" applyFill="1" applyBorder="1" applyAlignment="1">
      <alignment horizontal="center" vertical="top" wrapText="1"/>
    </xf>
    <xf numFmtId="0" fontId="2" fillId="4" borderId="26" xfId="0" applyFont="1" applyFill="1" applyBorder="1" applyAlignment="1">
      <alignment horizontal="center"/>
    </xf>
    <xf numFmtId="0" fontId="2" fillId="4" borderId="27" xfId="0" applyFont="1" applyFill="1" applyBorder="1" applyAlignment="1">
      <alignment horizontal="center" vertical="top" wrapText="1"/>
    </xf>
    <xf numFmtId="0" fontId="1" fillId="4" borderId="27"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2" fillId="0" borderId="31" xfId="0" applyFont="1" applyBorder="1" applyAlignment="1">
      <alignment horizontal="left" indent="2"/>
    </xf>
    <xf numFmtId="0" fontId="2" fillId="4" borderId="31" xfId="0" applyFont="1" applyFill="1" applyBorder="1" applyAlignment="1">
      <alignment horizontal="left" indent="3"/>
    </xf>
    <xf numFmtId="0" fontId="2" fillId="3" borderId="0" xfId="0" applyFont="1" applyFill="1" applyAlignment="1">
      <alignment horizontal="center" vertical="center" wrapText="1"/>
    </xf>
    <xf numFmtId="2" fontId="2" fillId="3" borderId="0" xfId="0" applyNumberFormat="1" applyFont="1" applyFill="1" applyAlignment="1">
      <alignment horizontal="center" vertical="center" wrapText="1"/>
    </xf>
    <xf numFmtId="0" fontId="5" fillId="4" borderId="0" xfId="0" applyFont="1" applyFill="1" applyAlignment="1">
      <alignment horizontal="center"/>
    </xf>
    <xf numFmtId="0" fontId="10" fillId="4" borderId="0" xfId="0" applyFont="1" applyFill="1" applyAlignment="1">
      <alignment horizontal="center" vertical="center" wrapText="1"/>
    </xf>
    <xf numFmtId="0" fontId="5" fillId="0" borderId="30" xfId="0" applyFont="1" applyBorder="1" applyAlignment="1">
      <alignment wrapText="1"/>
    </xf>
    <xf numFmtId="0" fontId="5" fillId="0" borderId="43" xfId="0" applyFont="1" applyBorder="1" applyAlignment="1">
      <alignment horizontal="center" wrapText="1"/>
    </xf>
    <xf numFmtId="0" fontId="5" fillId="0" borderId="13" xfId="0" applyFont="1" applyBorder="1" applyAlignment="1">
      <alignment horizont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0" xfId="0" applyFont="1"/>
    <xf numFmtId="0" fontId="2" fillId="2" borderId="31" xfId="0" applyFont="1" applyFill="1" applyBorder="1" applyAlignment="1">
      <alignment horizontal="left" indent="2"/>
    </xf>
    <xf numFmtId="0" fontId="2" fillId="2" borderId="23" xfId="0" applyFont="1" applyFill="1" applyBorder="1" applyAlignment="1">
      <alignment horizontal="center"/>
    </xf>
    <xf numFmtId="0" fontId="2" fillId="2" borderId="0" xfId="0" applyFont="1" applyFill="1" applyAlignment="1">
      <alignment horizontal="center"/>
    </xf>
    <xf numFmtId="0" fontId="2" fillId="2" borderId="24" xfId="0" applyFont="1" applyFill="1" applyBorder="1" applyAlignment="1">
      <alignment horizontal="center"/>
    </xf>
    <xf numFmtId="0" fontId="2" fillId="2" borderId="23"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24"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0" xfId="0" applyFont="1" applyFill="1"/>
    <xf numFmtId="0" fontId="1" fillId="0" borderId="31" xfId="0" applyFont="1" applyBorder="1" applyAlignment="1">
      <alignment horizontal="left" vertical="center" wrapText="1" indent="2"/>
    </xf>
    <xf numFmtId="2" fontId="1" fillId="5" borderId="23" xfId="0" applyNumberFormat="1" applyFont="1" applyFill="1" applyBorder="1" applyAlignment="1">
      <alignment horizontal="center" vertical="center" wrapText="1"/>
    </xf>
    <xf numFmtId="2" fontId="1" fillId="5" borderId="0" xfId="0" applyNumberFormat="1" applyFont="1" applyFill="1" applyAlignment="1">
      <alignment horizontal="center" vertical="center" wrapText="1"/>
    </xf>
    <xf numFmtId="0" fontId="2" fillId="2" borderId="0" xfId="0" applyFont="1" applyFill="1" applyAlignment="1">
      <alignment horizontal="center" vertical="center" wrapText="1"/>
    </xf>
    <xf numFmtId="165" fontId="1" fillId="0" borderId="0" xfId="0" applyNumberFormat="1" applyFont="1" applyAlignment="1">
      <alignment horizontal="center" vertical="center" wrapText="1"/>
    </xf>
    <xf numFmtId="165" fontId="1" fillId="0" borderId="24" xfId="0" applyNumberFormat="1" applyFont="1" applyBorder="1" applyAlignment="1">
      <alignment horizontal="center" vertical="center" wrapText="1"/>
    </xf>
    <xf numFmtId="165" fontId="1" fillId="5" borderId="0" xfId="0" applyNumberFormat="1" applyFont="1" applyFill="1" applyAlignment="1">
      <alignment horizontal="center" vertical="center" wrapText="1"/>
    </xf>
    <xf numFmtId="165" fontId="1" fillId="0" borderId="23" xfId="0" applyNumberFormat="1" applyFont="1" applyBorder="1" applyAlignment="1">
      <alignment horizontal="center" vertical="center" wrapText="1"/>
    </xf>
    <xf numFmtId="165" fontId="1" fillId="5" borderId="23" xfId="2" applyNumberFormat="1" applyFont="1" applyFill="1" applyBorder="1" applyAlignment="1">
      <alignment horizontal="center" vertical="center" wrapText="1"/>
    </xf>
    <xf numFmtId="2" fontId="2" fillId="0" borderId="23" xfId="0" applyNumberFormat="1" applyFont="1" applyBorder="1" applyAlignment="1">
      <alignment horizontal="center" vertical="center" wrapText="1"/>
    </xf>
    <xf numFmtId="2" fontId="2" fillId="0" borderId="24" xfId="0" applyNumberFormat="1" applyFont="1" applyBorder="1" applyAlignment="1">
      <alignment horizontal="center" vertical="center" wrapText="1"/>
    </xf>
    <xf numFmtId="0" fontId="1" fillId="3" borderId="23" xfId="0" applyFont="1" applyFill="1" applyBorder="1" applyAlignment="1">
      <alignment horizontal="center" vertical="center" wrapText="1"/>
    </xf>
    <xf numFmtId="17" fontId="1" fillId="0" borderId="31" xfId="0" applyNumberFormat="1" applyFont="1" applyBorder="1" applyAlignment="1">
      <alignment horizontal="center" vertical="center" wrapText="1"/>
    </xf>
    <xf numFmtId="0" fontId="1" fillId="8" borderId="31" xfId="0" applyFont="1" applyFill="1" applyBorder="1" applyAlignment="1">
      <alignment horizontal="center" vertical="center" wrapText="1"/>
    </xf>
    <xf numFmtId="2" fontId="1" fillId="8" borderId="31" xfId="0" applyNumberFormat="1" applyFont="1" applyFill="1" applyBorder="1" applyAlignment="1">
      <alignment horizontal="center" vertical="center" wrapText="1"/>
    </xf>
    <xf numFmtId="2" fontId="1" fillId="0" borderId="31" xfId="0" applyNumberFormat="1" applyFont="1" applyBorder="1" applyAlignment="1">
      <alignment horizontal="center" vertical="center" wrapText="1"/>
    </xf>
    <xf numFmtId="165" fontId="1" fillId="0" borderId="31" xfId="0" applyNumberFormat="1" applyFont="1" applyBorder="1" applyAlignment="1">
      <alignment horizontal="center" vertical="center" wrapText="1"/>
    </xf>
    <xf numFmtId="0" fontId="1" fillId="5" borderId="31"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2" fillId="0" borderId="31" xfId="0" applyFont="1" applyBorder="1" applyAlignment="1">
      <alignment horizontal="center" vertical="center" wrapText="1"/>
    </xf>
    <xf numFmtId="2" fontId="2" fillId="0" borderId="31" xfId="0" applyNumberFormat="1" applyFont="1" applyBorder="1" applyAlignment="1">
      <alignment horizontal="center" vertical="center" wrapText="1"/>
    </xf>
    <xf numFmtId="2" fontId="1" fillId="8" borderId="24" xfId="0" applyNumberFormat="1" applyFont="1" applyFill="1" applyBorder="1" applyAlignment="1">
      <alignment horizontal="center" vertical="center" wrapText="1"/>
    </xf>
    <xf numFmtId="164" fontId="1" fillId="0" borderId="24" xfId="0" applyNumberFormat="1" applyFont="1" applyBorder="1" applyAlignment="1">
      <alignment horizontal="center" vertical="center" wrapText="1"/>
    </xf>
    <xf numFmtId="0" fontId="1" fillId="5" borderId="21" xfId="0" applyFont="1" applyFill="1" applyBorder="1" applyAlignment="1">
      <alignment horizontal="center" vertical="center" wrapText="1"/>
    </xf>
    <xf numFmtId="0" fontId="2" fillId="5" borderId="0" xfId="0" applyFont="1" applyFill="1" applyAlignment="1">
      <alignment horizontal="center" vertical="top" wrapText="1"/>
    </xf>
    <xf numFmtId="0" fontId="1" fillId="5" borderId="20" xfId="0" applyFont="1" applyFill="1" applyBorder="1" applyAlignment="1">
      <alignment horizontal="center" vertical="center" wrapText="1"/>
    </xf>
    <xf numFmtId="0" fontId="2" fillId="5" borderId="23" xfId="0" applyFont="1" applyFill="1" applyBorder="1" applyAlignment="1">
      <alignment horizontal="center"/>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2" fillId="5" borderId="26" xfId="0" applyFont="1" applyFill="1" applyBorder="1" applyAlignment="1">
      <alignment horizontal="center"/>
    </xf>
    <xf numFmtId="0" fontId="2" fillId="5" borderId="25" xfId="0" applyFont="1" applyFill="1" applyBorder="1" applyAlignment="1">
      <alignment horizontal="center"/>
    </xf>
    <xf numFmtId="0" fontId="2" fillId="5" borderId="17" xfId="0" applyFont="1" applyFill="1" applyBorder="1" applyAlignment="1">
      <alignment horizontal="center"/>
    </xf>
    <xf numFmtId="0" fontId="2" fillId="5" borderId="18" xfId="0" applyFont="1" applyFill="1" applyBorder="1" applyAlignment="1">
      <alignment horizontal="center"/>
    </xf>
    <xf numFmtId="0" fontId="5" fillId="5" borderId="18" xfId="0" applyFont="1" applyFill="1" applyBorder="1" applyAlignment="1">
      <alignment horizontal="center"/>
    </xf>
    <xf numFmtId="0" fontId="5" fillId="5" borderId="0" xfId="0" applyFont="1" applyFill="1" applyAlignment="1">
      <alignment horizontal="center" vertical="top" wrapText="1"/>
    </xf>
    <xf numFmtId="0" fontId="2" fillId="3" borderId="0" xfId="0" applyFont="1" applyFill="1" applyAlignment="1">
      <alignment horizontal="center" vertical="top" wrapText="1"/>
    </xf>
    <xf numFmtId="0" fontId="1" fillId="5" borderId="26" xfId="0" applyFont="1" applyFill="1" applyBorder="1" applyAlignment="1">
      <alignment horizontal="center" vertical="center" wrapText="1"/>
    </xf>
    <xf numFmtId="0" fontId="2" fillId="5" borderId="26" xfId="0" applyFont="1" applyFill="1" applyBorder="1" applyAlignment="1">
      <alignment horizontal="center" vertical="top" wrapText="1"/>
    </xf>
    <xf numFmtId="0" fontId="13" fillId="0" borderId="0" xfId="0" applyFont="1"/>
    <xf numFmtId="0" fontId="13" fillId="0" borderId="0" xfId="0" applyFont="1" applyAlignment="1">
      <alignment vertical="center" wrapText="1"/>
    </xf>
    <xf numFmtId="0" fontId="14" fillId="0" borderId="0" xfId="0" applyFont="1" applyAlignment="1">
      <alignment vertical="center" wrapText="1"/>
    </xf>
    <xf numFmtId="0" fontId="15" fillId="11" borderId="46" xfId="0" applyFont="1" applyFill="1" applyBorder="1" applyAlignment="1">
      <alignment horizontal="center" vertical="center" wrapText="1"/>
    </xf>
    <xf numFmtId="0" fontId="16" fillId="12" borderId="47" xfId="0" applyFont="1" applyFill="1" applyBorder="1" applyAlignment="1">
      <alignment vertical="center" wrapText="1"/>
    </xf>
    <xf numFmtId="164" fontId="2" fillId="0" borderId="23"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64" fontId="2" fillId="0" borderId="31" xfId="0" applyNumberFormat="1" applyFont="1" applyBorder="1" applyAlignment="1">
      <alignment horizontal="center" vertical="center" wrapText="1"/>
    </xf>
    <xf numFmtId="0" fontId="1" fillId="16" borderId="0" xfId="0" applyFont="1" applyFill="1" applyAlignment="1">
      <alignment horizontal="center" vertical="center" wrapText="1"/>
    </xf>
    <xf numFmtId="0" fontId="1" fillId="16" borderId="23" xfId="0" applyFont="1" applyFill="1" applyBorder="1" applyAlignment="1">
      <alignment horizontal="center" vertical="center" wrapText="1"/>
    </xf>
    <xf numFmtId="2" fontId="1" fillId="16" borderId="0" xfId="0" applyNumberFormat="1" applyFont="1" applyFill="1" applyAlignment="1">
      <alignment horizontal="center" vertical="center" wrapText="1"/>
    </xf>
    <xf numFmtId="0" fontId="1" fillId="16" borderId="24" xfId="0" applyFont="1" applyFill="1" applyBorder="1" applyAlignment="1">
      <alignment horizontal="center" vertical="center" wrapText="1"/>
    </xf>
    <xf numFmtId="2" fontId="1" fillId="9" borderId="24" xfId="0" applyNumberFormat="1" applyFont="1" applyFill="1" applyBorder="1" applyAlignment="1">
      <alignment horizontal="center" vertical="center" wrapText="1"/>
    </xf>
    <xf numFmtId="0" fontId="2" fillId="9" borderId="24" xfId="0" applyFont="1" applyFill="1" applyBorder="1" applyAlignment="1">
      <alignment horizontal="center" vertical="center" wrapText="1"/>
    </xf>
    <xf numFmtId="0" fontId="1" fillId="9" borderId="24" xfId="0" applyFont="1" applyFill="1" applyBorder="1" applyAlignment="1">
      <alignment horizontal="center" vertical="center" wrapText="1"/>
    </xf>
    <xf numFmtId="2" fontId="1" fillId="9" borderId="0" xfId="0" applyNumberFormat="1" applyFont="1" applyFill="1" applyAlignment="1">
      <alignment horizontal="center" vertical="center" wrapText="1"/>
    </xf>
    <xf numFmtId="0" fontId="2" fillId="9" borderId="0" xfId="0" applyFont="1" applyFill="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13" borderId="0" xfId="0" applyFont="1" applyFill="1" applyAlignment="1">
      <alignment horizontal="center" vertical="center" wrapText="1"/>
    </xf>
    <xf numFmtId="0" fontId="1" fillId="15" borderId="0" xfId="0" applyFont="1" applyFill="1" applyAlignment="1">
      <alignment horizontal="center" vertical="center" wrapText="1"/>
    </xf>
    <xf numFmtId="0" fontId="2" fillId="7" borderId="0" xfId="0" applyFont="1" applyFill="1" applyAlignment="1">
      <alignment horizontal="center"/>
    </xf>
    <xf numFmtId="0" fontId="1" fillId="6" borderId="0" xfId="0" applyFont="1" applyFill="1" applyAlignment="1">
      <alignment horizontal="center" vertical="center" wrapText="1"/>
    </xf>
    <xf numFmtId="2" fontId="5" fillId="7" borderId="0" xfId="0" applyNumberFormat="1" applyFont="1" applyFill="1" applyAlignment="1">
      <alignment horizontal="center" vertical="center" wrapText="1"/>
    </xf>
    <xf numFmtId="0" fontId="3" fillId="7" borderId="0" xfId="0" applyFont="1" applyFill="1" applyAlignment="1">
      <alignment horizontal="center" vertical="center" wrapText="1"/>
    </xf>
    <xf numFmtId="164" fontId="1" fillId="13" borderId="0" xfId="0" applyNumberFormat="1" applyFont="1" applyFill="1" applyAlignment="1">
      <alignment horizontal="center" vertical="center" wrapText="1"/>
    </xf>
    <xf numFmtId="165" fontId="3" fillId="0" borderId="0" xfId="0" applyNumberFormat="1" applyFont="1" applyAlignment="1">
      <alignment horizontal="center" vertical="center" wrapText="1"/>
    </xf>
    <xf numFmtId="0" fontId="1" fillId="14" borderId="0" xfId="0" applyFont="1" applyFill="1" applyAlignment="1">
      <alignment horizontal="center" vertical="center" wrapText="1"/>
    </xf>
    <xf numFmtId="0" fontId="1" fillId="10" borderId="0" xfId="0" applyFont="1" applyFill="1" applyAlignment="1">
      <alignment horizontal="center" vertical="center" wrapText="1"/>
    </xf>
    <xf numFmtId="164" fontId="1" fillId="5" borderId="0" xfId="0" applyNumberFormat="1" applyFont="1" applyFill="1" applyAlignment="1">
      <alignment horizontal="center" vertical="center" wrapText="1"/>
    </xf>
    <xf numFmtId="2" fontId="1" fillId="13" borderId="0" xfId="0" applyNumberFormat="1" applyFont="1" applyFill="1" applyAlignment="1">
      <alignment horizontal="center" vertical="center" wrapText="1"/>
    </xf>
    <xf numFmtId="2" fontId="5" fillId="5" borderId="0" xfId="0" applyNumberFormat="1" applyFont="1" applyFill="1" applyAlignment="1">
      <alignment horizontal="center" vertical="center" wrapText="1"/>
    </xf>
    <xf numFmtId="0" fontId="2" fillId="13" borderId="0" xfId="0" applyFont="1" applyFill="1" applyAlignment="1">
      <alignment horizontal="center" vertical="center" wrapText="1"/>
    </xf>
    <xf numFmtId="164" fontId="2" fillId="3" borderId="0" xfId="0" applyNumberFormat="1" applyFont="1" applyFill="1" applyAlignment="1">
      <alignment horizontal="center" vertical="center" wrapText="1"/>
    </xf>
    <xf numFmtId="164" fontId="2" fillId="13" borderId="0" xfId="0" applyNumberFormat="1" applyFont="1" applyFill="1" applyAlignment="1">
      <alignment horizontal="center" vertical="center" wrapText="1"/>
    </xf>
    <xf numFmtId="0" fontId="11" fillId="0" borderId="17" xfId="0" applyFont="1" applyBorder="1"/>
    <xf numFmtId="0" fontId="11" fillId="0" borderId="18" xfId="0" applyFont="1" applyBorder="1"/>
    <xf numFmtId="0" fontId="11" fillId="0" borderId="19" xfId="0" applyFont="1" applyBorder="1"/>
    <xf numFmtId="164" fontId="5"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2" fillId="17" borderId="0" xfId="0" applyFont="1" applyFill="1" applyAlignment="1">
      <alignment horizontal="center" vertical="top" wrapText="1"/>
    </xf>
    <xf numFmtId="0" fontId="2" fillId="17" borderId="23" xfId="0" applyFont="1" applyFill="1" applyBorder="1" applyAlignment="1">
      <alignment horizontal="center" vertical="top" wrapText="1"/>
    </xf>
    <xf numFmtId="0" fontId="17" fillId="0" borderId="0" xfId="0" applyFont="1" applyAlignment="1">
      <alignment horizontal="center"/>
    </xf>
    <xf numFmtId="0" fontId="17" fillId="0" borderId="18" xfId="0" applyFont="1" applyBorder="1" applyAlignment="1">
      <alignment horizontal="center" vertical="center" wrapText="1"/>
    </xf>
    <xf numFmtId="2" fontId="2" fillId="7" borderId="0" xfId="0" applyNumberFormat="1" applyFont="1" applyFill="1" applyAlignment="1">
      <alignment horizontal="center"/>
    </xf>
    <xf numFmtId="2" fontId="18" fillId="16" borderId="0" xfId="0" applyNumberFormat="1" applyFont="1" applyFill="1" applyAlignment="1">
      <alignment horizontal="center" vertical="center" wrapText="1"/>
    </xf>
    <xf numFmtId="2" fontId="18" fillId="16" borderId="24" xfId="0" applyNumberFormat="1" applyFont="1" applyFill="1" applyBorder="1" applyAlignment="1">
      <alignment horizontal="center" vertical="center" wrapText="1"/>
    </xf>
    <xf numFmtId="2" fontId="3" fillId="0" borderId="23" xfId="0" applyNumberFormat="1" applyFont="1" applyBorder="1" applyAlignment="1">
      <alignment horizontal="center" vertical="center" wrapText="1"/>
    </xf>
    <xf numFmtId="0" fontId="3" fillId="16" borderId="0" xfId="0" applyFont="1" applyFill="1" applyAlignment="1">
      <alignment horizontal="center" vertical="center" wrapText="1"/>
    </xf>
    <xf numFmtId="2" fontId="3" fillId="9" borderId="0" xfId="0" applyNumberFormat="1" applyFont="1" applyFill="1" applyAlignment="1">
      <alignment horizontal="center" vertical="center" wrapText="1"/>
    </xf>
    <xf numFmtId="0" fontId="1" fillId="18" borderId="23"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1" fillId="0" borderId="17"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2" fontId="1" fillId="0" borderId="0" xfId="0" applyNumberFormat="1" applyFont="1" applyFill="1" applyAlignment="1">
      <alignment horizontal="center" vertical="center" wrapText="1"/>
    </xf>
    <xf numFmtId="2" fontId="1" fillId="3" borderId="23" xfId="0" applyNumberFormat="1" applyFont="1" applyFill="1" applyBorder="1" applyAlignment="1">
      <alignment horizontal="center" vertical="center" wrapText="1"/>
    </xf>
    <xf numFmtId="2" fontId="1" fillId="3" borderId="3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4" fontId="2" fillId="0" borderId="0" xfId="0" applyNumberFormat="1" applyFont="1" applyFill="1" applyAlignment="1">
      <alignment horizontal="center" vertical="center" wrapText="1"/>
    </xf>
    <xf numFmtId="0" fontId="2" fillId="10" borderId="18" xfId="0" applyFont="1" applyFill="1" applyBorder="1" applyAlignment="1">
      <alignment horizontal="center"/>
    </xf>
  </cellXfs>
  <cellStyles count="3">
    <cellStyle name="Normal" xfId="0" builtinId="0"/>
    <cellStyle name="Normal 2" xfId="1" xr:uid="{931D772E-AB18-4FCD-87DB-ADAF39A235F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hartsheet" Target="chartsheets/sheet21.xml"/><Relationship Id="rId21" Type="http://schemas.openxmlformats.org/officeDocument/2006/relationships/chartsheet" Target="chartsheets/sheet16.xml"/><Relationship Id="rId42" Type="http://schemas.openxmlformats.org/officeDocument/2006/relationships/chartsheet" Target="chartsheets/sheet37.xml"/><Relationship Id="rId47" Type="http://schemas.openxmlformats.org/officeDocument/2006/relationships/chartsheet" Target="chartsheets/sheet42.xml"/><Relationship Id="rId63" Type="http://schemas.openxmlformats.org/officeDocument/2006/relationships/chartsheet" Target="chartsheets/sheet57.xml"/><Relationship Id="rId68" Type="http://schemas.openxmlformats.org/officeDocument/2006/relationships/chartsheet" Target="chartsheets/sheet61.xml"/><Relationship Id="rId84" Type="http://schemas.openxmlformats.org/officeDocument/2006/relationships/chartsheet" Target="chartsheets/sheet77.xml"/><Relationship Id="rId89" Type="http://schemas.openxmlformats.org/officeDocument/2006/relationships/chartsheet" Target="chartsheets/sheet82.xml"/><Relationship Id="rId16" Type="http://schemas.openxmlformats.org/officeDocument/2006/relationships/chartsheet" Target="chartsheets/sheet11.xml"/><Relationship Id="rId107" Type="http://schemas.openxmlformats.org/officeDocument/2006/relationships/styles" Target="styles.xml"/><Relationship Id="rId11" Type="http://schemas.openxmlformats.org/officeDocument/2006/relationships/chartsheet" Target="chartsheets/sheet6.xml"/><Relationship Id="rId32" Type="http://schemas.openxmlformats.org/officeDocument/2006/relationships/chartsheet" Target="chartsheets/sheet27.xml"/><Relationship Id="rId37" Type="http://schemas.openxmlformats.org/officeDocument/2006/relationships/chartsheet" Target="chartsheets/sheet32.xml"/><Relationship Id="rId53" Type="http://schemas.openxmlformats.org/officeDocument/2006/relationships/chartsheet" Target="chartsheets/sheet47.xml"/><Relationship Id="rId58" Type="http://schemas.openxmlformats.org/officeDocument/2006/relationships/chartsheet" Target="chartsheets/sheet52.xml"/><Relationship Id="rId74" Type="http://schemas.openxmlformats.org/officeDocument/2006/relationships/chartsheet" Target="chartsheets/sheet67.xml"/><Relationship Id="rId79" Type="http://schemas.openxmlformats.org/officeDocument/2006/relationships/chartsheet" Target="chartsheets/sheet72.xml"/><Relationship Id="rId102" Type="http://schemas.openxmlformats.org/officeDocument/2006/relationships/worksheet" Target="worksheets/sheet14.xml"/><Relationship Id="rId5" Type="http://schemas.openxmlformats.org/officeDocument/2006/relationships/worksheet" Target="worksheets/sheet5.xml"/><Relationship Id="rId90" Type="http://schemas.openxmlformats.org/officeDocument/2006/relationships/chartsheet" Target="chartsheets/sheet83.xml"/><Relationship Id="rId95" Type="http://schemas.openxmlformats.org/officeDocument/2006/relationships/chartsheet" Target="chartsheets/sheet88.xml"/><Relationship Id="rId22" Type="http://schemas.openxmlformats.org/officeDocument/2006/relationships/chartsheet" Target="chartsheets/sheet17.xml"/><Relationship Id="rId27" Type="http://schemas.openxmlformats.org/officeDocument/2006/relationships/chartsheet" Target="chartsheets/sheet22.xml"/><Relationship Id="rId43" Type="http://schemas.openxmlformats.org/officeDocument/2006/relationships/chartsheet" Target="chartsheets/sheet38.xml"/><Relationship Id="rId48" Type="http://schemas.openxmlformats.org/officeDocument/2006/relationships/chartsheet" Target="chartsheets/sheet43.xml"/><Relationship Id="rId64" Type="http://schemas.openxmlformats.org/officeDocument/2006/relationships/chartsheet" Target="chartsheets/sheet58.xml"/><Relationship Id="rId69" Type="http://schemas.openxmlformats.org/officeDocument/2006/relationships/chartsheet" Target="chartsheets/sheet62.xml"/><Relationship Id="rId80" Type="http://schemas.openxmlformats.org/officeDocument/2006/relationships/chartsheet" Target="chartsheets/sheet73.xml"/><Relationship Id="rId85" Type="http://schemas.openxmlformats.org/officeDocument/2006/relationships/chartsheet" Target="chartsheets/sheet78.xml"/><Relationship Id="rId12" Type="http://schemas.openxmlformats.org/officeDocument/2006/relationships/chartsheet" Target="chartsheets/sheet7.xml"/><Relationship Id="rId17" Type="http://schemas.openxmlformats.org/officeDocument/2006/relationships/chartsheet" Target="chartsheets/sheet12.xml"/><Relationship Id="rId33" Type="http://schemas.openxmlformats.org/officeDocument/2006/relationships/chartsheet" Target="chartsheets/sheet28.xml"/><Relationship Id="rId38" Type="http://schemas.openxmlformats.org/officeDocument/2006/relationships/chartsheet" Target="chartsheets/sheet33.xml"/><Relationship Id="rId59" Type="http://schemas.openxmlformats.org/officeDocument/2006/relationships/chartsheet" Target="chartsheets/sheet53.xml"/><Relationship Id="rId103" Type="http://schemas.openxmlformats.org/officeDocument/2006/relationships/worksheet" Target="worksheets/sheet15.xml"/><Relationship Id="rId108" Type="http://schemas.openxmlformats.org/officeDocument/2006/relationships/sharedStrings" Target="sharedStrings.xml"/><Relationship Id="rId54" Type="http://schemas.openxmlformats.org/officeDocument/2006/relationships/chartsheet" Target="chartsheets/sheet48.xml"/><Relationship Id="rId70" Type="http://schemas.openxmlformats.org/officeDocument/2006/relationships/chartsheet" Target="chartsheets/sheet63.xml"/><Relationship Id="rId75" Type="http://schemas.openxmlformats.org/officeDocument/2006/relationships/chartsheet" Target="chartsheets/sheet68.xml"/><Relationship Id="rId91" Type="http://schemas.openxmlformats.org/officeDocument/2006/relationships/chartsheet" Target="chartsheets/sheet84.xml"/><Relationship Id="rId96" Type="http://schemas.openxmlformats.org/officeDocument/2006/relationships/worksheet" Target="worksheets/sheet8.xml"/><Relationship Id="rId1" Type="http://schemas.openxmlformats.org/officeDocument/2006/relationships/worksheet" Target="worksheets/sheet1.xml"/><Relationship Id="rId6" Type="http://schemas.openxmlformats.org/officeDocument/2006/relationships/chartsheet" Target="chartsheets/sheet1.xml"/><Relationship Id="rId15" Type="http://schemas.openxmlformats.org/officeDocument/2006/relationships/chartsheet" Target="chartsheets/sheet10.xml"/><Relationship Id="rId23" Type="http://schemas.openxmlformats.org/officeDocument/2006/relationships/chartsheet" Target="chartsheets/sheet18.xml"/><Relationship Id="rId28" Type="http://schemas.openxmlformats.org/officeDocument/2006/relationships/chartsheet" Target="chartsheets/sheet23.xml"/><Relationship Id="rId36" Type="http://schemas.openxmlformats.org/officeDocument/2006/relationships/chartsheet" Target="chartsheets/sheet31.xml"/><Relationship Id="rId49" Type="http://schemas.openxmlformats.org/officeDocument/2006/relationships/chartsheet" Target="chartsheets/sheet44.xml"/><Relationship Id="rId57" Type="http://schemas.openxmlformats.org/officeDocument/2006/relationships/chartsheet" Target="chartsheets/sheet51.xml"/><Relationship Id="rId106" Type="http://schemas.openxmlformats.org/officeDocument/2006/relationships/theme" Target="theme/theme1.xml"/><Relationship Id="rId10" Type="http://schemas.openxmlformats.org/officeDocument/2006/relationships/chartsheet" Target="chartsheets/sheet5.xml"/><Relationship Id="rId31" Type="http://schemas.openxmlformats.org/officeDocument/2006/relationships/chartsheet" Target="chartsheets/sheet26.xml"/><Relationship Id="rId44" Type="http://schemas.openxmlformats.org/officeDocument/2006/relationships/chartsheet" Target="chartsheets/sheet39.xml"/><Relationship Id="rId52" Type="http://schemas.openxmlformats.org/officeDocument/2006/relationships/chartsheet" Target="chartsheets/sheet46.xml"/><Relationship Id="rId60" Type="http://schemas.openxmlformats.org/officeDocument/2006/relationships/chartsheet" Target="chartsheets/sheet54.xml"/><Relationship Id="rId65" Type="http://schemas.openxmlformats.org/officeDocument/2006/relationships/chartsheet" Target="chartsheets/sheet59.xml"/><Relationship Id="rId73" Type="http://schemas.openxmlformats.org/officeDocument/2006/relationships/chartsheet" Target="chartsheets/sheet66.xml"/><Relationship Id="rId78" Type="http://schemas.openxmlformats.org/officeDocument/2006/relationships/chartsheet" Target="chartsheets/sheet71.xml"/><Relationship Id="rId81" Type="http://schemas.openxmlformats.org/officeDocument/2006/relationships/chartsheet" Target="chartsheets/sheet74.xml"/><Relationship Id="rId86" Type="http://schemas.openxmlformats.org/officeDocument/2006/relationships/chartsheet" Target="chartsheets/sheet79.xml"/><Relationship Id="rId94" Type="http://schemas.openxmlformats.org/officeDocument/2006/relationships/chartsheet" Target="chartsheets/sheet87.xml"/><Relationship Id="rId99" Type="http://schemas.openxmlformats.org/officeDocument/2006/relationships/worksheet" Target="worksheets/sheet11.xml"/><Relationship Id="rId101" Type="http://schemas.openxmlformats.org/officeDocument/2006/relationships/worksheet" Target="worksheets/sheet13.xml"/><Relationship Id="rId4" Type="http://schemas.openxmlformats.org/officeDocument/2006/relationships/worksheet" Target="worksheets/sheet4.xml"/><Relationship Id="rId9" Type="http://schemas.openxmlformats.org/officeDocument/2006/relationships/chartsheet" Target="chartsheets/sheet4.xml"/><Relationship Id="rId13" Type="http://schemas.openxmlformats.org/officeDocument/2006/relationships/chartsheet" Target="chartsheets/sheet8.xml"/><Relationship Id="rId18" Type="http://schemas.openxmlformats.org/officeDocument/2006/relationships/chartsheet" Target="chartsheets/sheet13.xml"/><Relationship Id="rId39" Type="http://schemas.openxmlformats.org/officeDocument/2006/relationships/chartsheet" Target="chartsheets/sheet34.xml"/><Relationship Id="rId109" Type="http://schemas.microsoft.com/office/2017/10/relationships/person" Target="persons/person.xml"/><Relationship Id="rId34" Type="http://schemas.openxmlformats.org/officeDocument/2006/relationships/chartsheet" Target="chartsheets/sheet29.xml"/><Relationship Id="rId50" Type="http://schemas.openxmlformats.org/officeDocument/2006/relationships/chartsheet" Target="chartsheets/sheet45.xml"/><Relationship Id="rId55" Type="http://schemas.openxmlformats.org/officeDocument/2006/relationships/chartsheet" Target="chartsheets/sheet49.xml"/><Relationship Id="rId76" Type="http://schemas.openxmlformats.org/officeDocument/2006/relationships/chartsheet" Target="chartsheets/sheet69.xml"/><Relationship Id="rId97" Type="http://schemas.openxmlformats.org/officeDocument/2006/relationships/worksheet" Target="worksheets/sheet9.xml"/><Relationship Id="rId104" Type="http://schemas.openxmlformats.org/officeDocument/2006/relationships/worksheet" Target="worksheets/sheet16.xml"/><Relationship Id="rId7" Type="http://schemas.openxmlformats.org/officeDocument/2006/relationships/chartsheet" Target="chartsheets/sheet2.xml"/><Relationship Id="rId71" Type="http://schemas.openxmlformats.org/officeDocument/2006/relationships/chartsheet" Target="chartsheets/sheet64.xml"/><Relationship Id="rId92" Type="http://schemas.openxmlformats.org/officeDocument/2006/relationships/chartsheet" Target="chartsheets/sheet85.xml"/><Relationship Id="rId2" Type="http://schemas.openxmlformats.org/officeDocument/2006/relationships/worksheet" Target="worksheets/sheet2.xml"/><Relationship Id="rId29" Type="http://schemas.openxmlformats.org/officeDocument/2006/relationships/chartsheet" Target="chartsheets/sheet24.xml"/><Relationship Id="rId24" Type="http://schemas.openxmlformats.org/officeDocument/2006/relationships/chartsheet" Target="chartsheets/sheet19.xml"/><Relationship Id="rId40" Type="http://schemas.openxmlformats.org/officeDocument/2006/relationships/chartsheet" Target="chartsheets/sheet35.xml"/><Relationship Id="rId45" Type="http://schemas.openxmlformats.org/officeDocument/2006/relationships/chartsheet" Target="chartsheets/sheet40.xml"/><Relationship Id="rId66" Type="http://schemas.openxmlformats.org/officeDocument/2006/relationships/chartsheet" Target="chartsheets/sheet60.xml"/><Relationship Id="rId87" Type="http://schemas.openxmlformats.org/officeDocument/2006/relationships/chartsheet" Target="chartsheets/sheet80.xml"/><Relationship Id="rId110" Type="http://schemas.openxmlformats.org/officeDocument/2006/relationships/calcChain" Target="calcChain.xml"/><Relationship Id="rId61" Type="http://schemas.openxmlformats.org/officeDocument/2006/relationships/chartsheet" Target="chartsheets/sheet55.xml"/><Relationship Id="rId82" Type="http://schemas.openxmlformats.org/officeDocument/2006/relationships/chartsheet" Target="chartsheets/sheet75.xml"/><Relationship Id="rId19" Type="http://schemas.openxmlformats.org/officeDocument/2006/relationships/chartsheet" Target="chartsheets/sheet14.xml"/><Relationship Id="rId14" Type="http://schemas.openxmlformats.org/officeDocument/2006/relationships/chartsheet" Target="chartsheets/sheet9.xml"/><Relationship Id="rId30" Type="http://schemas.openxmlformats.org/officeDocument/2006/relationships/chartsheet" Target="chartsheets/sheet25.xml"/><Relationship Id="rId35" Type="http://schemas.openxmlformats.org/officeDocument/2006/relationships/chartsheet" Target="chartsheets/sheet30.xml"/><Relationship Id="rId56" Type="http://schemas.openxmlformats.org/officeDocument/2006/relationships/chartsheet" Target="chartsheets/sheet50.xml"/><Relationship Id="rId77" Type="http://schemas.openxmlformats.org/officeDocument/2006/relationships/chartsheet" Target="chartsheets/sheet70.xml"/><Relationship Id="rId100" Type="http://schemas.openxmlformats.org/officeDocument/2006/relationships/worksheet" Target="worksheets/sheet12.xml"/><Relationship Id="rId105" Type="http://schemas.openxmlformats.org/officeDocument/2006/relationships/worksheet" Target="worksheets/sheet17.xml"/><Relationship Id="rId8" Type="http://schemas.openxmlformats.org/officeDocument/2006/relationships/chartsheet" Target="chartsheets/sheet3.xml"/><Relationship Id="rId51" Type="http://schemas.openxmlformats.org/officeDocument/2006/relationships/worksheet" Target="worksheets/sheet6.xml"/><Relationship Id="rId72" Type="http://schemas.openxmlformats.org/officeDocument/2006/relationships/chartsheet" Target="chartsheets/sheet65.xml"/><Relationship Id="rId93" Type="http://schemas.openxmlformats.org/officeDocument/2006/relationships/chartsheet" Target="chartsheets/sheet86.xml"/><Relationship Id="rId98" Type="http://schemas.openxmlformats.org/officeDocument/2006/relationships/worksheet" Target="worksheets/sheet10.xml"/><Relationship Id="rId3" Type="http://schemas.openxmlformats.org/officeDocument/2006/relationships/worksheet" Target="worksheets/sheet3.xml"/><Relationship Id="rId25" Type="http://schemas.openxmlformats.org/officeDocument/2006/relationships/chartsheet" Target="chartsheets/sheet20.xml"/><Relationship Id="rId46" Type="http://schemas.openxmlformats.org/officeDocument/2006/relationships/chartsheet" Target="chartsheets/sheet41.xml"/><Relationship Id="rId67" Type="http://schemas.openxmlformats.org/officeDocument/2006/relationships/worksheet" Target="worksheets/sheet7.xml"/><Relationship Id="rId20" Type="http://schemas.openxmlformats.org/officeDocument/2006/relationships/chartsheet" Target="chartsheets/sheet15.xml"/><Relationship Id="rId41" Type="http://schemas.openxmlformats.org/officeDocument/2006/relationships/chartsheet" Target="chartsheets/sheet36.xml"/><Relationship Id="rId62" Type="http://schemas.openxmlformats.org/officeDocument/2006/relationships/chartsheet" Target="chartsheets/sheet56.xml"/><Relationship Id="rId83" Type="http://schemas.openxmlformats.org/officeDocument/2006/relationships/chartsheet" Target="chartsheets/sheet76.xml"/><Relationship Id="rId88" Type="http://schemas.openxmlformats.org/officeDocument/2006/relationships/chartsheet" Target="chartsheets/sheet8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Total Empty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rgbClr val="FFC000"/>
              </a:solidFill>
              <a:ln w="9525">
                <a:solidFill>
                  <a:srgbClr val="FFC000"/>
                </a:solidFill>
              </a:ln>
              <a:effectLst/>
            </c:spPr>
          </c:marker>
          <c:trendline>
            <c:spPr>
              <a:ln w="19050" cap="rnd">
                <a:solidFill>
                  <a:schemeClr val="accent5"/>
                </a:solidFill>
                <a:prstDash val="sysDot"/>
              </a:ln>
              <a:effectLst/>
            </c:spPr>
            <c:trendlineType val="linear"/>
            <c:dispRSqr val="1"/>
            <c:dispEq val="1"/>
            <c:trendlineLbl>
              <c:layout>
                <c:manualLayout>
                  <c:x val="7.4776260988358823E-2"/>
                  <c:y val="-0.12437183312204246"/>
                </c:manualLayout>
              </c:layout>
              <c:numFmt formatCode="0.0000E+0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Summary!$C$175:$CA$175</c:f>
              <c:numCache>
                <c:formatCode>General</c:formatCode>
                <c:ptCount val="77"/>
                <c:pt idx="0">
                  <c:v>0.74752981260647355</c:v>
                </c:pt>
                <c:pt idx="1">
                  <c:v>0.7706733345240222</c:v>
                </c:pt>
                <c:pt idx="2">
                  <c:v>0.7879226179714337</c:v>
                </c:pt>
                <c:pt idx="3">
                  <c:v>0.78801195289154513</c:v>
                </c:pt>
                <c:pt idx="4">
                  <c:v>0.79624936644703492</c:v>
                </c:pt>
                <c:pt idx="5">
                  <c:v>0</c:v>
                </c:pt>
                <c:pt idx="6">
                  <c:v>0.72706775839563309</c:v>
                </c:pt>
                <c:pt idx="7">
                  <c:v>0</c:v>
                </c:pt>
                <c:pt idx="8">
                  <c:v>0</c:v>
                </c:pt>
                <c:pt idx="9">
                  <c:v>0</c:v>
                </c:pt>
                <c:pt idx="10">
                  <c:v>0</c:v>
                </c:pt>
                <c:pt idx="11">
                  <c:v>0</c:v>
                </c:pt>
                <c:pt idx="12">
                  <c:v>0.72063112241082783</c:v>
                </c:pt>
                <c:pt idx="13">
                  <c:v>0</c:v>
                </c:pt>
                <c:pt idx="14">
                  <c:v>0</c:v>
                </c:pt>
                <c:pt idx="15">
                  <c:v>0</c:v>
                </c:pt>
                <c:pt idx="16">
                  <c:v>0.69670916098428703</c:v>
                </c:pt>
                <c:pt idx="17">
                  <c:v>0.75855888151998563</c:v>
                </c:pt>
                <c:pt idx="18">
                  <c:v>0.74602552846626591</c:v>
                </c:pt>
                <c:pt idx="19">
                  <c:v>0</c:v>
                </c:pt>
                <c:pt idx="20">
                  <c:v>0.72424037812288999</c:v>
                </c:pt>
                <c:pt idx="21">
                  <c:v>0</c:v>
                </c:pt>
                <c:pt idx="22">
                  <c:v>0</c:v>
                </c:pt>
                <c:pt idx="23">
                  <c:v>0</c:v>
                </c:pt>
                <c:pt idx="24">
                  <c:v>0</c:v>
                </c:pt>
                <c:pt idx="25">
                  <c:v>0</c:v>
                </c:pt>
                <c:pt idx="26">
                  <c:v>0</c:v>
                </c:pt>
                <c:pt idx="27">
                  <c:v>0</c:v>
                </c:pt>
                <c:pt idx="28">
                  <c:v>0.74437699392945367</c:v>
                </c:pt>
                <c:pt idx="29">
                  <c:v>0.74866415990500701</c:v>
                </c:pt>
                <c:pt idx="30">
                  <c:v>0.74875375850609271</c:v>
                </c:pt>
                <c:pt idx="31">
                  <c:v>0.76373585742808547</c:v>
                </c:pt>
                <c:pt idx="32">
                  <c:v>0.76585770969825606</c:v>
                </c:pt>
                <c:pt idx="33">
                  <c:v>0.73103120301905311</c:v>
                </c:pt>
                <c:pt idx="34">
                  <c:v>0</c:v>
                </c:pt>
                <c:pt idx="35">
                  <c:v>0.67367547378613912</c:v>
                </c:pt>
                <c:pt idx="37">
                  <c:v>0.7478070175438597</c:v>
                </c:pt>
                <c:pt idx="38">
                  <c:v>0.73933675440048563</c:v>
                </c:pt>
                <c:pt idx="39">
                  <c:v>0.70260070555418819</c:v>
                </c:pt>
                <c:pt idx="40">
                  <c:v>0.69830830142992706</c:v>
                </c:pt>
                <c:pt idx="41">
                  <c:v>0</c:v>
                </c:pt>
                <c:pt idx="42">
                  <c:v>0.76765772298767221</c:v>
                </c:pt>
                <c:pt idx="43">
                  <c:v>0</c:v>
                </c:pt>
                <c:pt idx="44">
                  <c:v>0.73588018784109654</c:v>
                </c:pt>
                <c:pt idx="45">
                  <c:v>0.77819822246162129</c:v>
                </c:pt>
                <c:pt idx="46">
                  <c:v>0</c:v>
                </c:pt>
                <c:pt idx="47">
                  <c:v>0.78548992156229258</c:v>
                </c:pt>
                <c:pt idx="48">
                  <c:v>0.77782283658932216</c:v>
                </c:pt>
                <c:pt idx="49">
                  <c:v>0.75689795918367342</c:v>
                </c:pt>
                <c:pt idx="50">
                  <c:v>0.74501805752611894</c:v>
                </c:pt>
                <c:pt idx="51">
                  <c:v>0</c:v>
                </c:pt>
                <c:pt idx="52">
                  <c:v>0.78422681129189264</c:v>
                </c:pt>
                <c:pt idx="53">
                  <c:v>0</c:v>
                </c:pt>
                <c:pt idx="54">
                  <c:v>0.74875642175650325</c:v>
                </c:pt>
                <c:pt idx="55">
                  <c:v>0.73839257124559721</c:v>
                </c:pt>
                <c:pt idx="56">
                  <c:v>0.76708446866485014</c:v>
                </c:pt>
                <c:pt idx="57">
                  <c:v>0</c:v>
                </c:pt>
                <c:pt idx="58">
                  <c:v>0.67691899774625486</c:v>
                </c:pt>
                <c:pt idx="59">
                  <c:v>0.66787414613951568</c:v>
                </c:pt>
                <c:pt idx="61">
                  <c:v>0.67332255005856434</c:v>
                </c:pt>
                <c:pt idx="62">
                  <c:v>0.6955395869748171</c:v>
                </c:pt>
                <c:pt idx="63">
                  <c:v>0.66281725060351016</c:v>
                </c:pt>
                <c:pt idx="64">
                  <c:v>0</c:v>
                </c:pt>
                <c:pt idx="65">
                  <c:v>0.66699111814089307</c:v>
                </c:pt>
                <c:pt idx="66">
                  <c:v>0</c:v>
                </c:pt>
                <c:pt idx="67">
                  <c:v>0.70900788709007889</c:v>
                </c:pt>
                <c:pt idx="68">
                  <c:v>0.69100817438692097</c:v>
                </c:pt>
                <c:pt idx="69">
                  <c:v>0.73157129000969934</c:v>
                </c:pt>
                <c:pt idx="70">
                  <c:v>0.74606033318325082</c:v>
                </c:pt>
                <c:pt idx="71">
                  <c:v>0.36305353669771728</c:v>
                </c:pt>
                <c:pt idx="72">
                  <c:v>0.75118708452041782</c:v>
                </c:pt>
                <c:pt idx="73">
                  <c:v>0.77494732809806555</c:v>
                </c:pt>
                <c:pt idx="74">
                  <c:v>0.77475057559478122</c:v>
                </c:pt>
                <c:pt idx="75">
                  <c:v>0.77682811016144349</c:v>
                </c:pt>
                <c:pt idx="76">
                  <c:v>0.73880030372057703</c:v>
                </c:pt>
              </c:numCache>
            </c:numRef>
          </c:yVal>
          <c:smooth val="0"/>
          <c:extLst>
            <c:ext xmlns:c16="http://schemas.microsoft.com/office/drawing/2014/chart" uri="{C3380CC4-5D6E-409C-BE32-E72D297353CC}">
              <c16:uniqueId val="{00000001-90F7-4D03-9226-571324397F70}"/>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Summary!$C$175:$S$175</c:f>
              <c:numCache>
                <c:formatCode>General</c:formatCode>
                <c:ptCount val="17"/>
                <c:pt idx="0">
                  <c:v>0.74752981260647355</c:v>
                </c:pt>
                <c:pt idx="1">
                  <c:v>0.7706733345240222</c:v>
                </c:pt>
                <c:pt idx="2">
                  <c:v>0.7879226179714337</c:v>
                </c:pt>
                <c:pt idx="3">
                  <c:v>0.78801195289154513</c:v>
                </c:pt>
                <c:pt idx="4">
                  <c:v>0.79624936644703492</c:v>
                </c:pt>
                <c:pt idx="5">
                  <c:v>0</c:v>
                </c:pt>
                <c:pt idx="6">
                  <c:v>0.72706775839563309</c:v>
                </c:pt>
                <c:pt idx="7">
                  <c:v>0</c:v>
                </c:pt>
                <c:pt idx="8">
                  <c:v>0</c:v>
                </c:pt>
                <c:pt idx="9">
                  <c:v>0</c:v>
                </c:pt>
                <c:pt idx="10">
                  <c:v>0</c:v>
                </c:pt>
                <c:pt idx="11">
                  <c:v>0</c:v>
                </c:pt>
                <c:pt idx="12">
                  <c:v>0.72063112241082783</c:v>
                </c:pt>
                <c:pt idx="13">
                  <c:v>0</c:v>
                </c:pt>
                <c:pt idx="14">
                  <c:v>0</c:v>
                </c:pt>
                <c:pt idx="15">
                  <c:v>0</c:v>
                </c:pt>
                <c:pt idx="16">
                  <c:v>0.69670916098428703</c:v>
                </c:pt>
              </c:numCache>
            </c:numRef>
          </c:yVal>
          <c:smooth val="0"/>
          <c:extLst>
            <c:ext xmlns:c16="http://schemas.microsoft.com/office/drawing/2014/chart" uri="{C3380CC4-5D6E-409C-BE32-E72D297353CC}">
              <c16:uniqueId val="{00000002-90F7-4D03-9226-571324397F70}"/>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Summary!$AE$175:$BG$175</c:f>
              <c:numCache>
                <c:formatCode>General</c:formatCode>
                <c:ptCount val="29"/>
                <c:pt idx="0">
                  <c:v>0.74437699392945367</c:v>
                </c:pt>
                <c:pt idx="1">
                  <c:v>0.74866415990500701</c:v>
                </c:pt>
                <c:pt idx="2">
                  <c:v>0.74875375850609271</c:v>
                </c:pt>
                <c:pt idx="3">
                  <c:v>0.76373585742808547</c:v>
                </c:pt>
                <c:pt idx="4">
                  <c:v>0.76585770969825606</c:v>
                </c:pt>
                <c:pt idx="5">
                  <c:v>0.73103120301905311</c:v>
                </c:pt>
                <c:pt idx="6">
                  <c:v>0</c:v>
                </c:pt>
                <c:pt idx="7">
                  <c:v>0.67367547378613912</c:v>
                </c:pt>
                <c:pt idx="9">
                  <c:v>0.7478070175438597</c:v>
                </c:pt>
                <c:pt idx="10">
                  <c:v>0.73933675440048563</c:v>
                </c:pt>
                <c:pt idx="11">
                  <c:v>0.70260070555418819</c:v>
                </c:pt>
                <c:pt idx="12">
                  <c:v>0.69830830142992706</c:v>
                </c:pt>
                <c:pt idx="13">
                  <c:v>0</c:v>
                </c:pt>
                <c:pt idx="14">
                  <c:v>0.76765772298767221</c:v>
                </c:pt>
                <c:pt idx="15">
                  <c:v>0</c:v>
                </c:pt>
                <c:pt idx="16">
                  <c:v>0.73588018784109654</c:v>
                </c:pt>
                <c:pt idx="17">
                  <c:v>0.77819822246162129</c:v>
                </c:pt>
                <c:pt idx="18">
                  <c:v>0</c:v>
                </c:pt>
                <c:pt idx="19">
                  <c:v>0.78548992156229258</c:v>
                </c:pt>
                <c:pt idx="20">
                  <c:v>0.77782283658932216</c:v>
                </c:pt>
                <c:pt idx="21">
                  <c:v>0.75689795918367342</c:v>
                </c:pt>
                <c:pt idx="22">
                  <c:v>0.74501805752611894</c:v>
                </c:pt>
                <c:pt idx="23">
                  <c:v>0</c:v>
                </c:pt>
                <c:pt idx="24">
                  <c:v>0.78422681129189264</c:v>
                </c:pt>
                <c:pt idx="25">
                  <c:v>0</c:v>
                </c:pt>
                <c:pt idx="26">
                  <c:v>0.74875642175650325</c:v>
                </c:pt>
                <c:pt idx="27">
                  <c:v>0.73839257124559721</c:v>
                </c:pt>
                <c:pt idx="28">
                  <c:v>0.76708446866485014</c:v>
                </c:pt>
              </c:numCache>
            </c:numRef>
          </c:yVal>
          <c:smooth val="0"/>
          <c:extLst>
            <c:ext xmlns:c16="http://schemas.microsoft.com/office/drawing/2014/chart" uri="{C3380CC4-5D6E-409C-BE32-E72D297353CC}">
              <c16:uniqueId val="{00000003-90F7-4D03-9226-571324397F70}"/>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Summary!$BI$175:$BP$175</c:f>
              <c:numCache>
                <c:formatCode>General</c:formatCode>
                <c:ptCount val="8"/>
                <c:pt idx="0">
                  <c:v>0.67691899774625486</c:v>
                </c:pt>
                <c:pt idx="1">
                  <c:v>0.66787414613951568</c:v>
                </c:pt>
                <c:pt idx="3">
                  <c:v>0.67332255005856434</c:v>
                </c:pt>
                <c:pt idx="4">
                  <c:v>0.6955395869748171</c:v>
                </c:pt>
                <c:pt idx="5">
                  <c:v>0.66281725060351016</c:v>
                </c:pt>
                <c:pt idx="6">
                  <c:v>0</c:v>
                </c:pt>
                <c:pt idx="7">
                  <c:v>0.66699111814089307</c:v>
                </c:pt>
              </c:numCache>
            </c:numRef>
          </c:yVal>
          <c:smooth val="0"/>
          <c:extLst>
            <c:ext xmlns:c16="http://schemas.microsoft.com/office/drawing/2014/chart" uri="{C3380CC4-5D6E-409C-BE32-E72D297353CC}">
              <c16:uniqueId val="{00000004-90F7-4D03-9226-571324397F70}"/>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Summary!$BR$175:$CA$175</c:f>
              <c:numCache>
                <c:formatCode>General</c:formatCode>
                <c:ptCount val="10"/>
                <c:pt idx="0">
                  <c:v>0.70900788709007889</c:v>
                </c:pt>
                <c:pt idx="1">
                  <c:v>0.69100817438692097</c:v>
                </c:pt>
                <c:pt idx="2">
                  <c:v>0.73157129000969934</c:v>
                </c:pt>
                <c:pt idx="3">
                  <c:v>0.74606033318325082</c:v>
                </c:pt>
                <c:pt idx="4">
                  <c:v>0.36305353669771728</c:v>
                </c:pt>
                <c:pt idx="5">
                  <c:v>0.75118708452041782</c:v>
                </c:pt>
                <c:pt idx="6">
                  <c:v>0.77494732809806555</c:v>
                </c:pt>
                <c:pt idx="7">
                  <c:v>0.77475057559478122</c:v>
                </c:pt>
                <c:pt idx="8">
                  <c:v>0.77682811016144349</c:v>
                </c:pt>
                <c:pt idx="9">
                  <c:v>0.73880030372057703</c:v>
                </c:pt>
              </c:numCache>
            </c:numRef>
          </c:yVal>
          <c:smooth val="0"/>
          <c:extLst>
            <c:ext xmlns:c16="http://schemas.microsoft.com/office/drawing/2014/chart" uri="{C3380CC4-5D6E-409C-BE32-E72D297353CC}">
              <c16:uniqueId val="{00000005-90F7-4D03-9226-571324397F70}"/>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8.259962147488091E-2"/>
          <c:y val="0.72271624153226199"/>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Power Loading vs Wing Loading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19050" cap="rnd">
              <a:noFill/>
              <a:round/>
            </a:ln>
            <a:effectLst/>
          </c:spPr>
          <c:marker>
            <c:symbol val="circle"/>
            <c:size val="9"/>
            <c:spPr>
              <a:solidFill>
                <a:schemeClr val="accent6"/>
              </a:solidFill>
              <a:ln w="9525">
                <a:solidFill>
                  <a:schemeClr val="accent6"/>
                </a:solidFill>
              </a:ln>
              <a:effectLst/>
            </c:spPr>
          </c:marker>
          <c:xVal>
            <c:numRef>
              <c:f>Summary!$C$60:$T$60</c:f>
              <c:numCache>
                <c:formatCode>0.00</c:formatCode>
                <c:ptCount val="18"/>
                <c:pt idx="0">
                  <c:v>19.632107023411372</c:v>
                </c:pt>
                <c:pt idx="1">
                  <c:v>25.45</c:v>
                </c:pt>
                <c:pt idx="2">
                  <c:v>23.4364406779661</c:v>
                </c:pt>
                <c:pt idx="3">
                  <c:v>24.10593220338983</c:v>
                </c:pt>
                <c:pt idx="4">
                  <c:v>25.08050847457627</c:v>
                </c:pt>
                <c:pt idx="6">
                  <c:v>35.707627118644069</c:v>
                </c:pt>
                <c:pt idx="12">
                  <c:v>44.576666666666668</c:v>
                </c:pt>
                <c:pt idx="16">
                  <c:v>42.877118644067799</c:v>
                </c:pt>
                <c:pt idx="17" formatCode="General">
                  <c:v>17.5</c:v>
                </c:pt>
              </c:numCache>
            </c:numRef>
          </c:xVal>
          <c:yVal>
            <c:numRef>
              <c:f>Summary!$C$59:$T$59</c:f>
              <c:numCache>
                <c:formatCode>0.00</c:formatCode>
                <c:ptCount val="18"/>
                <c:pt idx="0" formatCode="General">
                  <c:v>4.8899999999999997</c:v>
                </c:pt>
                <c:pt idx="1">
                  <c:v>5.8936842105263159</c:v>
                </c:pt>
                <c:pt idx="2">
                  <c:v>5.2676190476190472</c:v>
                </c:pt>
                <c:pt idx="3">
                  <c:v>5.1718181818181819</c:v>
                </c:pt>
                <c:pt idx="4">
                  <c:v>5.3809090909090909</c:v>
                </c:pt>
                <c:pt idx="6">
                  <c:v>7.3278260869565219</c:v>
                </c:pt>
                <c:pt idx="12">
                  <c:v>6.6864999999999997</c:v>
                </c:pt>
                <c:pt idx="16">
                  <c:v>7.6950570342205324</c:v>
                </c:pt>
                <c:pt idx="17">
                  <c:v>7.97</c:v>
                </c:pt>
              </c:numCache>
            </c:numRef>
          </c:yVal>
          <c:smooth val="0"/>
          <c:extLst>
            <c:ext xmlns:c16="http://schemas.microsoft.com/office/drawing/2014/chart" uri="{C3380CC4-5D6E-409C-BE32-E72D297353CC}">
              <c16:uniqueId val="{00000012-32F5-45B8-8527-B5B75052AD3C}"/>
            </c:ext>
          </c:extLst>
        </c:ser>
        <c:ser>
          <c:idx val="4"/>
          <c:order val="1"/>
          <c:tx>
            <c:v>Fighter (USAAC - Nose Gr)</c:v>
          </c:tx>
          <c:spPr>
            <a:ln w="19050" cap="rnd">
              <a:noFill/>
              <a:round/>
            </a:ln>
            <a:effectLst/>
          </c:spPr>
          <c:marker>
            <c:symbol val="circle"/>
            <c:size val="9"/>
            <c:spPr>
              <a:noFill/>
              <a:ln w="25400">
                <a:solidFill>
                  <a:srgbClr val="92D050"/>
                </a:solidFill>
              </a:ln>
              <a:effectLst/>
            </c:spPr>
          </c:marker>
          <c:xVal>
            <c:numRef>
              <c:f>Summary!$V$60:$AC$60</c:f>
              <c:numCache>
                <c:formatCode>0.00</c:formatCode>
                <c:ptCount val="8"/>
                <c:pt idx="1">
                  <c:v>34.729387487102521</c:v>
                </c:pt>
              </c:numCache>
            </c:numRef>
          </c:xVal>
          <c:yVal>
            <c:numRef>
              <c:f>Summary!$V$59:$AC$59</c:f>
              <c:numCache>
                <c:formatCode>0.00</c:formatCode>
                <c:ptCount val="8"/>
                <c:pt idx="1">
                  <c:v>6.4391304347826086</c:v>
                </c:pt>
              </c:numCache>
            </c:numRef>
          </c:yVal>
          <c:smooth val="0"/>
          <c:extLst>
            <c:ext xmlns:c16="http://schemas.microsoft.com/office/drawing/2014/chart" uri="{C3380CC4-5D6E-409C-BE32-E72D297353CC}">
              <c16:uniqueId val="{0000001B-32F5-45B8-8527-B5B75052AD3C}"/>
            </c:ext>
          </c:extLst>
        </c:ser>
        <c:ser>
          <c:idx val="1"/>
          <c:order val="2"/>
          <c:tx>
            <c:v>Fighter (USN)</c:v>
          </c:tx>
          <c:spPr>
            <a:ln w="19050" cap="rnd">
              <a:noFill/>
              <a:round/>
            </a:ln>
            <a:effectLst/>
          </c:spPr>
          <c:marker>
            <c:symbol val="square"/>
            <c:size val="9"/>
            <c:spPr>
              <a:solidFill>
                <a:srgbClr val="0070C0"/>
              </a:solidFill>
              <a:ln w="9525">
                <a:solidFill>
                  <a:srgbClr val="0070C0"/>
                </a:solidFill>
              </a:ln>
              <a:effectLst/>
            </c:spPr>
          </c:marker>
          <c:xVal>
            <c:numRef>
              <c:f>Summary!$AE$60:$BG$60</c:f>
              <c:numCache>
                <c:formatCode>0.00</c:formatCode>
                <c:ptCount val="29"/>
                <c:pt idx="0">
                  <c:v>23.932742939205362</c:v>
                </c:pt>
                <c:pt idx="1">
                  <c:v>24.188606988989946</c:v>
                </c:pt>
                <c:pt idx="2">
                  <c:v>24.199138343705126</c:v>
                </c:pt>
                <c:pt idx="3">
                  <c:v>25.893729056965054</c:v>
                </c:pt>
                <c:pt idx="4">
                  <c:v>25.938247965533748</c:v>
                </c:pt>
                <c:pt idx="5">
                  <c:v>31.204404021062711</c:v>
                </c:pt>
                <c:pt idx="7">
                  <c:v>34.605074198180944</c:v>
                </c:pt>
                <c:pt idx="9">
                  <c:v>24.011488750598371</c:v>
                </c:pt>
                <c:pt idx="10">
                  <c:v>26.026328386787934</c:v>
                </c:pt>
                <c:pt idx="11">
                  <c:v>29.174246050741981</c:v>
                </c:pt>
                <c:pt idx="12">
                  <c:v>29.258975586404976</c:v>
                </c:pt>
                <c:pt idx="14">
                  <c:v>26.51923076923077</c:v>
                </c:pt>
                <c:pt idx="16">
                  <c:v>30.303846153846155</c:v>
                </c:pt>
                <c:pt idx="17">
                  <c:v>28.561538461538461</c:v>
                </c:pt>
                <c:pt idx="19">
                  <c:v>35.485987261146491</c:v>
                </c:pt>
                <c:pt idx="20">
                  <c:v>36.124840764331211</c:v>
                </c:pt>
                <c:pt idx="21">
                  <c:v>39.012738853503187</c:v>
                </c:pt>
                <c:pt idx="22">
                  <c:v>39.505732484076439</c:v>
                </c:pt>
                <c:pt idx="24">
                  <c:v>34.447904191616765</c:v>
                </c:pt>
                <c:pt idx="26">
                  <c:v>36.715568862275447</c:v>
                </c:pt>
                <c:pt idx="27">
                  <c:v>37.401197604790418</c:v>
                </c:pt>
                <c:pt idx="28">
                  <c:v>37.602459016393439</c:v>
                </c:pt>
              </c:numCache>
            </c:numRef>
          </c:xVal>
          <c:yVal>
            <c:numRef>
              <c:f>Summary!$AE$59:$BG$59</c:f>
              <c:numCache>
                <c:formatCode>0.00</c:formatCode>
                <c:ptCount val="29"/>
                <c:pt idx="3">
                  <c:v>4.5076666666666663</c:v>
                </c:pt>
                <c:pt idx="4">
                  <c:v>4.5154166666666669</c:v>
                </c:pt>
                <c:pt idx="5">
                  <c:v>5.4321666666666673</c:v>
                </c:pt>
                <c:pt idx="7">
                  <c:v>6.0241666666666669</c:v>
                </c:pt>
                <c:pt idx="9">
                  <c:v>5.28</c:v>
                </c:pt>
                <c:pt idx="10">
                  <c:v>4.9426363636363631</c:v>
                </c:pt>
                <c:pt idx="11">
                  <c:v>5.0787500000000003</c:v>
                </c:pt>
                <c:pt idx="12">
                  <c:v>5.5565454545454545</c:v>
                </c:pt>
                <c:pt idx="14">
                  <c:v>5.7458333333333336</c:v>
                </c:pt>
                <c:pt idx="16">
                  <c:v>6.565833333333333</c:v>
                </c:pt>
                <c:pt idx="17">
                  <c:v>6.1883333333333335</c:v>
                </c:pt>
                <c:pt idx="19">
                  <c:v>5.571299999999999</c:v>
                </c:pt>
                <c:pt idx="20">
                  <c:v>5.6716000000000006</c:v>
                </c:pt>
                <c:pt idx="21">
                  <c:v>5.833333333333333</c:v>
                </c:pt>
                <c:pt idx="22">
                  <c:v>5.9070476190476198</c:v>
                </c:pt>
                <c:pt idx="24">
                  <c:v>5.7528000000000006</c:v>
                </c:pt>
                <c:pt idx="26">
                  <c:v>6.1315</c:v>
                </c:pt>
                <c:pt idx="27">
                  <c:v>6.2460000000000004</c:v>
                </c:pt>
                <c:pt idx="28">
                  <c:v>4.3690476190476186</c:v>
                </c:pt>
              </c:numCache>
            </c:numRef>
          </c:yVal>
          <c:smooth val="0"/>
          <c:extLst>
            <c:ext xmlns:c16="http://schemas.microsoft.com/office/drawing/2014/chart" uri="{C3380CC4-5D6E-409C-BE32-E72D297353CC}">
              <c16:uniqueId val="{00000038-32F5-45B8-8527-B5B75052AD3C}"/>
            </c:ext>
          </c:extLst>
        </c:ser>
        <c:ser>
          <c:idx val="2"/>
          <c:order val="3"/>
          <c:tx>
            <c:v>Attack/Dive Bomber</c:v>
          </c:tx>
          <c:spPr>
            <a:ln w="19050" cap="rnd">
              <a:noFill/>
              <a:round/>
            </a:ln>
            <a:effectLst/>
          </c:spPr>
          <c:marker>
            <c:symbol val="diamond"/>
            <c:size val="9"/>
            <c:spPr>
              <a:solidFill>
                <a:srgbClr val="FF0000"/>
              </a:solidFill>
              <a:ln w="9525">
                <a:solidFill>
                  <a:srgbClr val="FF0000"/>
                </a:solidFill>
              </a:ln>
              <a:effectLst/>
            </c:spPr>
          </c:marker>
          <c:xVal>
            <c:numRef>
              <c:f>Summary!$BI$60:$BP$60</c:f>
              <c:numCache>
                <c:formatCode>0.00</c:formatCode>
                <c:ptCount val="8"/>
                <c:pt idx="0">
                  <c:v>20.77961432506887</c:v>
                </c:pt>
                <c:pt idx="1">
                  <c:v>29.83940704138357</c:v>
                </c:pt>
                <c:pt idx="3">
                  <c:v>44.822499999999998</c:v>
                </c:pt>
                <c:pt idx="4">
                  <c:v>36.604265402843602</c:v>
                </c:pt>
                <c:pt idx="5">
                  <c:v>38.317500000000003</c:v>
                </c:pt>
                <c:pt idx="7">
                  <c:v>33.546938775510206</c:v>
                </c:pt>
              </c:numCache>
            </c:numRef>
          </c:xVal>
          <c:yVal>
            <c:numRef>
              <c:f>Summary!$BI$59:$BP$59</c:f>
              <c:numCache>
                <c:formatCode>0.00</c:formatCode>
                <c:ptCount val="8"/>
                <c:pt idx="0">
                  <c:v>9.1430303030303026</c:v>
                </c:pt>
                <c:pt idx="1">
                  <c:v>7.4323076923076927</c:v>
                </c:pt>
                <c:pt idx="3">
                  <c:v>6.6403703703703707</c:v>
                </c:pt>
                <c:pt idx="4">
                  <c:v>8.1300000000000008</c:v>
                </c:pt>
                <c:pt idx="5">
                  <c:v>6.1307999999999998</c:v>
                </c:pt>
                <c:pt idx="7">
                  <c:v>8.6515789473684208</c:v>
                </c:pt>
              </c:numCache>
            </c:numRef>
          </c:yVal>
          <c:smooth val="0"/>
          <c:extLst>
            <c:ext xmlns:c16="http://schemas.microsoft.com/office/drawing/2014/chart" uri="{C3380CC4-5D6E-409C-BE32-E72D297353CC}">
              <c16:uniqueId val="{00000040-32F5-45B8-8527-B5B75052AD3C}"/>
            </c:ext>
          </c:extLst>
        </c:ser>
        <c:ser>
          <c:idx val="3"/>
          <c:order val="4"/>
          <c:tx>
            <c:v>Trainers</c:v>
          </c:tx>
          <c:spPr>
            <a:ln w="19050" cap="rnd">
              <a:noFill/>
              <a:round/>
            </a:ln>
            <a:effectLst/>
          </c:spPr>
          <c:marker>
            <c:symbol val="triangle"/>
            <c:size val="9"/>
            <c:spPr>
              <a:solidFill>
                <a:srgbClr val="FFC000"/>
              </a:solidFill>
              <a:ln w="9525">
                <a:solidFill>
                  <a:srgbClr val="FFC000"/>
                </a:solidFill>
              </a:ln>
              <a:effectLst/>
            </c:spPr>
          </c:marker>
          <c:xVal>
            <c:numRef>
              <c:f>Summary!$BR$60:$BZ$60</c:f>
              <c:numCache>
                <c:formatCode>0.00</c:formatCode>
                <c:ptCount val="9"/>
                <c:pt idx="0">
                  <c:v>12.045</c:v>
                </c:pt>
                <c:pt idx="1">
                  <c:v>14.798387096774194</c:v>
                </c:pt>
                <c:pt idx="2">
                  <c:v>18.745454545454546</c:v>
                </c:pt>
                <c:pt idx="3">
                  <c:v>17.911290322580644</c:v>
                </c:pt>
                <c:pt idx="4">
                  <c:v>40.633058813742622</c:v>
                </c:pt>
                <c:pt idx="5">
                  <c:v>17.623430962343097</c:v>
                </c:pt>
                <c:pt idx="6">
                  <c:v>23.204444444444444</c:v>
                </c:pt>
                <c:pt idx="7">
                  <c:v>20.193723363037581</c:v>
                </c:pt>
                <c:pt idx="8">
                  <c:v>20.750403972726915</c:v>
                </c:pt>
              </c:numCache>
            </c:numRef>
          </c:xVal>
          <c:yVal>
            <c:numRef>
              <c:f>Summary!$BR$59:$BZ$59</c:f>
              <c:numCache>
                <c:formatCode>0.00</c:formatCode>
                <c:ptCount val="9"/>
                <c:pt idx="0">
                  <c:v>13.765714285714285</c:v>
                </c:pt>
                <c:pt idx="1">
                  <c:v>13.901515151515152</c:v>
                </c:pt>
                <c:pt idx="2">
                  <c:v>9.372727272727273</c:v>
                </c:pt>
                <c:pt idx="3">
                  <c:v>11.105</c:v>
                </c:pt>
                <c:pt idx="4">
                  <c:v>21.70888888888889</c:v>
                </c:pt>
                <c:pt idx="5">
                  <c:v>9.36</c:v>
                </c:pt>
                <c:pt idx="6">
                  <c:v>8.7016666666666662</c:v>
                </c:pt>
                <c:pt idx="7">
                  <c:v>8.6866666666666674</c:v>
                </c:pt>
                <c:pt idx="8">
                  <c:v>8.7750000000000004</c:v>
                </c:pt>
              </c:numCache>
            </c:numRef>
          </c:yVal>
          <c:smooth val="0"/>
          <c:extLst>
            <c:ext xmlns:c16="http://schemas.microsoft.com/office/drawing/2014/chart" uri="{C3380CC4-5D6E-409C-BE32-E72D297353CC}">
              <c16:uniqueId val="{00000049-32F5-45B8-8527-B5B75052AD3C}"/>
            </c:ext>
          </c:extLst>
        </c:ser>
        <c:ser>
          <c:idx val="5"/>
          <c:order val="5"/>
          <c:tx>
            <c:v>Trainer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Summary!$CA$60</c:f>
              <c:numCache>
                <c:formatCode>General</c:formatCode>
                <c:ptCount val="1"/>
                <c:pt idx="0">
                  <c:v>8.84</c:v>
                </c:pt>
              </c:numCache>
            </c:numRef>
          </c:xVal>
          <c:yVal>
            <c:numRef>
              <c:f>Summary!$CA$59</c:f>
              <c:numCache>
                <c:formatCode>General</c:formatCode>
                <c:ptCount val="1"/>
                <c:pt idx="0">
                  <c:v>11.97</c:v>
                </c:pt>
              </c:numCache>
            </c:numRef>
          </c:yVal>
          <c:smooth val="0"/>
          <c:extLst>
            <c:ext xmlns:c16="http://schemas.microsoft.com/office/drawing/2014/chart" uri="{C3380CC4-5D6E-409C-BE32-E72D297353CC}">
              <c16:uniqueId val="{00000000-D835-4C66-8340-5F1BEBA3B61F}"/>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 Mission</a:t>
                </a:r>
                <a:r>
                  <a:rPr lang="en-US" baseline="0"/>
                  <a:t> Weigh/Wing Area (lb/sq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BGMWt/Power</a:t>
                </a:r>
                <a:r>
                  <a:rPr lang="en-US" baseline="0"/>
                  <a:t> (lb/HP</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8.259962147488091E-2"/>
          <c:y val="0.69645796345502953"/>
          <c:w val="0.1590722255115585"/>
          <c:h val="0.2045130202729493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Power Loading vs Wing Loading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19050" cap="rnd">
              <a:noFill/>
              <a:round/>
            </a:ln>
            <a:effectLst/>
          </c:spPr>
          <c:marker>
            <c:symbol val="circle"/>
            <c:size val="9"/>
            <c:spPr>
              <a:solidFill>
                <a:schemeClr val="accent6"/>
              </a:solidFill>
              <a:ln w="9525">
                <a:solidFill>
                  <a:schemeClr val="accent6"/>
                </a:solidFill>
              </a:ln>
              <a:effectLst/>
            </c:spPr>
          </c:marker>
          <c:xVal>
            <c:numRef>
              <c:f>Summary!$C$33:$T$33</c:f>
              <c:numCache>
                <c:formatCode>General</c:formatCode>
                <c:ptCount val="18"/>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numCache>
            </c:numRef>
          </c:xVal>
          <c:yVal>
            <c:numRef>
              <c:f>Summary!$C$17:$T$17</c:f>
              <c:numCache>
                <c:formatCode>General</c:formatCode>
                <c:ptCount val="18"/>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numCache>
            </c:numRef>
          </c:yVal>
          <c:smooth val="0"/>
          <c:extLst>
            <c:ext xmlns:c16="http://schemas.microsoft.com/office/drawing/2014/chart" uri="{C3380CC4-5D6E-409C-BE32-E72D297353CC}">
              <c16:uniqueId val="{00000000-C23D-4614-B574-85FDB3DC16FD}"/>
            </c:ext>
          </c:extLst>
        </c:ser>
        <c:ser>
          <c:idx val="4"/>
          <c:order val="1"/>
          <c:tx>
            <c:v>Fighter (USAAC - Nose Gr)</c:v>
          </c:tx>
          <c:spPr>
            <a:ln w="25400" cap="rnd">
              <a:noFill/>
              <a:round/>
            </a:ln>
            <a:effectLst/>
          </c:spPr>
          <c:marker>
            <c:symbol val="circle"/>
            <c:size val="9"/>
            <c:spPr>
              <a:noFill/>
              <a:ln w="25400">
                <a:solidFill>
                  <a:srgbClr val="92D050"/>
                </a:solidFill>
              </a:ln>
              <a:effectLst/>
            </c:spPr>
          </c:marker>
          <c:xVal>
            <c:numRef>
              <c:f>Summary!$V$33:$AC$33</c:f>
              <c:numCache>
                <c:formatCode>General</c:formatCode>
                <c:ptCount val="8"/>
                <c:pt idx="0">
                  <c:v>213.22</c:v>
                </c:pt>
                <c:pt idx="1">
                  <c:v>213.22</c:v>
                </c:pt>
                <c:pt idx="2">
                  <c:v>213.22</c:v>
                </c:pt>
                <c:pt idx="3">
                  <c:v>213.22</c:v>
                </c:pt>
                <c:pt idx="4">
                  <c:v>213.22</c:v>
                </c:pt>
                <c:pt idx="5">
                  <c:v>248</c:v>
                </c:pt>
                <c:pt idx="6">
                  <c:v>248</c:v>
                </c:pt>
                <c:pt idx="7">
                  <c:v>248</c:v>
                </c:pt>
              </c:numCache>
            </c:numRef>
          </c:xVal>
          <c:yVal>
            <c:numRef>
              <c:f>Summary!$V$17:$AC$17</c:f>
              <c:numCache>
                <c:formatCode>General</c:formatCode>
                <c:ptCount val="8"/>
                <c:pt idx="0">
                  <c:v>1150</c:v>
                </c:pt>
                <c:pt idx="1">
                  <c:v>1150</c:v>
                </c:pt>
                <c:pt idx="2">
                  <c:v>1325</c:v>
                </c:pt>
                <c:pt idx="3">
                  <c:v>1200</c:v>
                </c:pt>
                <c:pt idx="4">
                  <c:v>1150</c:v>
                </c:pt>
                <c:pt idx="5">
                  <c:v>1325</c:v>
                </c:pt>
                <c:pt idx="6">
                  <c:v>1325</c:v>
                </c:pt>
                <c:pt idx="7">
                  <c:v>1325</c:v>
                </c:pt>
              </c:numCache>
            </c:numRef>
          </c:yVal>
          <c:smooth val="0"/>
          <c:extLst>
            <c:ext xmlns:c16="http://schemas.microsoft.com/office/drawing/2014/chart" uri="{C3380CC4-5D6E-409C-BE32-E72D297353CC}">
              <c16:uniqueId val="{00000001-C23D-4614-B574-85FDB3DC16FD}"/>
            </c:ext>
          </c:extLst>
        </c:ser>
        <c:ser>
          <c:idx val="1"/>
          <c:order val="2"/>
          <c:tx>
            <c:v>Fighter (USN)</c:v>
          </c:tx>
          <c:spPr>
            <a:ln w="19050" cap="rnd">
              <a:noFill/>
              <a:round/>
            </a:ln>
            <a:effectLst/>
          </c:spPr>
          <c:marker>
            <c:symbol val="square"/>
            <c:size val="9"/>
            <c:spPr>
              <a:solidFill>
                <a:srgbClr val="0070C0"/>
              </a:solidFill>
              <a:ln w="9525">
                <a:solidFill>
                  <a:srgbClr val="0070C0"/>
                </a:solidFill>
              </a:ln>
              <a:effectLst/>
            </c:spPr>
          </c:marker>
          <c:xVal>
            <c:numRef>
              <c:f>Summary!$AE$33:$BG$33</c:f>
              <c:numCache>
                <c:formatCode>General</c:formatCode>
                <c:ptCount val="29"/>
                <c:pt idx="0">
                  <c:v>208.9</c:v>
                </c:pt>
                <c:pt idx="1">
                  <c:v>208.9</c:v>
                </c:pt>
                <c:pt idx="2">
                  <c:v>208.9</c:v>
                </c:pt>
                <c:pt idx="3">
                  <c:v>208.9</c:v>
                </c:pt>
                <c:pt idx="4">
                  <c:v>208.9</c:v>
                </c:pt>
                <c:pt idx="5">
                  <c:v>208.9</c:v>
                </c:pt>
                <c:pt idx="6">
                  <c:v>208.9</c:v>
                </c:pt>
                <c:pt idx="7">
                  <c:v>208.9</c:v>
                </c:pt>
                <c:pt idx="8">
                  <c:v>208.9</c:v>
                </c:pt>
                <c:pt idx="9">
                  <c:v>208.9</c:v>
                </c:pt>
                <c:pt idx="10">
                  <c:v>208.9</c:v>
                </c:pt>
                <c:pt idx="11">
                  <c:v>208.9</c:v>
                </c:pt>
                <c:pt idx="12">
                  <c:v>208.9</c:v>
                </c:pt>
                <c:pt idx="13">
                  <c:v>260</c:v>
                </c:pt>
                <c:pt idx="14">
                  <c:v>260</c:v>
                </c:pt>
                <c:pt idx="15">
                  <c:v>260</c:v>
                </c:pt>
                <c:pt idx="16">
                  <c:v>260</c:v>
                </c:pt>
                <c:pt idx="17">
                  <c:v>260</c:v>
                </c:pt>
                <c:pt idx="18">
                  <c:v>260</c:v>
                </c:pt>
                <c:pt idx="19">
                  <c:v>314</c:v>
                </c:pt>
                <c:pt idx="20">
                  <c:v>314</c:v>
                </c:pt>
                <c:pt idx="21">
                  <c:v>314</c:v>
                </c:pt>
                <c:pt idx="22">
                  <c:v>314</c:v>
                </c:pt>
                <c:pt idx="23">
                  <c:v>334</c:v>
                </c:pt>
                <c:pt idx="24">
                  <c:v>334</c:v>
                </c:pt>
                <c:pt idx="25">
                  <c:v>334</c:v>
                </c:pt>
                <c:pt idx="26">
                  <c:v>334</c:v>
                </c:pt>
                <c:pt idx="27">
                  <c:v>334</c:v>
                </c:pt>
                <c:pt idx="28">
                  <c:v>244</c:v>
                </c:pt>
              </c:numCache>
            </c:numRef>
          </c:xVal>
          <c:y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yVal>
          <c:smooth val="0"/>
          <c:extLst>
            <c:ext xmlns:c16="http://schemas.microsoft.com/office/drawing/2014/chart" uri="{C3380CC4-5D6E-409C-BE32-E72D297353CC}">
              <c16:uniqueId val="{00000002-C23D-4614-B574-85FDB3DC16FD}"/>
            </c:ext>
          </c:extLst>
        </c:ser>
        <c:ser>
          <c:idx val="2"/>
          <c:order val="3"/>
          <c:tx>
            <c:v>Attack/Dive Bomber</c:v>
          </c:tx>
          <c:spPr>
            <a:ln w="19050" cap="rnd">
              <a:noFill/>
              <a:round/>
            </a:ln>
            <a:effectLst/>
          </c:spPr>
          <c:marker>
            <c:symbol val="diamond"/>
            <c:size val="9"/>
            <c:spPr>
              <a:solidFill>
                <a:srgbClr val="FF0000"/>
              </a:solidFill>
              <a:ln w="9525">
                <a:solidFill>
                  <a:srgbClr val="FF0000"/>
                </a:solidFill>
              </a:ln>
              <a:effectLst/>
            </c:spPr>
          </c:marker>
          <c:xVal>
            <c:numRef>
              <c:f>Summary!$BI$33:$BP$33</c:f>
              <c:numCache>
                <c:formatCode>General</c:formatCode>
                <c:ptCount val="8"/>
                <c:pt idx="0">
                  <c:v>363</c:v>
                </c:pt>
                <c:pt idx="1">
                  <c:v>323.8</c:v>
                </c:pt>
                <c:pt idx="2">
                  <c:v>335</c:v>
                </c:pt>
                <c:pt idx="3">
                  <c:v>400</c:v>
                </c:pt>
                <c:pt idx="4">
                  <c:v>422</c:v>
                </c:pt>
                <c:pt idx="5">
                  <c:v>400</c:v>
                </c:pt>
                <c:pt idx="7">
                  <c:v>490</c:v>
                </c:pt>
              </c:numCache>
            </c:numRef>
          </c:xVal>
          <c:yVal>
            <c:numRef>
              <c:f>Summary!$BI$17:$BP$17</c:f>
              <c:numCache>
                <c:formatCode>General</c:formatCode>
                <c:ptCount val="8"/>
                <c:pt idx="0">
                  <c:v>825</c:v>
                </c:pt>
                <c:pt idx="1">
                  <c:v>1300</c:v>
                </c:pt>
                <c:pt idx="2">
                  <c:v>1700</c:v>
                </c:pt>
                <c:pt idx="3">
                  <c:v>2700</c:v>
                </c:pt>
                <c:pt idx="4">
                  <c:v>1900</c:v>
                </c:pt>
                <c:pt idx="5">
                  <c:v>2500</c:v>
                </c:pt>
                <c:pt idx="7">
                  <c:v>1900</c:v>
                </c:pt>
              </c:numCache>
            </c:numRef>
          </c:yVal>
          <c:smooth val="0"/>
          <c:extLst>
            <c:ext xmlns:c16="http://schemas.microsoft.com/office/drawing/2014/chart" uri="{C3380CC4-5D6E-409C-BE32-E72D297353CC}">
              <c16:uniqueId val="{00000003-C23D-4614-B574-85FDB3DC16FD}"/>
            </c:ext>
          </c:extLst>
        </c:ser>
        <c:ser>
          <c:idx val="3"/>
          <c:order val="4"/>
          <c:tx>
            <c:v>Trainers</c:v>
          </c:tx>
          <c:spPr>
            <a:ln w="19050" cap="rnd">
              <a:noFill/>
              <a:round/>
            </a:ln>
            <a:effectLst/>
          </c:spPr>
          <c:marker>
            <c:symbol val="triangle"/>
            <c:size val="9"/>
            <c:spPr>
              <a:solidFill>
                <a:srgbClr val="FFC000"/>
              </a:solidFill>
              <a:ln w="9525">
                <a:solidFill>
                  <a:srgbClr val="FFC000"/>
                </a:solidFill>
              </a:ln>
              <a:effectLst/>
            </c:spPr>
          </c:marker>
          <c:xVal>
            <c:numRef>
              <c:f>Summary!$BR$33:$BZ$33</c:f>
              <c:numCache>
                <c:formatCode>General</c:formatCode>
                <c:ptCount val="9"/>
                <c:pt idx="0">
                  <c:v>200</c:v>
                </c:pt>
                <c:pt idx="1">
                  <c:v>124</c:v>
                </c:pt>
                <c:pt idx="2">
                  <c:v>220</c:v>
                </c:pt>
                <c:pt idx="3">
                  <c:v>248</c:v>
                </c:pt>
                <c:pt idx="4">
                  <c:v>240.42</c:v>
                </c:pt>
                <c:pt idx="5">
                  <c:v>239</c:v>
                </c:pt>
                <c:pt idx="6">
                  <c:v>225</c:v>
                </c:pt>
                <c:pt idx="7">
                  <c:v>258.10000000000002</c:v>
                </c:pt>
                <c:pt idx="8">
                  <c:v>253.73</c:v>
                </c:pt>
              </c:numCache>
            </c:numRef>
          </c:xVal>
          <c:yVal>
            <c:numRef>
              <c:f>Summary!$BR$17:$BZ$17</c:f>
              <c:numCache>
                <c:formatCode>General</c:formatCode>
                <c:ptCount val="9"/>
                <c:pt idx="0">
                  <c:v>175</c:v>
                </c:pt>
                <c:pt idx="1">
                  <c:v>132</c:v>
                </c:pt>
                <c:pt idx="2">
                  <c:v>440</c:v>
                </c:pt>
                <c:pt idx="3">
                  <c:v>400</c:v>
                </c:pt>
                <c:pt idx="4">
                  <c:v>450</c:v>
                </c:pt>
                <c:pt idx="5">
                  <c:v>450</c:v>
                </c:pt>
                <c:pt idx="6">
                  <c:v>600</c:v>
                </c:pt>
                <c:pt idx="7">
                  <c:v>600</c:v>
                </c:pt>
                <c:pt idx="8">
                  <c:v>600</c:v>
                </c:pt>
              </c:numCache>
            </c:numRef>
          </c:yVal>
          <c:smooth val="0"/>
          <c:extLst>
            <c:ext xmlns:c16="http://schemas.microsoft.com/office/drawing/2014/chart" uri="{C3380CC4-5D6E-409C-BE32-E72D297353CC}">
              <c16:uniqueId val="{00000004-C23D-4614-B574-85FDB3DC16FD}"/>
            </c:ext>
          </c:extLst>
        </c:ser>
        <c:ser>
          <c:idx val="5"/>
          <c:order val="5"/>
          <c:tx>
            <c:v>Trainer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Summary!$CA$33</c:f>
              <c:numCache>
                <c:formatCode>General</c:formatCode>
                <c:ptCount val="1"/>
                <c:pt idx="0">
                  <c:v>298</c:v>
                </c:pt>
              </c:numCache>
            </c:numRef>
          </c:xVal>
          <c:yVal>
            <c:numRef>
              <c:f>Summary!$CA$17</c:f>
              <c:numCache>
                <c:formatCode>General</c:formatCode>
                <c:ptCount val="1"/>
                <c:pt idx="0">
                  <c:v>220</c:v>
                </c:pt>
              </c:numCache>
            </c:numRef>
          </c:yVal>
          <c:smooth val="0"/>
          <c:extLst>
            <c:ext xmlns:c16="http://schemas.microsoft.com/office/drawing/2014/chart" uri="{C3380CC4-5D6E-409C-BE32-E72D297353CC}">
              <c16:uniqueId val="{00000000-989E-41A2-8545-538D38B092C6}"/>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 Mission</a:t>
                </a:r>
                <a:r>
                  <a:rPr lang="en-US" baseline="0"/>
                  <a:t> Weigh/Wing Area (lb/sq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BGMWt/Power</a:t>
                </a:r>
                <a:r>
                  <a:rPr lang="en-US" baseline="0"/>
                  <a:t> (lb/HP</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590722255115585"/>
          <c:h val="0.2045130202729493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Wing Area</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5"/>
          <c:order val="0"/>
          <c:tx>
            <c:v>All Fighters</c:v>
          </c:tx>
          <c:spPr>
            <a:ln w="25400" cap="rnd">
              <a:noFill/>
              <a:round/>
            </a:ln>
            <a:effectLst/>
          </c:spPr>
          <c:marker>
            <c:symbol val="dot"/>
            <c:size val="2"/>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1"/>
            <c:dispEq val="1"/>
            <c:trendlineLbl>
              <c:layout>
                <c:manualLayout>
                  <c:x val="0.21917359505571191"/>
                  <c:y val="7.1958178881060177E-3"/>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Summary!$C$147:$BG$147</c:f>
              <c:numCache>
                <c:formatCode>General</c:formatCode>
                <c:ptCount val="5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numCache>
            </c:numRef>
          </c:xVal>
          <c:yVal>
            <c:numRef>
              <c:f>Summary!$C$33:$BP$33</c:f>
              <c:numCache>
                <c:formatCode>General</c:formatCode>
                <c:ptCount val="66"/>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pt idx="19">
                  <c:v>213.22</c:v>
                </c:pt>
                <c:pt idx="20">
                  <c:v>213.22</c:v>
                </c:pt>
                <c:pt idx="21">
                  <c:v>213.22</c:v>
                </c:pt>
                <c:pt idx="22">
                  <c:v>213.22</c:v>
                </c:pt>
                <c:pt idx="23">
                  <c:v>213.22</c:v>
                </c:pt>
                <c:pt idx="24">
                  <c:v>248</c:v>
                </c:pt>
                <c:pt idx="25">
                  <c:v>248</c:v>
                </c:pt>
                <c:pt idx="26">
                  <c:v>248</c:v>
                </c:pt>
                <c:pt idx="28">
                  <c:v>208.9</c:v>
                </c:pt>
                <c:pt idx="29">
                  <c:v>208.9</c:v>
                </c:pt>
                <c:pt idx="30">
                  <c:v>208.9</c:v>
                </c:pt>
                <c:pt idx="31">
                  <c:v>208.9</c:v>
                </c:pt>
                <c:pt idx="32">
                  <c:v>208.9</c:v>
                </c:pt>
                <c:pt idx="33">
                  <c:v>208.9</c:v>
                </c:pt>
                <c:pt idx="34">
                  <c:v>208.9</c:v>
                </c:pt>
                <c:pt idx="35">
                  <c:v>208.9</c:v>
                </c:pt>
                <c:pt idx="36">
                  <c:v>208.9</c:v>
                </c:pt>
                <c:pt idx="37">
                  <c:v>208.9</c:v>
                </c:pt>
                <c:pt idx="38">
                  <c:v>208.9</c:v>
                </c:pt>
                <c:pt idx="39">
                  <c:v>208.9</c:v>
                </c:pt>
                <c:pt idx="40">
                  <c:v>208.9</c:v>
                </c:pt>
                <c:pt idx="41">
                  <c:v>260</c:v>
                </c:pt>
                <c:pt idx="42">
                  <c:v>260</c:v>
                </c:pt>
                <c:pt idx="43">
                  <c:v>260</c:v>
                </c:pt>
                <c:pt idx="44">
                  <c:v>260</c:v>
                </c:pt>
                <c:pt idx="45">
                  <c:v>260</c:v>
                </c:pt>
                <c:pt idx="46">
                  <c:v>260</c:v>
                </c:pt>
                <c:pt idx="47">
                  <c:v>314</c:v>
                </c:pt>
                <c:pt idx="48">
                  <c:v>314</c:v>
                </c:pt>
                <c:pt idx="49">
                  <c:v>314</c:v>
                </c:pt>
                <c:pt idx="50">
                  <c:v>314</c:v>
                </c:pt>
                <c:pt idx="51">
                  <c:v>334</c:v>
                </c:pt>
                <c:pt idx="52">
                  <c:v>334</c:v>
                </c:pt>
                <c:pt idx="53">
                  <c:v>334</c:v>
                </c:pt>
                <c:pt idx="54">
                  <c:v>334</c:v>
                </c:pt>
                <c:pt idx="55">
                  <c:v>334</c:v>
                </c:pt>
                <c:pt idx="56">
                  <c:v>244</c:v>
                </c:pt>
                <c:pt idx="58">
                  <c:v>363</c:v>
                </c:pt>
                <c:pt idx="59">
                  <c:v>323.8</c:v>
                </c:pt>
                <c:pt idx="60">
                  <c:v>335</c:v>
                </c:pt>
                <c:pt idx="61">
                  <c:v>400</c:v>
                </c:pt>
                <c:pt idx="62">
                  <c:v>422</c:v>
                </c:pt>
                <c:pt idx="63">
                  <c:v>400</c:v>
                </c:pt>
                <c:pt idx="65">
                  <c:v>490</c:v>
                </c:pt>
              </c:numCache>
            </c:numRef>
          </c:yVal>
          <c:smooth val="0"/>
          <c:extLst>
            <c:ext xmlns:c16="http://schemas.microsoft.com/office/drawing/2014/chart" uri="{C3380CC4-5D6E-409C-BE32-E72D297353CC}">
              <c16:uniqueId val="{00000002-CC27-41F6-AE2F-58C9E5D2D670}"/>
            </c:ext>
          </c:extLst>
        </c:ser>
        <c:ser>
          <c:idx val="4"/>
          <c:order val="1"/>
          <c:tx>
            <c:v>All</c:v>
          </c:tx>
          <c:spPr>
            <a:ln w="25400" cap="rnd">
              <a:noFill/>
              <a:round/>
            </a:ln>
            <a:effectLst/>
          </c:spPr>
          <c:marker>
            <c:symbol val="dot"/>
            <c:size val="2"/>
            <c:spPr>
              <a:solidFill>
                <a:schemeClr val="accent5"/>
              </a:solidFill>
              <a:ln w="9525">
                <a:solidFill>
                  <a:schemeClr val="accent5"/>
                </a:solidFill>
              </a:ln>
              <a:effectLst/>
            </c:spPr>
          </c:marker>
          <c:xVal>
            <c:numRef>
              <c:f>Summary!$C$147:$BZ$147</c:f>
              <c:numCache>
                <c:formatCode>General</c:formatCode>
                <c:ptCount val="76"/>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numCache>
            </c:numRef>
          </c:xVal>
          <c:yVal>
            <c:numRef>
              <c:f>Summary!$C$33:$BZ$33</c:f>
              <c:numCache>
                <c:formatCode>General</c:formatCode>
                <c:ptCount val="76"/>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pt idx="19">
                  <c:v>213.22</c:v>
                </c:pt>
                <c:pt idx="20">
                  <c:v>213.22</c:v>
                </c:pt>
                <c:pt idx="21">
                  <c:v>213.22</c:v>
                </c:pt>
                <c:pt idx="22">
                  <c:v>213.22</c:v>
                </c:pt>
                <c:pt idx="23">
                  <c:v>213.22</c:v>
                </c:pt>
                <c:pt idx="24">
                  <c:v>248</c:v>
                </c:pt>
                <c:pt idx="25">
                  <c:v>248</c:v>
                </c:pt>
                <c:pt idx="26">
                  <c:v>248</c:v>
                </c:pt>
                <c:pt idx="28">
                  <c:v>208.9</c:v>
                </c:pt>
                <c:pt idx="29">
                  <c:v>208.9</c:v>
                </c:pt>
                <c:pt idx="30">
                  <c:v>208.9</c:v>
                </c:pt>
                <c:pt idx="31">
                  <c:v>208.9</c:v>
                </c:pt>
                <c:pt idx="32">
                  <c:v>208.9</c:v>
                </c:pt>
                <c:pt idx="33">
                  <c:v>208.9</c:v>
                </c:pt>
                <c:pt idx="34">
                  <c:v>208.9</c:v>
                </c:pt>
                <c:pt idx="35">
                  <c:v>208.9</c:v>
                </c:pt>
                <c:pt idx="36">
                  <c:v>208.9</c:v>
                </c:pt>
                <c:pt idx="37">
                  <c:v>208.9</c:v>
                </c:pt>
                <c:pt idx="38">
                  <c:v>208.9</c:v>
                </c:pt>
                <c:pt idx="39">
                  <c:v>208.9</c:v>
                </c:pt>
                <c:pt idx="40">
                  <c:v>208.9</c:v>
                </c:pt>
                <c:pt idx="41">
                  <c:v>260</c:v>
                </c:pt>
                <c:pt idx="42">
                  <c:v>260</c:v>
                </c:pt>
                <c:pt idx="43">
                  <c:v>260</c:v>
                </c:pt>
                <c:pt idx="44">
                  <c:v>260</c:v>
                </c:pt>
                <c:pt idx="45">
                  <c:v>260</c:v>
                </c:pt>
                <c:pt idx="46">
                  <c:v>260</c:v>
                </c:pt>
                <c:pt idx="47">
                  <c:v>314</c:v>
                </c:pt>
                <c:pt idx="48">
                  <c:v>314</c:v>
                </c:pt>
                <c:pt idx="49">
                  <c:v>314</c:v>
                </c:pt>
                <c:pt idx="50">
                  <c:v>314</c:v>
                </c:pt>
                <c:pt idx="51">
                  <c:v>334</c:v>
                </c:pt>
                <c:pt idx="52">
                  <c:v>334</c:v>
                </c:pt>
                <c:pt idx="53">
                  <c:v>334</c:v>
                </c:pt>
                <c:pt idx="54">
                  <c:v>334</c:v>
                </c:pt>
                <c:pt idx="55">
                  <c:v>334</c:v>
                </c:pt>
                <c:pt idx="56">
                  <c:v>244</c:v>
                </c:pt>
                <c:pt idx="58">
                  <c:v>363</c:v>
                </c:pt>
                <c:pt idx="59">
                  <c:v>323.8</c:v>
                </c:pt>
                <c:pt idx="60">
                  <c:v>335</c:v>
                </c:pt>
                <c:pt idx="61">
                  <c:v>400</c:v>
                </c:pt>
                <c:pt idx="62">
                  <c:v>422</c:v>
                </c:pt>
                <c:pt idx="63">
                  <c:v>400</c:v>
                </c:pt>
                <c:pt idx="65">
                  <c:v>490</c:v>
                </c:pt>
                <c:pt idx="67">
                  <c:v>200</c:v>
                </c:pt>
                <c:pt idx="68">
                  <c:v>124</c:v>
                </c:pt>
                <c:pt idx="69">
                  <c:v>220</c:v>
                </c:pt>
                <c:pt idx="70">
                  <c:v>248</c:v>
                </c:pt>
                <c:pt idx="71">
                  <c:v>240.42</c:v>
                </c:pt>
                <c:pt idx="72">
                  <c:v>239</c:v>
                </c:pt>
                <c:pt idx="73">
                  <c:v>225</c:v>
                </c:pt>
                <c:pt idx="74">
                  <c:v>258.10000000000002</c:v>
                </c:pt>
                <c:pt idx="75">
                  <c:v>253.73</c:v>
                </c:pt>
              </c:numCache>
            </c:numRef>
          </c:yVal>
          <c:smooth val="0"/>
          <c:extLst>
            <c:ext xmlns:c16="http://schemas.microsoft.com/office/drawing/2014/chart" uri="{C3380CC4-5D6E-409C-BE32-E72D297353CC}">
              <c16:uniqueId val="{00000000-8BB6-4DDD-8278-9B7B8BF85EA2}"/>
            </c:ext>
          </c:extLst>
        </c:ser>
        <c:ser>
          <c:idx val="0"/>
          <c:order val="2"/>
          <c:tx>
            <c:v>Fighter (USAAC)</c:v>
          </c:tx>
          <c:spPr>
            <a:ln w="19050" cap="rnd">
              <a:noFill/>
              <a:round/>
            </a:ln>
            <a:effectLst/>
          </c:spPr>
          <c:marker>
            <c:symbol val="circle"/>
            <c:size val="9"/>
            <c:spPr>
              <a:solidFill>
                <a:schemeClr val="accent6"/>
              </a:solidFill>
              <a:ln w="9525">
                <a:solidFill>
                  <a:schemeClr val="accent6"/>
                </a:solidFill>
              </a:ln>
              <a:effectLst/>
            </c:spPr>
          </c:marker>
          <c:xVal>
            <c:numRef>
              <c:f>Summary!$C$147:$AC$147</c:f>
              <c:numCache>
                <c:formatCode>General</c:formatCode>
                <c:ptCount val="27"/>
                <c:pt idx="0">
                  <c:v>2935</c:v>
                </c:pt>
                <c:pt idx="1">
                  <c:v>5599</c:v>
                </c:pt>
                <c:pt idx="2">
                  <c:v>5531</c:v>
                </c:pt>
                <c:pt idx="3">
                  <c:v>5689</c:v>
                </c:pt>
                <c:pt idx="4">
                  <c:v>5919</c:v>
                </c:pt>
                <c:pt idx="6">
                  <c:v>8427</c:v>
                </c:pt>
                <c:pt idx="12">
                  <c:v>13373</c:v>
                </c:pt>
                <c:pt idx="16">
                  <c:v>10119</c:v>
                </c:pt>
                <c:pt idx="17">
                  <c:v>5579</c:v>
                </c:pt>
                <c:pt idx="18">
                  <c:v>7403.5</c:v>
                </c:pt>
                <c:pt idx="20">
                  <c:v>7405</c:v>
                </c:pt>
              </c:numCache>
            </c:numRef>
          </c:xVal>
          <c:yVal>
            <c:numRef>
              <c:f>Summary!$C$33:$AC$33</c:f>
              <c:numCache>
                <c:formatCode>General</c:formatCode>
                <c:ptCount val="27"/>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pt idx="19">
                  <c:v>213.22</c:v>
                </c:pt>
                <c:pt idx="20">
                  <c:v>213.22</c:v>
                </c:pt>
                <c:pt idx="21">
                  <c:v>213.22</c:v>
                </c:pt>
                <c:pt idx="22">
                  <c:v>213.22</c:v>
                </c:pt>
                <c:pt idx="23">
                  <c:v>213.22</c:v>
                </c:pt>
                <c:pt idx="24">
                  <c:v>248</c:v>
                </c:pt>
                <c:pt idx="25">
                  <c:v>248</c:v>
                </c:pt>
                <c:pt idx="26">
                  <c:v>248</c:v>
                </c:pt>
              </c:numCache>
            </c:numRef>
          </c:yVal>
          <c:smooth val="0"/>
          <c:extLst>
            <c:ext xmlns:c16="http://schemas.microsoft.com/office/drawing/2014/chart" uri="{C3380CC4-5D6E-409C-BE32-E72D297353CC}">
              <c16:uniqueId val="{00000000-20B2-4843-8C07-DCAB431DF4CA}"/>
            </c:ext>
          </c:extLst>
        </c:ser>
        <c:ser>
          <c:idx val="1"/>
          <c:order val="3"/>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Summary!$AE$33:$BG$33</c:f>
              <c:numCache>
                <c:formatCode>General</c:formatCode>
                <c:ptCount val="29"/>
                <c:pt idx="0">
                  <c:v>208.9</c:v>
                </c:pt>
                <c:pt idx="1">
                  <c:v>208.9</c:v>
                </c:pt>
                <c:pt idx="2">
                  <c:v>208.9</c:v>
                </c:pt>
                <c:pt idx="3">
                  <c:v>208.9</c:v>
                </c:pt>
                <c:pt idx="4">
                  <c:v>208.9</c:v>
                </c:pt>
                <c:pt idx="5">
                  <c:v>208.9</c:v>
                </c:pt>
                <c:pt idx="6">
                  <c:v>208.9</c:v>
                </c:pt>
                <c:pt idx="7">
                  <c:v>208.9</c:v>
                </c:pt>
                <c:pt idx="8">
                  <c:v>208.9</c:v>
                </c:pt>
                <c:pt idx="9">
                  <c:v>208.9</c:v>
                </c:pt>
                <c:pt idx="10">
                  <c:v>208.9</c:v>
                </c:pt>
                <c:pt idx="11">
                  <c:v>208.9</c:v>
                </c:pt>
                <c:pt idx="12">
                  <c:v>208.9</c:v>
                </c:pt>
                <c:pt idx="13">
                  <c:v>260</c:v>
                </c:pt>
                <c:pt idx="14">
                  <c:v>260</c:v>
                </c:pt>
                <c:pt idx="15">
                  <c:v>260</c:v>
                </c:pt>
                <c:pt idx="16">
                  <c:v>260</c:v>
                </c:pt>
                <c:pt idx="17">
                  <c:v>260</c:v>
                </c:pt>
                <c:pt idx="18">
                  <c:v>260</c:v>
                </c:pt>
                <c:pt idx="19">
                  <c:v>314</c:v>
                </c:pt>
                <c:pt idx="20">
                  <c:v>314</c:v>
                </c:pt>
                <c:pt idx="21">
                  <c:v>314</c:v>
                </c:pt>
                <c:pt idx="22">
                  <c:v>314</c:v>
                </c:pt>
                <c:pt idx="23">
                  <c:v>334</c:v>
                </c:pt>
                <c:pt idx="24">
                  <c:v>334</c:v>
                </c:pt>
                <c:pt idx="25">
                  <c:v>334</c:v>
                </c:pt>
                <c:pt idx="26">
                  <c:v>334</c:v>
                </c:pt>
                <c:pt idx="27">
                  <c:v>334</c:v>
                </c:pt>
                <c:pt idx="28">
                  <c:v>244</c:v>
                </c:pt>
              </c:numCache>
            </c:numRef>
          </c:yVal>
          <c:smooth val="0"/>
          <c:extLst>
            <c:ext xmlns:c16="http://schemas.microsoft.com/office/drawing/2014/chart" uri="{C3380CC4-5D6E-409C-BE32-E72D297353CC}">
              <c16:uniqueId val="{00000001-20B2-4843-8C07-DCAB431DF4CA}"/>
            </c:ext>
          </c:extLst>
        </c:ser>
        <c:ser>
          <c:idx val="2"/>
          <c:order val="4"/>
          <c:tx>
            <c:v>Attack/Dive Bomber</c:v>
          </c:tx>
          <c:spPr>
            <a:ln w="25400" cap="rnd">
              <a:noFill/>
              <a:round/>
            </a:ln>
            <a:effectLst/>
          </c:spPr>
          <c:marker>
            <c:symbol val="diamond"/>
            <c:size val="9"/>
            <c:spPr>
              <a:solidFill>
                <a:srgbClr val="FF0000"/>
              </a:solidFill>
              <a:ln w="9525">
                <a:solidFill>
                  <a:srgbClr val="FF0000"/>
                </a:solidFill>
              </a:ln>
              <a:effectLst/>
            </c:spPr>
          </c:marker>
          <c:trendline>
            <c:spPr>
              <a:ln w="19050" cap="rnd">
                <a:solidFill>
                  <a:srgbClr val="FF0000"/>
                </a:solidFill>
                <a:prstDash val="sysDot"/>
              </a:ln>
              <a:effectLst/>
            </c:spPr>
            <c:trendlineType val="linear"/>
            <c:dispRSqr val="1"/>
            <c:dispEq val="1"/>
            <c:trendlineLbl>
              <c:layout>
                <c:manualLayout>
                  <c:x val="3.9738209884696701E-2"/>
                  <c:y val="-0.14492311064055088"/>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rgbClr val="FF0000"/>
                      </a:solidFill>
                      <a:latin typeface="+mn-lt"/>
                      <a:ea typeface="+mn-ea"/>
                      <a:cs typeface="+mn-cs"/>
                    </a:defRPr>
                  </a:pPr>
                  <a:endParaRPr lang="en-US"/>
                </a:p>
              </c:txPr>
            </c:trendlineLbl>
          </c:trendline>
          <c:xVal>
            <c:numRef>
              <c:f>Summary!$BI$147:$BP$147</c:f>
              <c:numCache>
                <c:formatCode>General</c:formatCode>
                <c:ptCount val="8"/>
                <c:pt idx="0">
                  <c:v>7543</c:v>
                </c:pt>
                <c:pt idx="1">
                  <c:v>9662</c:v>
                </c:pt>
                <c:pt idx="3">
                  <c:v>17929</c:v>
                </c:pt>
                <c:pt idx="4">
                  <c:v>15447</c:v>
                </c:pt>
                <c:pt idx="5">
                  <c:v>15327</c:v>
                </c:pt>
                <c:pt idx="7">
                  <c:v>16438</c:v>
                </c:pt>
              </c:numCache>
            </c:numRef>
          </c:xVal>
          <c:yVal>
            <c:numRef>
              <c:f>Summary!$BI$33:$BP$33</c:f>
              <c:numCache>
                <c:formatCode>General</c:formatCode>
                <c:ptCount val="8"/>
                <c:pt idx="0">
                  <c:v>363</c:v>
                </c:pt>
                <c:pt idx="1">
                  <c:v>323.8</c:v>
                </c:pt>
                <c:pt idx="2">
                  <c:v>335</c:v>
                </c:pt>
                <c:pt idx="3">
                  <c:v>400</c:v>
                </c:pt>
                <c:pt idx="4">
                  <c:v>422</c:v>
                </c:pt>
                <c:pt idx="5">
                  <c:v>400</c:v>
                </c:pt>
                <c:pt idx="7">
                  <c:v>490</c:v>
                </c:pt>
              </c:numCache>
            </c:numRef>
          </c:yVal>
          <c:smooth val="0"/>
          <c:extLst>
            <c:ext xmlns:c16="http://schemas.microsoft.com/office/drawing/2014/chart" uri="{C3380CC4-5D6E-409C-BE32-E72D297353CC}">
              <c16:uniqueId val="{00000002-20B2-4843-8C07-DCAB431DF4CA}"/>
            </c:ext>
          </c:extLst>
        </c:ser>
        <c:ser>
          <c:idx val="3"/>
          <c:order val="5"/>
          <c:tx>
            <c:v>Trainers</c:v>
          </c:tx>
          <c:spPr>
            <a:ln w="25400" cap="rnd">
              <a:noFill/>
              <a:round/>
            </a:ln>
            <a:effectLst/>
          </c:spPr>
          <c:marker>
            <c:symbol val="triangle"/>
            <c:size val="9"/>
            <c:spPr>
              <a:solidFill>
                <a:srgbClr val="FFC000"/>
              </a:solidFill>
              <a:ln w="9525">
                <a:solidFill>
                  <a:srgbClr val="FFC000"/>
                </a:solidFill>
              </a:ln>
              <a:effectLst/>
            </c:spPr>
          </c:marker>
          <c:xVal>
            <c:numRef>
              <c:f>Summary!$BR$147:$BZ$147</c:f>
              <c:numCache>
                <c:formatCode>General</c:formatCode>
                <c:ptCount val="9"/>
                <c:pt idx="0">
                  <c:v>2409</c:v>
                </c:pt>
                <c:pt idx="1">
                  <c:v>1835</c:v>
                </c:pt>
                <c:pt idx="2">
                  <c:v>4124</c:v>
                </c:pt>
                <c:pt idx="3">
                  <c:v>4442</c:v>
                </c:pt>
                <c:pt idx="4">
                  <c:v>9769</c:v>
                </c:pt>
                <c:pt idx="5">
                  <c:v>4212</c:v>
                </c:pt>
                <c:pt idx="6">
                  <c:v>5221</c:v>
                </c:pt>
                <c:pt idx="7">
                  <c:v>5212</c:v>
                </c:pt>
                <c:pt idx="8">
                  <c:v>5265</c:v>
                </c:pt>
              </c:numCache>
            </c:numRef>
          </c:xVal>
          <c:yVal>
            <c:numRef>
              <c:f>Summary!$BR$33:$BZ$33</c:f>
              <c:numCache>
                <c:formatCode>General</c:formatCode>
                <c:ptCount val="9"/>
                <c:pt idx="0">
                  <c:v>200</c:v>
                </c:pt>
                <c:pt idx="1">
                  <c:v>124</c:v>
                </c:pt>
                <c:pt idx="2">
                  <c:v>220</c:v>
                </c:pt>
                <c:pt idx="3">
                  <c:v>248</c:v>
                </c:pt>
                <c:pt idx="4">
                  <c:v>240.42</c:v>
                </c:pt>
                <c:pt idx="5">
                  <c:v>239</c:v>
                </c:pt>
                <c:pt idx="6">
                  <c:v>225</c:v>
                </c:pt>
                <c:pt idx="7">
                  <c:v>258.10000000000002</c:v>
                </c:pt>
                <c:pt idx="8">
                  <c:v>253.73</c:v>
                </c:pt>
              </c:numCache>
            </c:numRef>
          </c:yVal>
          <c:smooth val="0"/>
          <c:extLst>
            <c:ext xmlns:c16="http://schemas.microsoft.com/office/drawing/2014/chart" uri="{C3380CC4-5D6E-409C-BE32-E72D297353CC}">
              <c16:uniqueId val="{00000003-20B2-4843-8C07-DCAB431DF4CA}"/>
            </c:ext>
          </c:extLst>
        </c:ser>
        <c:ser>
          <c:idx val="6"/>
          <c:order val="6"/>
          <c:tx>
            <c:v>Trainer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Summary!$CA$128</c:f>
              <c:numCache>
                <c:formatCode>General</c:formatCode>
                <c:ptCount val="1"/>
                <c:pt idx="0">
                  <c:v>688</c:v>
                </c:pt>
              </c:numCache>
            </c:numRef>
          </c:xVal>
          <c:yVal>
            <c:numRef>
              <c:f>Summary!$CA$33</c:f>
              <c:numCache>
                <c:formatCode>General</c:formatCode>
                <c:ptCount val="1"/>
                <c:pt idx="0">
                  <c:v>298</c:v>
                </c:pt>
              </c:numCache>
            </c:numRef>
          </c:yVal>
          <c:smooth val="0"/>
          <c:extLst>
            <c:ext xmlns:c16="http://schemas.microsoft.com/office/drawing/2014/chart" uri="{C3380CC4-5D6E-409C-BE32-E72D297353CC}">
              <c16:uniqueId val="{00000002-3F61-482C-95EA-ED6107BCAF2D}"/>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 (sq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egendEntry>
        <c:idx val="1"/>
        <c:delete val="1"/>
      </c:legendEntry>
      <c:layout>
        <c:manualLayout>
          <c:xMode val="edge"/>
          <c:yMode val="edge"/>
          <c:x val="0.10166212572773514"/>
          <c:y val="0.11069641294838146"/>
          <c:w val="0.2028918423126056"/>
          <c:h val="0.238598523651774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Wing Wt/sq ft vs Basic Gross Mission Wt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6"/>
          <c:order val="0"/>
          <c:tx>
            <c:v>All</c:v>
          </c:tx>
          <c:spPr>
            <a:ln w="25400" cap="rnd">
              <a:noFill/>
              <a:round/>
            </a:ln>
            <a:effectLst/>
          </c:spPr>
          <c:marker>
            <c:symbol val="dot"/>
            <c:size val="2"/>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0.10431897807454672"/>
                  <c:y val="-1.2123817562382495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Summary!$C$147:$BZ$147</c:f>
              <c:numCache>
                <c:formatCode>General</c:formatCode>
                <c:ptCount val="76"/>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numCache>
            </c:numRef>
          </c:xVal>
          <c:yVal>
            <c:numRef>
              <c:f>Summary!$C$172:$BZ$172</c:f>
              <c:numCache>
                <c:formatCode>0.00</c:formatCode>
                <c:ptCount val="76"/>
                <c:pt idx="0">
                  <c:v>2.7491638795986622</c:v>
                </c:pt>
                <c:pt idx="1">
                  <c:v>3.5681818181818183</c:v>
                </c:pt>
                <c:pt idx="2">
                  <c:v>3.4491525423728815</c:v>
                </c:pt>
                <c:pt idx="3">
                  <c:v>3.5677966101694913</c:v>
                </c:pt>
                <c:pt idx="4">
                  <c:v>3.5381355932203391</c:v>
                </c:pt>
                <c:pt idx="5">
                  <c:v>4.7711864406779663</c:v>
                </c:pt>
                <c:pt idx="6">
                  <c:v>4.6822033898305087</c:v>
                </c:pt>
                <c:pt idx="7">
                  <c:v>4.7966101694915251</c:v>
                </c:pt>
                <c:pt idx="8">
                  <c:v>4.7457627118644066</c:v>
                </c:pt>
                <c:pt idx="9">
                  <c:v>4.7711864406779663</c:v>
                </c:pt>
                <c:pt idx="10">
                  <c:v>4.7542372881355934</c:v>
                </c:pt>
                <c:pt idx="11">
                  <c:v>4.7923728813559325</c:v>
                </c:pt>
                <c:pt idx="12">
                  <c:v>5.85</c:v>
                </c:pt>
                <c:pt idx="13">
                  <c:v>4.8653333333333331</c:v>
                </c:pt>
                <c:pt idx="14">
                  <c:v>4.8246666666666673</c:v>
                </c:pt>
                <c:pt idx="15">
                  <c:v>4.5713795617307778</c:v>
                </c:pt>
                <c:pt idx="16">
                  <c:v>4.351694915254237</c:v>
                </c:pt>
                <c:pt idx="17">
                  <c:v>3.0303030303030303</c:v>
                </c:pt>
                <c:pt idx="19">
                  <c:v>4.383266110121002</c:v>
                </c:pt>
                <c:pt idx="20">
                  <c:v>4.3335521996060411</c:v>
                </c:pt>
                <c:pt idx="21">
                  <c:v>4.3813901134977957</c:v>
                </c:pt>
                <c:pt idx="23">
                  <c:v>4.3616921489541323</c:v>
                </c:pt>
                <c:pt idx="24">
                  <c:v>4.1411290322580649</c:v>
                </c:pt>
                <c:pt idx="25">
                  <c:v>4.5951612903225802</c:v>
                </c:pt>
                <c:pt idx="26">
                  <c:v>4.645161290322581</c:v>
                </c:pt>
                <c:pt idx="28">
                  <c:v>3.3438008616562946</c:v>
                </c:pt>
                <c:pt idx="29">
                  <c:v>3.5385351842987078</c:v>
                </c:pt>
                <c:pt idx="30">
                  <c:v>3.5078985160363807</c:v>
                </c:pt>
                <c:pt idx="32">
                  <c:v>3.4609861177596937</c:v>
                </c:pt>
                <c:pt idx="33">
                  <c:v>4.168980373384394</c:v>
                </c:pt>
                <c:pt idx="34">
                  <c:v>3.8822403063666826</c:v>
                </c:pt>
                <c:pt idx="35">
                  <c:v>4.0449976065102922</c:v>
                </c:pt>
                <c:pt idx="36">
                  <c:v>3.532790808999521</c:v>
                </c:pt>
                <c:pt idx="37">
                  <c:v>3.6299664911440876</c:v>
                </c:pt>
                <c:pt idx="38">
                  <c:v>3.3580660603159407</c:v>
                </c:pt>
                <c:pt idx="39">
                  <c:v>4.14983245572044</c:v>
                </c:pt>
                <c:pt idx="40">
                  <c:v>4.037817137386309</c:v>
                </c:pt>
                <c:pt idx="41">
                  <c:v>3.4346153846153844</c:v>
                </c:pt>
                <c:pt idx="42">
                  <c:v>3.3923076923076922</c:v>
                </c:pt>
                <c:pt idx="43">
                  <c:v>4.5423076923076922</c:v>
                </c:pt>
                <c:pt idx="44">
                  <c:v>4.3038461538461537</c:v>
                </c:pt>
                <c:pt idx="45">
                  <c:v>4.5423076923076922</c:v>
                </c:pt>
                <c:pt idx="46">
                  <c:v>4.4384615384615387</c:v>
                </c:pt>
                <c:pt idx="47">
                  <c:v>6.757006369426751</c:v>
                </c:pt>
                <c:pt idx="48">
                  <c:v>6.8308917197452228</c:v>
                </c:pt>
                <c:pt idx="49">
                  <c:v>6.9426751592356686</c:v>
                </c:pt>
                <c:pt idx="50">
                  <c:v>6.9601910828025479</c:v>
                </c:pt>
                <c:pt idx="51">
                  <c:v>6.0613772455089823</c:v>
                </c:pt>
                <c:pt idx="52">
                  <c:v>6.0092814371257486</c:v>
                </c:pt>
                <c:pt idx="53">
                  <c:v>6.1071856287425152</c:v>
                </c:pt>
                <c:pt idx="54">
                  <c:v>6.0479041916167668</c:v>
                </c:pt>
                <c:pt idx="55">
                  <c:v>6.11377245508982</c:v>
                </c:pt>
                <c:pt idx="56">
                  <c:v>4.6803278688524594</c:v>
                </c:pt>
                <c:pt idx="58">
                  <c:v>2.8787878787878789</c:v>
                </c:pt>
                <c:pt idx="59">
                  <c:v>4.0210006176652255</c:v>
                </c:pt>
                <c:pt idx="60">
                  <c:v>6.4853731343283583</c:v>
                </c:pt>
                <c:pt idx="61">
                  <c:v>6.4725000000000001</c:v>
                </c:pt>
                <c:pt idx="62">
                  <c:v>7.1516587677725116</c:v>
                </c:pt>
                <c:pt idx="63">
                  <c:v>5.0274999999999999</c:v>
                </c:pt>
                <c:pt idx="65">
                  <c:v>5.0571428571428569</c:v>
                </c:pt>
                <c:pt idx="67">
                  <c:v>2.4900000000000002</c:v>
                </c:pt>
                <c:pt idx="68">
                  <c:v>2.3548387096774195</c:v>
                </c:pt>
                <c:pt idx="69">
                  <c:v>2.7727272727272729</c:v>
                </c:pt>
                <c:pt idx="70">
                  <c:v>2.6733870967741935</c:v>
                </c:pt>
                <c:pt idx="71">
                  <c:v>3.0685883038016804</c:v>
                </c:pt>
                <c:pt idx="72">
                  <c:v>2.9707112970711296</c:v>
                </c:pt>
                <c:pt idx="73">
                  <c:v>3.1822222222222223</c:v>
                </c:pt>
                <c:pt idx="74">
                  <c:v>2.8787291747384733</c:v>
                </c:pt>
                <c:pt idx="75">
                  <c:v>2.975603988491704</c:v>
                </c:pt>
              </c:numCache>
            </c:numRef>
          </c:yVal>
          <c:smooth val="0"/>
          <c:extLst>
            <c:ext xmlns:c16="http://schemas.microsoft.com/office/drawing/2014/chart" uri="{C3380CC4-5D6E-409C-BE32-E72D297353CC}">
              <c16:uniqueId val="{00000001-74D8-41DE-B5E9-942CC2191998}"/>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Summary!$C$147:$AC$147</c:f>
              <c:numCache>
                <c:formatCode>General</c:formatCode>
                <c:ptCount val="27"/>
                <c:pt idx="0">
                  <c:v>2935</c:v>
                </c:pt>
                <c:pt idx="1">
                  <c:v>5599</c:v>
                </c:pt>
                <c:pt idx="2">
                  <c:v>5531</c:v>
                </c:pt>
                <c:pt idx="3">
                  <c:v>5689</c:v>
                </c:pt>
                <c:pt idx="4">
                  <c:v>5919</c:v>
                </c:pt>
                <c:pt idx="6">
                  <c:v>8427</c:v>
                </c:pt>
                <c:pt idx="12">
                  <c:v>13373</c:v>
                </c:pt>
                <c:pt idx="16">
                  <c:v>10119</c:v>
                </c:pt>
                <c:pt idx="17">
                  <c:v>5579</c:v>
                </c:pt>
                <c:pt idx="18">
                  <c:v>7403.5</c:v>
                </c:pt>
                <c:pt idx="20">
                  <c:v>7405</c:v>
                </c:pt>
              </c:numCache>
            </c:numRef>
          </c:xVal>
          <c:yVal>
            <c:numRef>
              <c:f>Summary!$C$172:$AC$172</c:f>
              <c:numCache>
                <c:formatCode>0.00</c:formatCode>
                <c:ptCount val="27"/>
                <c:pt idx="0">
                  <c:v>2.7491638795986622</c:v>
                </c:pt>
                <c:pt idx="1">
                  <c:v>3.5681818181818183</c:v>
                </c:pt>
                <c:pt idx="2">
                  <c:v>3.4491525423728815</c:v>
                </c:pt>
                <c:pt idx="3">
                  <c:v>3.5677966101694913</c:v>
                </c:pt>
                <c:pt idx="4">
                  <c:v>3.5381355932203391</c:v>
                </c:pt>
                <c:pt idx="5">
                  <c:v>4.7711864406779663</c:v>
                </c:pt>
                <c:pt idx="6">
                  <c:v>4.6822033898305087</c:v>
                </c:pt>
                <c:pt idx="7">
                  <c:v>4.7966101694915251</c:v>
                </c:pt>
                <c:pt idx="8">
                  <c:v>4.7457627118644066</c:v>
                </c:pt>
                <c:pt idx="9">
                  <c:v>4.7711864406779663</c:v>
                </c:pt>
                <c:pt idx="10">
                  <c:v>4.7542372881355934</c:v>
                </c:pt>
                <c:pt idx="11">
                  <c:v>4.7923728813559325</c:v>
                </c:pt>
                <c:pt idx="12">
                  <c:v>5.85</c:v>
                </c:pt>
                <c:pt idx="13">
                  <c:v>4.8653333333333331</c:v>
                </c:pt>
                <c:pt idx="14">
                  <c:v>4.8246666666666673</c:v>
                </c:pt>
                <c:pt idx="15">
                  <c:v>4.5713795617307778</c:v>
                </c:pt>
                <c:pt idx="16">
                  <c:v>4.351694915254237</c:v>
                </c:pt>
                <c:pt idx="17">
                  <c:v>3.0303030303030303</c:v>
                </c:pt>
                <c:pt idx="19">
                  <c:v>4.383266110121002</c:v>
                </c:pt>
                <c:pt idx="20">
                  <c:v>4.3335521996060411</c:v>
                </c:pt>
                <c:pt idx="21">
                  <c:v>4.3813901134977957</c:v>
                </c:pt>
                <c:pt idx="23">
                  <c:v>4.3616921489541323</c:v>
                </c:pt>
                <c:pt idx="24">
                  <c:v>4.1411290322580649</c:v>
                </c:pt>
                <c:pt idx="25">
                  <c:v>4.5951612903225802</c:v>
                </c:pt>
                <c:pt idx="26">
                  <c:v>4.645161290322581</c:v>
                </c:pt>
              </c:numCache>
            </c:numRef>
          </c:yVal>
          <c:smooth val="0"/>
          <c:extLst>
            <c:ext xmlns:c16="http://schemas.microsoft.com/office/drawing/2014/chart" uri="{C3380CC4-5D6E-409C-BE32-E72D297353CC}">
              <c16:uniqueId val="{00000000-695C-4EAA-8349-C4CCFA8131A8}"/>
            </c:ext>
          </c:extLst>
        </c:ser>
        <c:ser>
          <c:idx val="1"/>
          <c:order val="2"/>
          <c:tx>
            <c:v>Fighter (USN) Non-Folding</c:v>
          </c:tx>
          <c:spPr>
            <a:ln w="25400" cap="rnd">
              <a:noFill/>
              <a:round/>
            </a:ln>
            <a:effectLst/>
          </c:spPr>
          <c:marker>
            <c:symbol val="square"/>
            <c:size val="9"/>
            <c:spPr>
              <a:solidFill>
                <a:srgbClr val="0070C0"/>
              </a:solidFill>
              <a:ln w="9525">
                <a:solidFill>
                  <a:srgbClr val="0070C0"/>
                </a:solidFill>
              </a:ln>
              <a:effectLst/>
            </c:spPr>
          </c:marker>
          <c:xVal>
            <c:numRef>
              <c:f>Summary!$AE$147:$AS$147</c:f>
              <c:numCache>
                <c:formatCode>General</c:formatCode>
                <c:ptCount val="15"/>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numCache>
            </c:numRef>
          </c:xVal>
          <c:yVal>
            <c:numRef>
              <c:f>Summary!$AE$172:$AS$172</c:f>
              <c:numCache>
                <c:formatCode>0.00</c:formatCode>
                <c:ptCount val="15"/>
                <c:pt idx="0">
                  <c:v>3.3438008616562946</c:v>
                </c:pt>
                <c:pt idx="1">
                  <c:v>3.5385351842987078</c:v>
                </c:pt>
                <c:pt idx="2">
                  <c:v>3.5078985160363807</c:v>
                </c:pt>
                <c:pt idx="4">
                  <c:v>3.4609861177596937</c:v>
                </c:pt>
                <c:pt idx="5">
                  <c:v>4.168980373384394</c:v>
                </c:pt>
                <c:pt idx="6">
                  <c:v>3.8822403063666826</c:v>
                </c:pt>
                <c:pt idx="7">
                  <c:v>4.0449976065102922</c:v>
                </c:pt>
                <c:pt idx="8">
                  <c:v>3.532790808999521</c:v>
                </c:pt>
                <c:pt idx="9">
                  <c:v>3.6299664911440876</c:v>
                </c:pt>
                <c:pt idx="10">
                  <c:v>3.3580660603159407</c:v>
                </c:pt>
                <c:pt idx="11">
                  <c:v>4.14983245572044</c:v>
                </c:pt>
                <c:pt idx="12">
                  <c:v>4.037817137386309</c:v>
                </c:pt>
                <c:pt idx="13">
                  <c:v>3.4346153846153844</c:v>
                </c:pt>
                <c:pt idx="14">
                  <c:v>3.3923076923076922</c:v>
                </c:pt>
              </c:numCache>
            </c:numRef>
          </c:yVal>
          <c:smooth val="0"/>
          <c:extLst>
            <c:ext xmlns:c16="http://schemas.microsoft.com/office/drawing/2014/chart" uri="{C3380CC4-5D6E-409C-BE32-E72D297353CC}">
              <c16:uniqueId val="{00000001-695C-4EAA-8349-C4CCFA8131A8}"/>
            </c:ext>
          </c:extLst>
        </c:ser>
        <c:ser>
          <c:idx val="4"/>
          <c:order val="3"/>
          <c:tx>
            <c:v>Fighter (USN) Folding</c:v>
          </c:tx>
          <c:spPr>
            <a:ln w="25400" cap="rnd">
              <a:noFill/>
              <a:round/>
            </a:ln>
            <a:effectLst/>
          </c:spPr>
          <c:marker>
            <c:symbol val="square"/>
            <c:size val="9"/>
            <c:spPr>
              <a:solidFill>
                <a:schemeClr val="bg1"/>
              </a:solidFill>
              <a:ln w="25400">
                <a:solidFill>
                  <a:srgbClr val="0070C0"/>
                </a:solidFill>
              </a:ln>
              <a:effectLst/>
            </c:spPr>
          </c:marker>
          <c:xVal>
            <c:numRef>
              <c:f>Summary!$AT$147:$BG$147</c:f>
              <c:numCache>
                <c:formatCode>General</c:formatCode>
                <c:ptCount val="14"/>
                <c:pt idx="1">
                  <c:v>7879</c:v>
                </c:pt>
                <c:pt idx="2">
                  <c:v>7426</c:v>
                </c:pt>
                <c:pt idx="4">
                  <c:v>11142.599999999999</c:v>
                </c:pt>
                <c:pt idx="5">
                  <c:v>11343.2</c:v>
                </c:pt>
                <c:pt idx="6">
                  <c:v>12250</c:v>
                </c:pt>
                <c:pt idx="7">
                  <c:v>12404.800000000001</c:v>
                </c:pt>
                <c:pt idx="9">
                  <c:v>11505.6</c:v>
                </c:pt>
                <c:pt idx="11">
                  <c:v>12263</c:v>
                </c:pt>
                <c:pt idx="12">
                  <c:v>12492</c:v>
                </c:pt>
                <c:pt idx="13">
                  <c:v>9175</c:v>
                </c:pt>
              </c:numCache>
            </c:numRef>
          </c:xVal>
          <c:yVal>
            <c:numRef>
              <c:f>Summary!$AT$172:$BG$172</c:f>
              <c:numCache>
                <c:formatCode>0.00</c:formatCode>
                <c:ptCount val="14"/>
                <c:pt idx="0">
                  <c:v>4.5423076923076922</c:v>
                </c:pt>
                <c:pt idx="1">
                  <c:v>4.3038461538461537</c:v>
                </c:pt>
                <c:pt idx="2">
                  <c:v>4.5423076923076922</c:v>
                </c:pt>
                <c:pt idx="3">
                  <c:v>4.4384615384615387</c:v>
                </c:pt>
                <c:pt idx="4">
                  <c:v>6.757006369426751</c:v>
                </c:pt>
                <c:pt idx="5">
                  <c:v>6.8308917197452228</c:v>
                </c:pt>
                <c:pt idx="6">
                  <c:v>6.9426751592356686</c:v>
                </c:pt>
                <c:pt idx="7">
                  <c:v>6.9601910828025479</c:v>
                </c:pt>
                <c:pt idx="8">
                  <c:v>6.0613772455089823</c:v>
                </c:pt>
                <c:pt idx="9">
                  <c:v>6.0092814371257486</c:v>
                </c:pt>
                <c:pt idx="10">
                  <c:v>6.1071856287425152</c:v>
                </c:pt>
                <c:pt idx="11">
                  <c:v>6.0479041916167668</c:v>
                </c:pt>
                <c:pt idx="12">
                  <c:v>6.11377245508982</c:v>
                </c:pt>
                <c:pt idx="13">
                  <c:v>4.6803278688524594</c:v>
                </c:pt>
              </c:numCache>
            </c:numRef>
          </c:yVal>
          <c:smooth val="0"/>
          <c:extLst>
            <c:ext xmlns:c16="http://schemas.microsoft.com/office/drawing/2014/chart" uri="{C3380CC4-5D6E-409C-BE32-E72D297353CC}">
              <c16:uniqueId val="{00000004-695C-4EAA-8349-C4CCFA8131A8}"/>
            </c:ext>
          </c:extLst>
        </c:ser>
        <c:ser>
          <c:idx val="2"/>
          <c:order val="4"/>
          <c:tx>
            <c:v>Attack/Dive Bomber Non-Folding</c:v>
          </c:tx>
          <c:spPr>
            <a:ln w="25400" cap="rnd">
              <a:noFill/>
              <a:round/>
            </a:ln>
            <a:effectLst/>
          </c:spPr>
          <c:marker>
            <c:symbol val="diamond"/>
            <c:size val="9"/>
            <c:spPr>
              <a:solidFill>
                <a:srgbClr val="FF0000"/>
              </a:solidFill>
              <a:ln w="9525">
                <a:solidFill>
                  <a:srgbClr val="FF0000"/>
                </a:solidFill>
              </a:ln>
              <a:effectLst/>
            </c:spPr>
          </c:marker>
          <c:xVal>
            <c:numRef>
              <c:f>Summary!$BI$147:$BJ$147</c:f>
              <c:numCache>
                <c:formatCode>General</c:formatCode>
                <c:ptCount val="2"/>
                <c:pt idx="0">
                  <c:v>7543</c:v>
                </c:pt>
                <c:pt idx="1">
                  <c:v>9662</c:v>
                </c:pt>
              </c:numCache>
            </c:numRef>
          </c:xVal>
          <c:yVal>
            <c:numRef>
              <c:f>Summary!$BI$172:$BJ$172</c:f>
              <c:numCache>
                <c:formatCode>0.00</c:formatCode>
                <c:ptCount val="2"/>
                <c:pt idx="0">
                  <c:v>2.8787878787878789</c:v>
                </c:pt>
                <c:pt idx="1">
                  <c:v>4.0210006176652255</c:v>
                </c:pt>
              </c:numCache>
            </c:numRef>
          </c:yVal>
          <c:smooth val="0"/>
          <c:extLst>
            <c:ext xmlns:c16="http://schemas.microsoft.com/office/drawing/2014/chart" uri="{C3380CC4-5D6E-409C-BE32-E72D297353CC}">
              <c16:uniqueId val="{00000002-695C-4EAA-8349-C4CCFA8131A8}"/>
            </c:ext>
          </c:extLst>
        </c:ser>
        <c:ser>
          <c:idx val="5"/>
          <c:order val="5"/>
          <c:tx>
            <c:v>Attack/Dive &amp; Torp Bomber Folding</c:v>
          </c:tx>
          <c:spPr>
            <a:ln w="25400" cap="rnd">
              <a:noFill/>
              <a:round/>
            </a:ln>
            <a:effectLst/>
          </c:spPr>
          <c:marker>
            <c:symbol val="diamond"/>
            <c:size val="10"/>
            <c:spPr>
              <a:solidFill>
                <a:schemeClr val="bg1"/>
              </a:solidFill>
              <a:ln w="25400">
                <a:solidFill>
                  <a:srgbClr val="FF0000"/>
                </a:solidFill>
              </a:ln>
              <a:effectLst/>
            </c:spPr>
          </c:marker>
          <c:xVal>
            <c:numRef>
              <c:f>Summary!$BL$147:$BP$147</c:f>
              <c:numCache>
                <c:formatCode>General</c:formatCode>
                <c:ptCount val="5"/>
                <c:pt idx="0">
                  <c:v>17929</c:v>
                </c:pt>
                <c:pt idx="1">
                  <c:v>15447</c:v>
                </c:pt>
                <c:pt idx="2">
                  <c:v>15327</c:v>
                </c:pt>
                <c:pt idx="4">
                  <c:v>16438</c:v>
                </c:pt>
              </c:numCache>
            </c:numRef>
          </c:xVal>
          <c:yVal>
            <c:numRef>
              <c:f>Summary!$BL$172:$BP$172</c:f>
              <c:numCache>
                <c:formatCode>0.00</c:formatCode>
                <c:ptCount val="5"/>
                <c:pt idx="0">
                  <c:v>6.4725000000000001</c:v>
                </c:pt>
                <c:pt idx="1">
                  <c:v>7.1516587677725116</c:v>
                </c:pt>
                <c:pt idx="2">
                  <c:v>5.0274999999999999</c:v>
                </c:pt>
                <c:pt idx="4">
                  <c:v>5.0571428571428569</c:v>
                </c:pt>
              </c:numCache>
            </c:numRef>
          </c:yVal>
          <c:smooth val="0"/>
          <c:extLst>
            <c:ext xmlns:c16="http://schemas.microsoft.com/office/drawing/2014/chart" uri="{C3380CC4-5D6E-409C-BE32-E72D297353CC}">
              <c16:uniqueId val="{00000005-695C-4EAA-8349-C4CCFA8131A8}"/>
            </c:ext>
          </c:extLst>
        </c:ser>
        <c:ser>
          <c:idx val="3"/>
          <c:order val="6"/>
          <c:tx>
            <c:v>Trainers</c:v>
          </c:tx>
          <c:spPr>
            <a:ln w="25400" cap="rnd">
              <a:noFill/>
              <a:round/>
            </a:ln>
            <a:effectLst/>
          </c:spPr>
          <c:marker>
            <c:symbol val="triangle"/>
            <c:size val="9"/>
            <c:spPr>
              <a:solidFill>
                <a:srgbClr val="FFC000"/>
              </a:solidFill>
              <a:ln w="9525">
                <a:solidFill>
                  <a:srgbClr val="FFC000"/>
                </a:solidFill>
              </a:ln>
              <a:effectLst/>
            </c:spPr>
          </c:marker>
          <c:xVal>
            <c:numRef>
              <c:f>Summary!$BR$147:$BZ$147</c:f>
              <c:numCache>
                <c:formatCode>General</c:formatCode>
                <c:ptCount val="9"/>
                <c:pt idx="0">
                  <c:v>2409</c:v>
                </c:pt>
                <c:pt idx="1">
                  <c:v>1835</c:v>
                </c:pt>
                <c:pt idx="2">
                  <c:v>4124</c:v>
                </c:pt>
                <c:pt idx="3">
                  <c:v>4442</c:v>
                </c:pt>
                <c:pt idx="4">
                  <c:v>9769</c:v>
                </c:pt>
                <c:pt idx="5">
                  <c:v>4212</c:v>
                </c:pt>
                <c:pt idx="6">
                  <c:v>5221</c:v>
                </c:pt>
                <c:pt idx="7">
                  <c:v>5212</c:v>
                </c:pt>
                <c:pt idx="8">
                  <c:v>5265</c:v>
                </c:pt>
              </c:numCache>
            </c:numRef>
          </c:xVal>
          <c:yVal>
            <c:numRef>
              <c:f>Summary!$BR$172:$BZ$172</c:f>
              <c:numCache>
                <c:formatCode>0.00</c:formatCode>
                <c:ptCount val="9"/>
                <c:pt idx="0">
                  <c:v>2.4900000000000002</c:v>
                </c:pt>
                <c:pt idx="1">
                  <c:v>2.3548387096774195</c:v>
                </c:pt>
                <c:pt idx="2">
                  <c:v>2.7727272727272729</c:v>
                </c:pt>
                <c:pt idx="3">
                  <c:v>2.6733870967741935</c:v>
                </c:pt>
                <c:pt idx="4">
                  <c:v>3.0685883038016804</c:v>
                </c:pt>
                <c:pt idx="5">
                  <c:v>2.9707112970711296</c:v>
                </c:pt>
                <c:pt idx="6">
                  <c:v>3.1822222222222223</c:v>
                </c:pt>
                <c:pt idx="7">
                  <c:v>2.8787291747384733</c:v>
                </c:pt>
                <c:pt idx="8">
                  <c:v>2.975603988491704</c:v>
                </c:pt>
              </c:numCache>
            </c:numRef>
          </c:yVal>
          <c:smooth val="0"/>
          <c:extLst>
            <c:ext xmlns:c16="http://schemas.microsoft.com/office/drawing/2014/chart" uri="{C3380CC4-5D6E-409C-BE32-E72D297353CC}">
              <c16:uniqueId val="{00000003-695C-4EAA-8349-C4CCFA8131A8}"/>
            </c:ext>
          </c:extLst>
        </c:ser>
        <c:ser>
          <c:idx val="7"/>
          <c:order val="7"/>
          <c:tx>
            <c:v>Trainer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Summary!$CA$147</c:f>
              <c:numCache>
                <c:formatCode>General</c:formatCode>
                <c:ptCount val="1"/>
                <c:pt idx="0">
                  <c:v>2634</c:v>
                </c:pt>
              </c:numCache>
            </c:numRef>
          </c:xVal>
          <c:yVal>
            <c:numRef>
              <c:f>Summary!$CA$172</c:f>
              <c:numCache>
                <c:formatCode>0.00</c:formatCode>
                <c:ptCount val="1"/>
                <c:pt idx="0">
                  <c:v>1.4899328859060403</c:v>
                </c:pt>
              </c:numCache>
            </c:numRef>
          </c:yVal>
          <c:smooth val="0"/>
          <c:extLst>
            <c:ext xmlns:c16="http://schemas.microsoft.com/office/drawing/2014/chart" uri="{C3380CC4-5D6E-409C-BE32-E72D297353CC}">
              <c16:uniqueId val="{00000001-522F-4576-A99B-E9D52655B557}"/>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 Mission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Specific</a:t>
                </a:r>
                <a:r>
                  <a:rPr lang="en-US" baseline="0"/>
                  <a:t> Wt (lb/sq ft)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23680888915162529"/>
          <c:h val="0.27268402703059913"/>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Wing Wt/sq ft vs Engine Rated Take-Off Power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6"/>
          <c:order val="0"/>
          <c:tx>
            <c:v>All</c:v>
          </c:tx>
          <c:spPr>
            <a:ln w="25400" cap="rnd">
              <a:noFill/>
              <a:round/>
            </a:ln>
            <a:effectLst/>
          </c:spPr>
          <c:marker>
            <c:symbol val="dot"/>
            <c:size val="2"/>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1"/>
            <c:dispEq val="1"/>
            <c:trendlineLbl>
              <c:layout>
                <c:manualLayout>
                  <c:x val="-3.5061605009315336E-2"/>
                  <c:y val="-4.1553446729015363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Summary!$C$17:$BZ$17</c:f>
              <c:numCache>
                <c:formatCode>General</c:formatCode>
                <c:ptCount val="76"/>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numCache>
            </c:numRef>
          </c:xVal>
          <c:yVal>
            <c:numRef>
              <c:f>Summary!$C$172:$BZ$172</c:f>
              <c:numCache>
                <c:formatCode>0.00</c:formatCode>
                <c:ptCount val="76"/>
                <c:pt idx="0">
                  <c:v>2.7491638795986622</c:v>
                </c:pt>
                <c:pt idx="1">
                  <c:v>3.5681818181818183</c:v>
                </c:pt>
                <c:pt idx="2">
                  <c:v>3.4491525423728815</c:v>
                </c:pt>
                <c:pt idx="3">
                  <c:v>3.5677966101694913</c:v>
                </c:pt>
                <c:pt idx="4">
                  <c:v>3.5381355932203391</c:v>
                </c:pt>
                <c:pt idx="5">
                  <c:v>4.7711864406779663</c:v>
                </c:pt>
                <c:pt idx="6">
                  <c:v>4.6822033898305087</c:v>
                </c:pt>
                <c:pt idx="7">
                  <c:v>4.7966101694915251</c:v>
                </c:pt>
                <c:pt idx="8">
                  <c:v>4.7457627118644066</c:v>
                </c:pt>
                <c:pt idx="9">
                  <c:v>4.7711864406779663</c:v>
                </c:pt>
                <c:pt idx="10">
                  <c:v>4.7542372881355934</c:v>
                </c:pt>
                <c:pt idx="11">
                  <c:v>4.7923728813559325</c:v>
                </c:pt>
                <c:pt idx="12">
                  <c:v>5.85</c:v>
                </c:pt>
                <c:pt idx="13">
                  <c:v>4.8653333333333331</c:v>
                </c:pt>
                <c:pt idx="14">
                  <c:v>4.8246666666666673</c:v>
                </c:pt>
                <c:pt idx="15">
                  <c:v>4.5713795617307778</c:v>
                </c:pt>
                <c:pt idx="16">
                  <c:v>4.351694915254237</c:v>
                </c:pt>
                <c:pt idx="17">
                  <c:v>3.0303030303030303</c:v>
                </c:pt>
                <c:pt idx="19">
                  <c:v>4.383266110121002</c:v>
                </c:pt>
                <c:pt idx="20">
                  <c:v>4.3335521996060411</c:v>
                </c:pt>
                <c:pt idx="21">
                  <c:v>4.3813901134977957</c:v>
                </c:pt>
                <c:pt idx="23">
                  <c:v>4.3616921489541323</c:v>
                </c:pt>
                <c:pt idx="24">
                  <c:v>4.1411290322580649</c:v>
                </c:pt>
                <c:pt idx="25">
                  <c:v>4.5951612903225802</c:v>
                </c:pt>
                <c:pt idx="26">
                  <c:v>4.645161290322581</c:v>
                </c:pt>
                <c:pt idx="28">
                  <c:v>3.3438008616562946</c:v>
                </c:pt>
                <c:pt idx="29">
                  <c:v>3.5385351842987078</c:v>
                </c:pt>
                <c:pt idx="30">
                  <c:v>3.5078985160363807</c:v>
                </c:pt>
                <c:pt idx="32">
                  <c:v>3.4609861177596937</c:v>
                </c:pt>
                <c:pt idx="33">
                  <c:v>4.168980373384394</c:v>
                </c:pt>
                <c:pt idx="34">
                  <c:v>3.8822403063666826</c:v>
                </c:pt>
                <c:pt idx="35">
                  <c:v>4.0449976065102922</c:v>
                </c:pt>
                <c:pt idx="36">
                  <c:v>3.532790808999521</c:v>
                </c:pt>
                <c:pt idx="37">
                  <c:v>3.6299664911440876</c:v>
                </c:pt>
                <c:pt idx="38">
                  <c:v>3.3580660603159407</c:v>
                </c:pt>
                <c:pt idx="39">
                  <c:v>4.14983245572044</c:v>
                </c:pt>
                <c:pt idx="40">
                  <c:v>4.037817137386309</c:v>
                </c:pt>
                <c:pt idx="41">
                  <c:v>3.4346153846153844</c:v>
                </c:pt>
                <c:pt idx="42">
                  <c:v>3.3923076923076922</c:v>
                </c:pt>
                <c:pt idx="43">
                  <c:v>4.5423076923076922</c:v>
                </c:pt>
                <c:pt idx="44">
                  <c:v>4.3038461538461537</c:v>
                </c:pt>
                <c:pt idx="45">
                  <c:v>4.5423076923076922</c:v>
                </c:pt>
                <c:pt idx="46">
                  <c:v>4.4384615384615387</c:v>
                </c:pt>
                <c:pt idx="47">
                  <c:v>6.757006369426751</c:v>
                </c:pt>
                <c:pt idx="48">
                  <c:v>6.8308917197452228</c:v>
                </c:pt>
                <c:pt idx="49">
                  <c:v>6.9426751592356686</c:v>
                </c:pt>
                <c:pt idx="50">
                  <c:v>6.9601910828025479</c:v>
                </c:pt>
                <c:pt idx="51">
                  <c:v>6.0613772455089823</c:v>
                </c:pt>
                <c:pt idx="52">
                  <c:v>6.0092814371257486</c:v>
                </c:pt>
                <c:pt idx="53">
                  <c:v>6.1071856287425152</c:v>
                </c:pt>
                <c:pt idx="54">
                  <c:v>6.0479041916167668</c:v>
                </c:pt>
                <c:pt idx="55">
                  <c:v>6.11377245508982</c:v>
                </c:pt>
                <c:pt idx="56">
                  <c:v>4.6803278688524594</c:v>
                </c:pt>
                <c:pt idx="58">
                  <c:v>2.8787878787878789</c:v>
                </c:pt>
                <c:pt idx="59">
                  <c:v>4.0210006176652255</c:v>
                </c:pt>
                <c:pt idx="60">
                  <c:v>6.4853731343283583</c:v>
                </c:pt>
                <c:pt idx="61">
                  <c:v>6.4725000000000001</c:v>
                </c:pt>
                <c:pt idx="62">
                  <c:v>7.1516587677725116</c:v>
                </c:pt>
                <c:pt idx="63">
                  <c:v>5.0274999999999999</c:v>
                </c:pt>
                <c:pt idx="65">
                  <c:v>5.0571428571428569</c:v>
                </c:pt>
                <c:pt idx="67">
                  <c:v>2.4900000000000002</c:v>
                </c:pt>
                <c:pt idx="68">
                  <c:v>2.3548387096774195</c:v>
                </c:pt>
                <c:pt idx="69">
                  <c:v>2.7727272727272729</c:v>
                </c:pt>
                <c:pt idx="70">
                  <c:v>2.6733870967741935</c:v>
                </c:pt>
                <c:pt idx="71">
                  <c:v>3.0685883038016804</c:v>
                </c:pt>
                <c:pt idx="72">
                  <c:v>2.9707112970711296</c:v>
                </c:pt>
                <c:pt idx="73">
                  <c:v>3.1822222222222223</c:v>
                </c:pt>
                <c:pt idx="74">
                  <c:v>2.8787291747384733</c:v>
                </c:pt>
                <c:pt idx="75">
                  <c:v>2.975603988491704</c:v>
                </c:pt>
              </c:numCache>
            </c:numRef>
          </c:yVal>
          <c:smooth val="0"/>
          <c:extLst>
            <c:ext xmlns:c16="http://schemas.microsoft.com/office/drawing/2014/chart" uri="{C3380CC4-5D6E-409C-BE32-E72D297353CC}">
              <c16:uniqueId val="{00000000-0874-40F7-A43F-CEF57235EC1B}"/>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Summary!$C$172:$AC$172</c:f>
              <c:numCache>
                <c:formatCode>0.00</c:formatCode>
                <c:ptCount val="27"/>
                <c:pt idx="0">
                  <c:v>2.7491638795986622</c:v>
                </c:pt>
                <c:pt idx="1">
                  <c:v>3.5681818181818183</c:v>
                </c:pt>
                <c:pt idx="2">
                  <c:v>3.4491525423728815</c:v>
                </c:pt>
                <c:pt idx="3">
                  <c:v>3.5677966101694913</c:v>
                </c:pt>
                <c:pt idx="4">
                  <c:v>3.5381355932203391</c:v>
                </c:pt>
                <c:pt idx="5">
                  <c:v>4.7711864406779663</c:v>
                </c:pt>
                <c:pt idx="6">
                  <c:v>4.6822033898305087</c:v>
                </c:pt>
                <c:pt idx="7">
                  <c:v>4.7966101694915251</c:v>
                </c:pt>
                <c:pt idx="8">
                  <c:v>4.7457627118644066</c:v>
                </c:pt>
                <c:pt idx="9">
                  <c:v>4.7711864406779663</c:v>
                </c:pt>
                <c:pt idx="10">
                  <c:v>4.7542372881355934</c:v>
                </c:pt>
                <c:pt idx="11">
                  <c:v>4.7923728813559325</c:v>
                </c:pt>
                <c:pt idx="12">
                  <c:v>5.85</c:v>
                </c:pt>
                <c:pt idx="13">
                  <c:v>4.8653333333333331</c:v>
                </c:pt>
                <c:pt idx="14">
                  <c:v>4.8246666666666673</c:v>
                </c:pt>
                <c:pt idx="15">
                  <c:v>4.5713795617307778</c:v>
                </c:pt>
                <c:pt idx="16">
                  <c:v>4.351694915254237</c:v>
                </c:pt>
                <c:pt idx="17">
                  <c:v>3.0303030303030303</c:v>
                </c:pt>
                <c:pt idx="19">
                  <c:v>4.383266110121002</c:v>
                </c:pt>
                <c:pt idx="20">
                  <c:v>4.3335521996060411</c:v>
                </c:pt>
                <c:pt idx="21">
                  <c:v>4.3813901134977957</c:v>
                </c:pt>
                <c:pt idx="23">
                  <c:v>4.3616921489541323</c:v>
                </c:pt>
                <c:pt idx="24">
                  <c:v>4.1411290322580649</c:v>
                </c:pt>
                <c:pt idx="25">
                  <c:v>4.5951612903225802</c:v>
                </c:pt>
                <c:pt idx="26">
                  <c:v>4.645161290322581</c:v>
                </c:pt>
              </c:numCache>
            </c:numRef>
          </c:yVal>
          <c:smooth val="0"/>
          <c:extLst>
            <c:ext xmlns:c16="http://schemas.microsoft.com/office/drawing/2014/chart" uri="{C3380CC4-5D6E-409C-BE32-E72D297353CC}">
              <c16:uniqueId val="{00000000-D062-4D19-AF9F-B5E882F93A6A}"/>
            </c:ext>
          </c:extLst>
        </c:ser>
        <c:ser>
          <c:idx val="1"/>
          <c:order val="2"/>
          <c:tx>
            <c:v>Fighter (USN) Non-Folding</c:v>
          </c:tx>
          <c:spPr>
            <a:ln w="25400" cap="rnd">
              <a:noFill/>
              <a:round/>
            </a:ln>
            <a:effectLst/>
          </c:spPr>
          <c:marker>
            <c:symbol val="square"/>
            <c:size val="9"/>
            <c:spPr>
              <a:solidFill>
                <a:srgbClr val="0070C0"/>
              </a:solidFill>
              <a:ln w="9525">
                <a:solidFill>
                  <a:srgbClr val="0070C0"/>
                </a:solidFill>
              </a:ln>
              <a:effectLst/>
            </c:spPr>
          </c:marker>
          <c:xVal>
            <c:numRef>
              <c:f>Summary!$AE$17:$AS$17</c:f>
              <c:numCache>
                <c:formatCode>General</c:formatCode>
                <c:ptCount val="15"/>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numCache>
            </c:numRef>
          </c:xVal>
          <c:yVal>
            <c:numRef>
              <c:f>Summary!$AE$172:$AS$172</c:f>
              <c:numCache>
                <c:formatCode>0.00</c:formatCode>
                <c:ptCount val="15"/>
                <c:pt idx="0">
                  <c:v>3.3438008616562946</c:v>
                </c:pt>
                <c:pt idx="1">
                  <c:v>3.5385351842987078</c:v>
                </c:pt>
                <c:pt idx="2">
                  <c:v>3.5078985160363807</c:v>
                </c:pt>
                <c:pt idx="4">
                  <c:v>3.4609861177596937</c:v>
                </c:pt>
                <c:pt idx="5">
                  <c:v>4.168980373384394</c:v>
                </c:pt>
                <c:pt idx="6">
                  <c:v>3.8822403063666826</c:v>
                </c:pt>
                <c:pt idx="7">
                  <c:v>4.0449976065102922</c:v>
                </c:pt>
                <c:pt idx="8">
                  <c:v>3.532790808999521</c:v>
                </c:pt>
                <c:pt idx="9">
                  <c:v>3.6299664911440876</c:v>
                </c:pt>
                <c:pt idx="10">
                  <c:v>3.3580660603159407</c:v>
                </c:pt>
                <c:pt idx="11">
                  <c:v>4.14983245572044</c:v>
                </c:pt>
                <c:pt idx="12">
                  <c:v>4.037817137386309</c:v>
                </c:pt>
                <c:pt idx="13">
                  <c:v>3.4346153846153844</c:v>
                </c:pt>
                <c:pt idx="14">
                  <c:v>3.3923076923076922</c:v>
                </c:pt>
              </c:numCache>
            </c:numRef>
          </c:yVal>
          <c:smooth val="0"/>
          <c:extLst>
            <c:ext xmlns:c16="http://schemas.microsoft.com/office/drawing/2014/chart" uri="{C3380CC4-5D6E-409C-BE32-E72D297353CC}">
              <c16:uniqueId val="{00000001-D062-4D19-AF9F-B5E882F93A6A}"/>
            </c:ext>
          </c:extLst>
        </c:ser>
        <c:ser>
          <c:idx val="4"/>
          <c:order val="3"/>
          <c:tx>
            <c:v>Fighter (USN) Folding</c:v>
          </c:tx>
          <c:spPr>
            <a:ln w="25400" cap="rnd">
              <a:noFill/>
              <a:round/>
            </a:ln>
            <a:effectLst/>
          </c:spPr>
          <c:marker>
            <c:symbol val="square"/>
            <c:size val="9"/>
            <c:spPr>
              <a:solidFill>
                <a:schemeClr val="bg1"/>
              </a:solidFill>
              <a:ln w="25400">
                <a:solidFill>
                  <a:srgbClr val="0070C0"/>
                </a:solidFill>
              </a:ln>
              <a:effectLst/>
            </c:spPr>
          </c:marker>
          <c:xVal>
            <c:numRef>
              <c:f>Summary!$AT$17:$BG$17</c:f>
              <c:numCache>
                <c:formatCode>General</c:formatCode>
                <c:ptCount val="14"/>
                <c:pt idx="0">
                  <c:v>1200</c:v>
                </c:pt>
                <c:pt idx="1">
                  <c:v>1200</c:v>
                </c:pt>
                <c:pt idx="2">
                  <c:v>1200</c:v>
                </c:pt>
                <c:pt idx="3">
                  <c:v>1300</c:v>
                </c:pt>
                <c:pt idx="4">
                  <c:v>2000</c:v>
                </c:pt>
                <c:pt idx="5">
                  <c:v>2000</c:v>
                </c:pt>
                <c:pt idx="6">
                  <c:v>2100</c:v>
                </c:pt>
                <c:pt idx="7">
                  <c:v>2100</c:v>
                </c:pt>
                <c:pt idx="8">
                  <c:v>2000</c:v>
                </c:pt>
                <c:pt idx="9">
                  <c:v>2000</c:v>
                </c:pt>
                <c:pt idx="10">
                  <c:v>2000</c:v>
                </c:pt>
                <c:pt idx="11">
                  <c:v>2000</c:v>
                </c:pt>
                <c:pt idx="12">
                  <c:v>2000</c:v>
                </c:pt>
                <c:pt idx="13">
                  <c:v>2100</c:v>
                </c:pt>
              </c:numCache>
            </c:numRef>
          </c:xVal>
          <c:yVal>
            <c:numRef>
              <c:f>Summary!$AT$172:$BG$172</c:f>
              <c:numCache>
                <c:formatCode>0.00</c:formatCode>
                <c:ptCount val="14"/>
                <c:pt idx="0">
                  <c:v>4.5423076923076922</c:v>
                </c:pt>
                <c:pt idx="1">
                  <c:v>4.3038461538461537</c:v>
                </c:pt>
                <c:pt idx="2">
                  <c:v>4.5423076923076922</c:v>
                </c:pt>
                <c:pt idx="3">
                  <c:v>4.4384615384615387</c:v>
                </c:pt>
                <c:pt idx="4">
                  <c:v>6.757006369426751</c:v>
                </c:pt>
                <c:pt idx="5">
                  <c:v>6.8308917197452228</c:v>
                </c:pt>
                <c:pt idx="6">
                  <c:v>6.9426751592356686</c:v>
                </c:pt>
                <c:pt idx="7">
                  <c:v>6.9601910828025479</c:v>
                </c:pt>
                <c:pt idx="8">
                  <c:v>6.0613772455089823</c:v>
                </c:pt>
                <c:pt idx="9">
                  <c:v>6.0092814371257486</c:v>
                </c:pt>
                <c:pt idx="10">
                  <c:v>6.1071856287425152</c:v>
                </c:pt>
                <c:pt idx="11">
                  <c:v>6.0479041916167668</c:v>
                </c:pt>
                <c:pt idx="12">
                  <c:v>6.11377245508982</c:v>
                </c:pt>
                <c:pt idx="13">
                  <c:v>4.6803278688524594</c:v>
                </c:pt>
              </c:numCache>
            </c:numRef>
          </c:yVal>
          <c:smooth val="0"/>
          <c:extLst>
            <c:ext xmlns:c16="http://schemas.microsoft.com/office/drawing/2014/chart" uri="{C3380CC4-5D6E-409C-BE32-E72D297353CC}">
              <c16:uniqueId val="{00000002-D062-4D19-AF9F-B5E882F93A6A}"/>
            </c:ext>
          </c:extLst>
        </c:ser>
        <c:ser>
          <c:idx val="2"/>
          <c:order val="4"/>
          <c:tx>
            <c:v>Attack/Dive Bomber Non-Folding</c:v>
          </c:tx>
          <c:spPr>
            <a:ln w="25400" cap="rnd">
              <a:noFill/>
              <a:round/>
            </a:ln>
            <a:effectLst/>
          </c:spPr>
          <c:marker>
            <c:symbol val="diamond"/>
            <c:size val="9"/>
            <c:spPr>
              <a:solidFill>
                <a:srgbClr val="FF0000"/>
              </a:solidFill>
              <a:ln w="9525">
                <a:solidFill>
                  <a:srgbClr val="FF0000"/>
                </a:solidFill>
              </a:ln>
              <a:effectLst/>
            </c:spPr>
          </c:marker>
          <c:xVal>
            <c:numRef>
              <c:f>Summary!$BI$17:$BK$17</c:f>
              <c:numCache>
                <c:formatCode>General</c:formatCode>
                <c:ptCount val="3"/>
                <c:pt idx="0">
                  <c:v>825</c:v>
                </c:pt>
                <c:pt idx="1">
                  <c:v>1300</c:v>
                </c:pt>
                <c:pt idx="2">
                  <c:v>1700</c:v>
                </c:pt>
              </c:numCache>
            </c:numRef>
          </c:xVal>
          <c:yVal>
            <c:numRef>
              <c:f>Summary!$BI$172:$BK$172</c:f>
              <c:numCache>
                <c:formatCode>0.00</c:formatCode>
                <c:ptCount val="3"/>
                <c:pt idx="0">
                  <c:v>2.8787878787878789</c:v>
                </c:pt>
                <c:pt idx="1">
                  <c:v>4.0210006176652255</c:v>
                </c:pt>
                <c:pt idx="2">
                  <c:v>6.4853731343283583</c:v>
                </c:pt>
              </c:numCache>
            </c:numRef>
          </c:yVal>
          <c:smooth val="0"/>
          <c:extLst>
            <c:ext xmlns:c16="http://schemas.microsoft.com/office/drawing/2014/chart" uri="{C3380CC4-5D6E-409C-BE32-E72D297353CC}">
              <c16:uniqueId val="{00000003-D062-4D19-AF9F-B5E882F93A6A}"/>
            </c:ext>
          </c:extLst>
        </c:ser>
        <c:ser>
          <c:idx val="5"/>
          <c:order val="5"/>
          <c:tx>
            <c:v>Attack/Dive &amp; Torp Bomber Folding</c:v>
          </c:tx>
          <c:spPr>
            <a:ln w="25400" cap="rnd">
              <a:noFill/>
              <a:round/>
            </a:ln>
            <a:effectLst/>
          </c:spPr>
          <c:marker>
            <c:symbol val="diamond"/>
            <c:size val="10"/>
            <c:spPr>
              <a:solidFill>
                <a:schemeClr val="bg1"/>
              </a:solidFill>
              <a:ln w="25400">
                <a:solidFill>
                  <a:srgbClr val="FF0000"/>
                </a:solidFill>
              </a:ln>
              <a:effectLst/>
            </c:spPr>
          </c:marker>
          <c:xVal>
            <c:numRef>
              <c:f>Summary!$BL$17:$BP$17</c:f>
              <c:numCache>
                <c:formatCode>General</c:formatCode>
                <c:ptCount val="5"/>
                <c:pt idx="0">
                  <c:v>2700</c:v>
                </c:pt>
                <c:pt idx="1">
                  <c:v>1900</c:v>
                </c:pt>
                <c:pt idx="2">
                  <c:v>2500</c:v>
                </c:pt>
                <c:pt idx="4">
                  <c:v>1900</c:v>
                </c:pt>
              </c:numCache>
            </c:numRef>
          </c:xVal>
          <c:yVal>
            <c:numRef>
              <c:f>Summary!$BL$172:$BP$172</c:f>
              <c:numCache>
                <c:formatCode>0.00</c:formatCode>
                <c:ptCount val="5"/>
                <c:pt idx="0">
                  <c:v>6.4725000000000001</c:v>
                </c:pt>
                <c:pt idx="1">
                  <c:v>7.1516587677725116</c:v>
                </c:pt>
                <c:pt idx="2">
                  <c:v>5.0274999999999999</c:v>
                </c:pt>
                <c:pt idx="4">
                  <c:v>5.0571428571428569</c:v>
                </c:pt>
              </c:numCache>
            </c:numRef>
          </c:yVal>
          <c:smooth val="0"/>
          <c:extLst>
            <c:ext xmlns:c16="http://schemas.microsoft.com/office/drawing/2014/chart" uri="{C3380CC4-5D6E-409C-BE32-E72D297353CC}">
              <c16:uniqueId val="{00000005-D062-4D19-AF9F-B5E882F93A6A}"/>
            </c:ext>
          </c:extLst>
        </c:ser>
        <c:ser>
          <c:idx val="3"/>
          <c:order val="6"/>
          <c:tx>
            <c:v>Trainers</c:v>
          </c:tx>
          <c:spPr>
            <a:ln w="25400" cap="rnd">
              <a:noFill/>
              <a:round/>
            </a:ln>
            <a:effectLst/>
          </c:spPr>
          <c:marker>
            <c:symbol val="triangle"/>
            <c:size val="9"/>
            <c:spPr>
              <a:solidFill>
                <a:srgbClr val="FFC000"/>
              </a:solidFill>
              <a:ln w="9525">
                <a:solidFill>
                  <a:srgbClr val="FFC000"/>
                </a:solidFill>
              </a:ln>
              <a:effectLst/>
            </c:spPr>
          </c:marker>
          <c:xVal>
            <c:numRef>
              <c:f>Summary!$BR$17:$BZ$17</c:f>
              <c:numCache>
                <c:formatCode>General</c:formatCode>
                <c:ptCount val="9"/>
                <c:pt idx="0">
                  <c:v>175</c:v>
                </c:pt>
                <c:pt idx="1">
                  <c:v>132</c:v>
                </c:pt>
                <c:pt idx="2">
                  <c:v>440</c:v>
                </c:pt>
                <c:pt idx="3">
                  <c:v>400</c:v>
                </c:pt>
                <c:pt idx="4">
                  <c:v>450</c:v>
                </c:pt>
                <c:pt idx="5">
                  <c:v>450</c:v>
                </c:pt>
                <c:pt idx="6">
                  <c:v>600</c:v>
                </c:pt>
                <c:pt idx="7">
                  <c:v>600</c:v>
                </c:pt>
                <c:pt idx="8">
                  <c:v>600</c:v>
                </c:pt>
              </c:numCache>
            </c:numRef>
          </c:xVal>
          <c:yVal>
            <c:numRef>
              <c:f>Summary!$BR$172:$BZ$172</c:f>
              <c:numCache>
                <c:formatCode>0.00</c:formatCode>
                <c:ptCount val="9"/>
                <c:pt idx="0">
                  <c:v>2.4900000000000002</c:v>
                </c:pt>
                <c:pt idx="1">
                  <c:v>2.3548387096774195</c:v>
                </c:pt>
                <c:pt idx="2">
                  <c:v>2.7727272727272729</c:v>
                </c:pt>
                <c:pt idx="3">
                  <c:v>2.6733870967741935</c:v>
                </c:pt>
                <c:pt idx="4">
                  <c:v>3.0685883038016804</c:v>
                </c:pt>
                <c:pt idx="5">
                  <c:v>2.9707112970711296</c:v>
                </c:pt>
                <c:pt idx="6">
                  <c:v>3.1822222222222223</c:v>
                </c:pt>
                <c:pt idx="7">
                  <c:v>2.8787291747384733</c:v>
                </c:pt>
                <c:pt idx="8">
                  <c:v>2.975603988491704</c:v>
                </c:pt>
              </c:numCache>
            </c:numRef>
          </c:yVal>
          <c:smooth val="0"/>
          <c:extLst>
            <c:ext xmlns:c16="http://schemas.microsoft.com/office/drawing/2014/chart" uri="{C3380CC4-5D6E-409C-BE32-E72D297353CC}">
              <c16:uniqueId val="{00000004-D062-4D19-AF9F-B5E882F93A6A}"/>
            </c:ext>
          </c:extLst>
        </c:ser>
        <c:ser>
          <c:idx val="7"/>
          <c:order val="7"/>
          <c:tx>
            <c:v>Trainer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Summary!$CA$17</c:f>
              <c:numCache>
                <c:formatCode>General</c:formatCode>
                <c:ptCount val="1"/>
                <c:pt idx="0">
                  <c:v>220</c:v>
                </c:pt>
              </c:numCache>
            </c:numRef>
          </c:xVal>
          <c:yVal>
            <c:numRef>
              <c:f>Summary!$CA$172</c:f>
              <c:numCache>
                <c:formatCode>0.00</c:formatCode>
                <c:ptCount val="1"/>
                <c:pt idx="0">
                  <c:v>1.4899328859060403</c:v>
                </c:pt>
              </c:numCache>
            </c:numRef>
          </c:yVal>
          <c:smooth val="0"/>
          <c:extLst>
            <c:ext xmlns:c16="http://schemas.microsoft.com/office/drawing/2014/chart" uri="{C3380CC4-5D6E-409C-BE32-E72D297353CC}">
              <c16:uniqueId val="{00000001-ACF9-4E0F-83BA-D24AAFE98C6A}"/>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 Off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Specific Wt (lb/sq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23680888915162529"/>
          <c:h val="0.27268402703059913"/>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Wing Wt/sq ft vs Design Speed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Summary!$C$64:$AC$64</c:f>
              <c:numCache>
                <c:formatCode>General</c:formatCode>
                <c:ptCount val="27"/>
                <c:pt idx="3">
                  <c:v>445</c:v>
                </c:pt>
                <c:pt idx="4">
                  <c:v>445</c:v>
                </c:pt>
                <c:pt idx="6">
                  <c:v>496</c:v>
                </c:pt>
                <c:pt idx="16">
                  <c:v>537</c:v>
                </c:pt>
                <c:pt idx="20">
                  <c:v>530</c:v>
                </c:pt>
              </c:numCache>
            </c:numRef>
          </c:xVal>
          <c:yVal>
            <c:numRef>
              <c:f>Summary!$C$172:$AC$172</c:f>
              <c:numCache>
                <c:formatCode>0.00</c:formatCode>
                <c:ptCount val="27"/>
                <c:pt idx="0">
                  <c:v>2.7491638795986622</c:v>
                </c:pt>
                <c:pt idx="1">
                  <c:v>3.5681818181818183</c:v>
                </c:pt>
                <c:pt idx="2">
                  <c:v>3.4491525423728815</c:v>
                </c:pt>
                <c:pt idx="3">
                  <c:v>3.5677966101694913</c:v>
                </c:pt>
                <c:pt idx="4">
                  <c:v>3.5381355932203391</c:v>
                </c:pt>
                <c:pt idx="5">
                  <c:v>4.7711864406779663</c:v>
                </c:pt>
                <c:pt idx="6">
                  <c:v>4.6822033898305087</c:v>
                </c:pt>
                <c:pt idx="7">
                  <c:v>4.7966101694915251</c:v>
                </c:pt>
                <c:pt idx="8">
                  <c:v>4.7457627118644066</c:v>
                </c:pt>
                <c:pt idx="9">
                  <c:v>4.7711864406779663</c:v>
                </c:pt>
                <c:pt idx="10">
                  <c:v>4.7542372881355934</c:v>
                </c:pt>
                <c:pt idx="11">
                  <c:v>4.7923728813559325</c:v>
                </c:pt>
                <c:pt idx="12">
                  <c:v>5.85</c:v>
                </c:pt>
                <c:pt idx="13">
                  <c:v>4.8653333333333331</c:v>
                </c:pt>
                <c:pt idx="14">
                  <c:v>4.8246666666666673</c:v>
                </c:pt>
                <c:pt idx="15">
                  <c:v>4.5713795617307778</c:v>
                </c:pt>
                <c:pt idx="16">
                  <c:v>4.351694915254237</c:v>
                </c:pt>
                <c:pt idx="17">
                  <c:v>3.0303030303030303</c:v>
                </c:pt>
                <c:pt idx="19">
                  <c:v>4.383266110121002</c:v>
                </c:pt>
                <c:pt idx="20">
                  <c:v>4.3335521996060411</c:v>
                </c:pt>
                <c:pt idx="21">
                  <c:v>4.3813901134977957</c:v>
                </c:pt>
                <c:pt idx="23">
                  <c:v>4.3616921489541323</c:v>
                </c:pt>
                <c:pt idx="24">
                  <c:v>4.1411290322580649</c:v>
                </c:pt>
                <c:pt idx="25">
                  <c:v>4.5951612903225802</c:v>
                </c:pt>
                <c:pt idx="26">
                  <c:v>4.645161290322581</c:v>
                </c:pt>
              </c:numCache>
            </c:numRef>
          </c:yVal>
          <c:smooth val="0"/>
          <c:extLst>
            <c:ext xmlns:c16="http://schemas.microsoft.com/office/drawing/2014/chart" uri="{C3380CC4-5D6E-409C-BE32-E72D297353CC}">
              <c16:uniqueId val="{00000000-3C22-4F20-ABCD-2EE69D41C634}"/>
            </c:ext>
          </c:extLst>
        </c:ser>
        <c:ser>
          <c:idx val="1"/>
          <c:order val="1"/>
          <c:tx>
            <c:v>Fighter (USN) Non-Folding</c:v>
          </c:tx>
          <c:spPr>
            <a:ln w="25400" cap="rnd">
              <a:noFill/>
              <a:round/>
            </a:ln>
            <a:effectLst/>
          </c:spPr>
          <c:marker>
            <c:symbol val="square"/>
            <c:size val="9"/>
            <c:spPr>
              <a:solidFill>
                <a:srgbClr val="0070C0"/>
              </a:solidFill>
              <a:ln w="9525">
                <a:solidFill>
                  <a:srgbClr val="0070C0"/>
                </a:solidFill>
              </a:ln>
              <a:effectLst/>
            </c:spPr>
          </c:marker>
          <c:xVal>
            <c:numRef>
              <c:f>Summary!$AE$64:$AS$64</c:f>
              <c:numCache>
                <c:formatCode>General</c:formatCode>
                <c:ptCount val="15"/>
              </c:numCache>
            </c:numRef>
          </c:xVal>
          <c:yVal>
            <c:numRef>
              <c:f>Summary!$AE$172:$AS$172</c:f>
              <c:numCache>
                <c:formatCode>0.00</c:formatCode>
                <c:ptCount val="15"/>
                <c:pt idx="0">
                  <c:v>3.3438008616562946</c:v>
                </c:pt>
                <c:pt idx="1">
                  <c:v>3.5385351842987078</c:v>
                </c:pt>
                <c:pt idx="2">
                  <c:v>3.5078985160363807</c:v>
                </c:pt>
                <c:pt idx="4">
                  <c:v>3.4609861177596937</c:v>
                </c:pt>
                <c:pt idx="5">
                  <c:v>4.168980373384394</c:v>
                </c:pt>
                <c:pt idx="6">
                  <c:v>3.8822403063666826</c:v>
                </c:pt>
                <c:pt idx="7">
                  <c:v>4.0449976065102922</c:v>
                </c:pt>
                <c:pt idx="8">
                  <c:v>3.532790808999521</c:v>
                </c:pt>
                <c:pt idx="9">
                  <c:v>3.6299664911440876</c:v>
                </c:pt>
                <c:pt idx="10">
                  <c:v>3.3580660603159407</c:v>
                </c:pt>
                <c:pt idx="11">
                  <c:v>4.14983245572044</c:v>
                </c:pt>
                <c:pt idx="12">
                  <c:v>4.037817137386309</c:v>
                </c:pt>
                <c:pt idx="13">
                  <c:v>3.4346153846153844</c:v>
                </c:pt>
                <c:pt idx="14">
                  <c:v>3.3923076923076922</c:v>
                </c:pt>
              </c:numCache>
            </c:numRef>
          </c:yVal>
          <c:smooth val="0"/>
          <c:extLst>
            <c:ext xmlns:c16="http://schemas.microsoft.com/office/drawing/2014/chart" uri="{C3380CC4-5D6E-409C-BE32-E72D297353CC}">
              <c16:uniqueId val="{00000001-3C22-4F20-ABCD-2EE69D41C634}"/>
            </c:ext>
          </c:extLst>
        </c:ser>
        <c:ser>
          <c:idx val="4"/>
          <c:order val="2"/>
          <c:tx>
            <c:v>Fighter (USN) Folding</c:v>
          </c:tx>
          <c:spPr>
            <a:ln w="25400" cap="rnd">
              <a:noFill/>
              <a:round/>
            </a:ln>
            <a:effectLst/>
          </c:spPr>
          <c:marker>
            <c:symbol val="square"/>
            <c:size val="9"/>
            <c:spPr>
              <a:noFill/>
              <a:ln w="25400">
                <a:solidFill>
                  <a:srgbClr val="0070C0"/>
                </a:solidFill>
              </a:ln>
              <a:effectLst/>
            </c:spPr>
          </c:marker>
          <c:xVal>
            <c:numRef>
              <c:f>Summary!$AT$64:$BG$64</c:f>
              <c:numCache>
                <c:formatCode>General</c:formatCode>
                <c:ptCount val="14"/>
                <c:pt idx="0">
                  <c:v>470</c:v>
                </c:pt>
                <c:pt idx="1">
                  <c:v>470</c:v>
                </c:pt>
                <c:pt idx="6">
                  <c:v>555</c:v>
                </c:pt>
                <c:pt idx="11">
                  <c:v>506</c:v>
                </c:pt>
                <c:pt idx="12">
                  <c:v>606</c:v>
                </c:pt>
                <c:pt idx="13">
                  <c:v>477</c:v>
                </c:pt>
              </c:numCache>
            </c:numRef>
          </c:xVal>
          <c:yVal>
            <c:numRef>
              <c:f>Summary!$AT$172:$BG$172</c:f>
              <c:numCache>
                <c:formatCode>0.00</c:formatCode>
                <c:ptCount val="14"/>
                <c:pt idx="0">
                  <c:v>4.5423076923076922</c:v>
                </c:pt>
                <c:pt idx="1">
                  <c:v>4.3038461538461537</c:v>
                </c:pt>
                <c:pt idx="2">
                  <c:v>4.5423076923076922</c:v>
                </c:pt>
                <c:pt idx="3">
                  <c:v>4.4384615384615387</c:v>
                </c:pt>
                <c:pt idx="4">
                  <c:v>6.757006369426751</c:v>
                </c:pt>
                <c:pt idx="5">
                  <c:v>6.8308917197452228</c:v>
                </c:pt>
                <c:pt idx="6">
                  <c:v>6.9426751592356686</c:v>
                </c:pt>
                <c:pt idx="7">
                  <c:v>6.9601910828025479</c:v>
                </c:pt>
                <c:pt idx="8">
                  <c:v>6.0613772455089823</c:v>
                </c:pt>
                <c:pt idx="9">
                  <c:v>6.0092814371257486</c:v>
                </c:pt>
                <c:pt idx="10">
                  <c:v>6.1071856287425152</c:v>
                </c:pt>
                <c:pt idx="11">
                  <c:v>6.0479041916167668</c:v>
                </c:pt>
                <c:pt idx="12">
                  <c:v>6.11377245508982</c:v>
                </c:pt>
                <c:pt idx="13">
                  <c:v>4.6803278688524594</c:v>
                </c:pt>
              </c:numCache>
            </c:numRef>
          </c:yVal>
          <c:smooth val="0"/>
          <c:extLst>
            <c:ext xmlns:c16="http://schemas.microsoft.com/office/drawing/2014/chart" uri="{C3380CC4-5D6E-409C-BE32-E72D297353CC}">
              <c16:uniqueId val="{00000002-3C22-4F20-ABCD-2EE69D41C634}"/>
            </c:ext>
          </c:extLst>
        </c:ser>
        <c:ser>
          <c:idx val="2"/>
          <c:order val="3"/>
          <c:tx>
            <c:v>Attack/Dive Bomber Non-Folding</c:v>
          </c:tx>
          <c:spPr>
            <a:ln w="25400" cap="rnd">
              <a:noFill/>
              <a:round/>
            </a:ln>
            <a:effectLst/>
          </c:spPr>
          <c:marker>
            <c:symbol val="diamond"/>
            <c:size val="9"/>
            <c:spPr>
              <a:solidFill>
                <a:srgbClr val="FF0000"/>
              </a:solidFill>
              <a:ln w="9525">
                <a:solidFill>
                  <a:srgbClr val="FF0000"/>
                </a:solidFill>
              </a:ln>
              <a:effectLst/>
            </c:spPr>
          </c:marker>
          <c:xVal>
            <c:numRef>
              <c:f>Summary!$BI$64:$BK$64</c:f>
              <c:numCache>
                <c:formatCode>General</c:formatCode>
                <c:ptCount val="3"/>
                <c:pt idx="1">
                  <c:v>425</c:v>
                </c:pt>
                <c:pt idx="2">
                  <c:v>450.5</c:v>
                </c:pt>
              </c:numCache>
            </c:numRef>
          </c:xVal>
          <c:yVal>
            <c:numRef>
              <c:f>Summary!$BI$172:$BK$172</c:f>
              <c:numCache>
                <c:formatCode>0.00</c:formatCode>
                <c:ptCount val="3"/>
                <c:pt idx="0">
                  <c:v>2.8787878787878789</c:v>
                </c:pt>
                <c:pt idx="1">
                  <c:v>4.0210006176652255</c:v>
                </c:pt>
                <c:pt idx="2">
                  <c:v>6.4853731343283583</c:v>
                </c:pt>
              </c:numCache>
            </c:numRef>
          </c:yVal>
          <c:smooth val="0"/>
          <c:extLst>
            <c:ext xmlns:c16="http://schemas.microsoft.com/office/drawing/2014/chart" uri="{C3380CC4-5D6E-409C-BE32-E72D297353CC}">
              <c16:uniqueId val="{00000003-3C22-4F20-ABCD-2EE69D41C634}"/>
            </c:ext>
          </c:extLst>
        </c:ser>
        <c:ser>
          <c:idx val="5"/>
          <c:order val="4"/>
          <c:tx>
            <c:v>Attack/Dive &amp; Torp Bomber Folding</c:v>
          </c:tx>
          <c:spPr>
            <a:ln w="25400" cap="rnd">
              <a:noFill/>
              <a:round/>
            </a:ln>
            <a:effectLst/>
          </c:spPr>
          <c:marker>
            <c:symbol val="diamond"/>
            <c:size val="10"/>
            <c:spPr>
              <a:noFill/>
              <a:ln w="25400">
                <a:solidFill>
                  <a:srgbClr val="FF0000"/>
                </a:solidFill>
              </a:ln>
              <a:effectLst/>
            </c:spPr>
          </c:marker>
          <c:xVal>
            <c:numRef>
              <c:f>Summary!$BL$64:$BP$64</c:f>
              <c:numCache>
                <c:formatCode>General</c:formatCode>
                <c:ptCount val="5"/>
                <c:pt idx="0">
                  <c:v>500</c:v>
                </c:pt>
                <c:pt idx="1">
                  <c:v>540</c:v>
                </c:pt>
                <c:pt idx="2">
                  <c:v>500</c:v>
                </c:pt>
              </c:numCache>
            </c:numRef>
          </c:xVal>
          <c:yVal>
            <c:numRef>
              <c:f>Summary!$BL$172:$BP$172</c:f>
              <c:numCache>
                <c:formatCode>0.00</c:formatCode>
                <c:ptCount val="5"/>
                <c:pt idx="0">
                  <c:v>6.4725000000000001</c:v>
                </c:pt>
                <c:pt idx="1">
                  <c:v>7.1516587677725116</c:v>
                </c:pt>
                <c:pt idx="2">
                  <c:v>5.0274999999999999</c:v>
                </c:pt>
                <c:pt idx="4">
                  <c:v>5.0571428571428569</c:v>
                </c:pt>
              </c:numCache>
            </c:numRef>
          </c:yVal>
          <c:smooth val="0"/>
          <c:extLst>
            <c:ext xmlns:c16="http://schemas.microsoft.com/office/drawing/2014/chart" uri="{C3380CC4-5D6E-409C-BE32-E72D297353CC}">
              <c16:uniqueId val="{00000004-3C22-4F20-ABCD-2EE69D41C634}"/>
            </c:ext>
          </c:extLst>
        </c:ser>
        <c:ser>
          <c:idx val="3"/>
          <c:order val="5"/>
          <c:tx>
            <c:v>Trainers</c:v>
          </c:tx>
          <c:spPr>
            <a:ln w="25400" cap="rnd">
              <a:noFill/>
              <a:round/>
            </a:ln>
            <a:effectLst/>
          </c:spPr>
          <c:marker>
            <c:symbol val="triangle"/>
            <c:size val="9"/>
            <c:spPr>
              <a:solidFill>
                <a:srgbClr val="FFC000"/>
              </a:solidFill>
              <a:ln w="9525">
                <a:solidFill>
                  <a:srgbClr val="FFC000"/>
                </a:solidFill>
              </a:ln>
              <a:effectLst/>
            </c:spPr>
          </c:marker>
          <c:xVal>
            <c:numRef>
              <c:f>Summary!$BR$64:$BZ$64</c:f>
              <c:numCache>
                <c:formatCode>General</c:formatCode>
                <c:ptCount val="9"/>
                <c:pt idx="0">
                  <c:v>132</c:v>
                </c:pt>
                <c:pt idx="2">
                  <c:v>175</c:v>
                </c:pt>
                <c:pt idx="3">
                  <c:v>170</c:v>
                </c:pt>
                <c:pt idx="5">
                  <c:v>180</c:v>
                </c:pt>
                <c:pt idx="6">
                  <c:v>207</c:v>
                </c:pt>
                <c:pt idx="7">
                  <c:v>210</c:v>
                </c:pt>
                <c:pt idx="8">
                  <c:v>251</c:v>
                </c:pt>
              </c:numCache>
            </c:numRef>
          </c:xVal>
          <c:yVal>
            <c:numRef>
              <c:f>Summary!$BR$172:$BZ$172</c:f>
              <c:numCache>
                <c:formatCode>0.00</c:formatCode>
                <c:ptCount val="9"/>
                <c:pt idx="0">
                  <c:v>2.4900000000000002</c:v>
                </c:pt>
                <c:pt idx="1">
                  <c:v>2.3548387096774195</c:v>
                </c:pt>
                <c:pt idx="2">
                  <c:v>2.7727272727272729</c:v>
                </c:pt>
                <c:pt idx="3">
                  <c:v>2.6733870967741935</c:v>
                </c:pt>
                <c:pt idx="4">
                  <c:v>3.0685883038016804</c:v>
                </c:pt>
                <c:pt idx="5">
                  <c:v>2.9707112970711296</c:v>
                </c:pt>
                <c:pt idx="6">
                  <c:v>3.1822222222222223</c:v>
                </c:pt>
                <c:pt idx="7">
                  <c:v>2.8787291747384733</c:v>
                </c:pt>
                <c:pt idx="8">
                  <c:v>2.975603988491704</c:v>
                </c:pt>
              </c:numCache>
            </c:numRef>
          </c:yVal>
          <c:smooth val="0"/>
          <c:extLst>
            <c:ext xmlns:c16="http://schemas.microsoft.com/office/drawing/2014/chart" uri="{C3380CC4-5D6E-409C-BE32-E72D297353CC}">
              <c16:uniqueId val="{00000005-3C22-4F20-ABCD-2EE69D41C634}"/>
            </c:ext>
          </c:extLst>
        </c:ser>
        <c:ser>
          <c:idx val="6"/>
          <c:order val="6"/>
          <c:tx>
            <c:v>Trainer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Summary!$CA$64</c:f>
              <c:numCache>
                <c:formatCode>General</c:formatCode>
                <c:ptCount val="1"/>
                <c:pt idx="0">
                  <c:v>125</c:v>
                </c:pt>
              </c:numCache>
            </c:numRef>
          </c:xVal>
          <c:yVal>
            <c:numRef>
              <c:f>Summary!$CA$172</c:f>
              <c:numCache>
                <c:formatCode>0.00</c:formatCode>
                <c:ptCount val="1"/>
                <c:pt idx="0">
                  <c:v>1.4899328859060403</c:v>
                </c:pt>
              </c:numCache>
            </c:numRef>
          </c:yVal>
          <c:smooth val="0"/>
          <c:extLst>
            <c:ext xmlns:c16="http://schemas.microsoft.com/office/drawing/2014/chart" uri="{C3380CC4-5D6E-409C-BE32-E72D297353CC}">
              <c16:uniqueId val="{00000000-43A7-45F5-A82F-2B36212D1FAC}"/>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Design Speed (mph)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Specific Wt (lb/sq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20511606995232876"/>
          <c:h val="0.238598523651774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Wing Wt/sq ft vs Power Density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Summary!$C$59:$AC$59</c:f>
              <c:numCache>
                <c:formatCode>0.00</c:formatCode>
                <c:ptCount val="27"/>
                <c:pt idx="0" formatCode="General">
                  <c:v>4.8899999999999997</c:v>
                </c:pt>
                <c:pt idx="1">
                  <c:v>5.8936842105263159</c:v>
                </c:pt>
                <c:pt idx="2">
                  <c:v>5.2676190476190472</c:v>
                </c:pt>
                <c:pt idx="3">
                  <c:v>5.1718181818181819</c:v>
                </c:pt>
                <c:pt idx="4">
                  <c:v>5.3809090909090909</c:v>
                </c:pt>
                <c:pt idx="6">
                  <c:v>7.3278260869565219</c:v>
                </c:pt>
                <c:pt idx="12">
                  <c:v>6.6864999999999997</c:v>
                </c:pt>
                <c:pt idx="16">
                  <c:v>7.6950570342205324</c:v>
                </c:pt>
                <c:pt idx="17">
                  <c:v>7.97</c:v>
                </c:pt>
                <c:pt idx="20">
                  <c:v>6.4391304347826086</c:v>
                </c:pt>
              </c:numCache>
            </c:numRef>
          </c:xVal>
          <c:yVal>
            <c:numRef>
              <c:f>Summary!$C$172:$AC$172</c:f>
              <c:numCache>
                <c:formatCode>0.00</c:formatCode>
                <c:ptCount val="27"/>
                <c:pt idx="0">
                  <c:v>2.7491638795986622</c:v>
                </c:pt>
                <c:pt idx="1">
                  <c:v>3.5681818181818183</c:v>
                </c:pt>
                <c:pt idx="2">
                  <c:v>3.4491525423728815</c:v>
                </c:pt>
                <c:pt idx="3">
                  <c:v>3.5677966101694913</c:v>
                </c:pt>
                <c:pt idx="4">
                  <c:v>3.5381355932203391</c:v>
                </c:pt>
                <c:pt idx="5">
                  <c:v>4.7711864406779663</c:v>
                </c:pt>
                <c:pt idx="6">
                  <c:v>4.6822033898305087</c:v>
                </c:pt>
                <c:pt idx="7">
                  <c:v>4.7966101694915251</c:v>
                </c:pt>
                <c:pt idx="8">
                  <c:v>4.7457627118644066</c:v>
                </c:pt>
                <c:pt idx="9">
                  <c:v>4.7711864406779663</c:v>
                </c:pt>
                <c:pt idx="10">
                  <c:v>4.7542372881355934</c:v>
                </c:pt>
                <c:pt idx="11">
                  <c:v>4.7923728813559325</c:v>
                </c:pt>
                <c:pt idx="12">
                  <c:v>5.85</c:v>
                </c:pt>
                <c:pt idx="13">
                  <c:v>4.8653333333333331</c:v>
                </c:pt>
                <c:pt idx="14">
                  <c:v>4.8246666666666673</c:v>
                </c:pt>
                <c:pt idx="15">
                  <c:v>4.5713795617307778</c:v>
                </c:pt>
                <c:pt idx="16">
                  <c:v>4.351694915254237</c:v>
                </c:pt>
                <c:pt idx="17">
                  <c:v>3.0303030303030303</c:v>
                </c:pt>
                <c:pt idx="19">
                  <c:v>4.383266110121002</c:v>
                </c:pt>
                <c:pt idx="20">
                  <c:v>4.3335521996060411</c:v>
                </c:pt>
                <c:pt idx="21">
                  <c:v>4.3813901134977957</c:v>
                </c:pt>
                <c:pt idx="23">
                  <c:v>4.3616921489541323</c:v>
                </c:pt>
                <c:pt idx="24">
                  <c:v>4.1411290322580649</c:v>
                </c:pt>
                <c:pt idx="25">
                  <c:v>4.5951612903225802</c:v>
                </c:pt>
                <c:pt idx="26">
                  <c:v>4.645161290322581</c:v>
                </c:pt>
              </c:numCache>
            </c:numRef>
          </c:yVal>
          <c:smooth val="0"/>
          <c:extLst>
            <c:ext xmlns:c16="http://schemas.microsoft.com/office/drawing/2014/chart" uri="{C3380CC4-5D6E-409C-BE32-E72D297353CC}">
              <c16:uniqueId val="{00000000-8A1D-4CC7-A2E5-A6127AD4DBE8}"/>
            </c:ext>
          </c:extLst>
        </c:ser>
        <c:ser>
          <c:idx val="1"/>
          <c:order val="1"/>
          <c:tx>
            <c:v>Fighter (USN) Non-Folding</c:v>
          </c:tx>
          <c:spPr>
            <a:ln w="25400" cap="rnd">
              <a:noFill/>
              <a:round/>
            </a:ln>
            <a:effectLst/>
          </c:spPr>
          <c:marker>
            <c:symbol val="square"/>
            <c:size val="9"/>
            <c:spPr>
              <a:solidFill>
                <a:srgbClr val="0070C0"/>
              </a:solidFill>
              <a:ln w="9525">
                <a:solidFill>
                  <a:srgbClr val="0070C0"/>
                </a:solidFill>
              </a:ln>
              <a:effectLst/>
            </c:spPr>
          </c:marker>
          <c:xVal>
            <c:numRef>
              <c:f>Summary!$AE$59:$AS$59</c:f>
              <c:numCache>
                <c:formatCode>0.00</c:formatCode>
                <c:ptCount val="15"/>
                <c:pt idx="3">
                  <c:v>4.5076666666666663</c:v>
                </c:pt>
                <c:pt idx="4">
                  <c:v>4.5154166666666669</c:v>
                </c:pt>
                <c:pt idx="5">
                  <c:v>5.4321666666666673</c:v>
                </c:pt>
                <c:pt idx="7">
                  <c:v>6.0241666666666669</c:v>
                </c:pt>
                <c:pt idx="9">
                  <c:v>5.28</c:v>
                </c:pt>
                <c:pt idx="10">
                  <c:v>4.9426363636363631</c:v>
                </c:pt>
                <c:pt idx="11">
                  <c:v>5.0787500000000003</c:v>
                </c:pt>
                <c:pt idx="12">
                  <c:v>5.5565454545454545</c:v>
                </c:pt>
                <c:pt idx="14">
                  <c:v>5.7458333333333336</c:v>
                </c:pt>
              </c:numCache>
            </c:numRef>
          </c:xVal>
          <c:yVal>
            <c:numRef>
              <c:f>Summary!$AE$172:$AS$172</c:f>
              <c:numCache>
                <c:formatCode>0.00</c:formatCode>
                <c:ptCount val="15"/>
                <c:pt idx="0">
                  <c:v>3.3438008616562946</c:v>
                </c:pt>
                <c:pt idx="1">
                  <c:v>3.5385351842987078</c:v>
                </c:pt>
                <c:pt idx="2">
                  <c:v>3.5078985160363807</c:v>
                </c:pt>
                <c:pt idx="4">
                  <c:v>3.4609861177596937</c:v>
                </c:pt>
                <c:pt idx="5">
                  <c:v>4.168980373384394</c:v>
                </c:pt>
                <c:pt idx="6">
                  <c:v>3.8822403063666826</c:v>
                </c:pt>
                <c:pt idx="7">
                  <c:v>4.0449976065102922</c:v>
                </c:pt>
                <c:pt idx="8">
                  <c:v>3.532790808999521</c:v>
                </c:pt>
                <c:pt idx="9">
                  <c:v>3.6299664911440876</c:v>
                </c:pt>
                <c:pt idx="10">
                  <c:v>3.3580660603159407</c:v>
                </c:pt>
                <c:pt idx="11">
                  <c:v>4.14983245572044</c:v>
                </c:pt>
                <c:pt idx="12">
                  <c:v>4.037817137386309</c:v>
                </c:pt>
                <c:pt idx="13">
                  <c:v>3.4346153846153844</c:v>
                </c:pt>
                <c:pt idx="14">
                  <c:v>3.3923076923076922</c:v>
                </c:pt>
              </c:numCache>
            </c:numRef>
          </c:yVal>
          <c:smooth val="0"/>
          <c:extLst>
            <c:ext xmlns:c16="http://schemas.microsoft.com/office/drawing/2014/chart" uri="{C3380CC4-5D6E-409C-BE32-E72D297353CC}">
              <c16:uniqueId val="{00000001-8A1D-4CC7-A2E5-A6127AD4DBE8}"/>
            </c:ext>
          </c:extLst>
        </c:ser>
        <c:ser>
          <c:idx val="4"/>
          <c:order val="2"/>
          <c:tx>
            <c:v>Fighter (USN) Folding</c:v>
          </c:tx>
          <c:spPr>
            <a:ln w="25400" cap="rnd">
              <a:noFill/>
              <a:round/>
            </a:ln>
            <a:effectLst/>
          </c:spPr>
          <c:marker>
            <c:symbol val="square"/>
            <c:size val="9"/>
            <c:spPr>
              <a:noFill/>
              <a:ln w="25400">
                <a:solidFill>
                  <a:srgbClr val="0070C0"/>
                </a:solidFill>
              </a:ln>
              <a:effectLst/>
            </c:spPr>
          </c:marker>
          <c:xVal>
            <c:numRef>
              <c:f>Summary!$AT$59:$BG$59</c:f>
              <c:numCache>
                <c:formatCode>0.00</c:formatCode>
                <c:ptCount val="14"/>
                <c:pt idx="1">
                  <c:v>6.565833333333333</c:v>
                </c:pt>
                <c:pt idx="2">
                  <c:v>6.1883333333333335</c:v>
                </c:pt>
                <c:pt idx="4">
                  <c:v>5.571299999999999</c:v>
                </c:pt>
                <c:pt idx="5">
                  <c:v>5.6716000000000006</c:v>
                </c:pt>
                <c:pt idx="6">
                  <c:v>5.833333333333333</c:v>
                </c:pt>
                <c:pt idx="7">
                  <c:v>5.9070476190476198</c:v>
                </c:pt>
                <c:pt idx="9">
                  <c:v>5.7528000000000006</c:v>
                </c:pt>
                <c:pt idx="11">
                  <c:v>6.1315</c:v>
                </c:pt>
                <c:pt idx="12">
                  <c:v>6.2460000000000004</c:v>
                </c:pt>
                <c:pt idx="13">
                  <c:v>4.3690476190476186</c:v>
                </c:pt>
              </c:numCache>
            </c:numRef>
          </c:xVal>
          <c:yVal>
            <c:numRef>
              <c:f>Summary!$AT$172:$BG$172</c:f>
              <c:numCache>
                <c:formatCode>0.00</c:formatCode>
                <c:ptCount val="14"/>
                <c:pt idx="0">
                  <c:v>4.5423076923076922</c:v>
                </c:pt>
                <c:pt idx="1">
                  <c:v>4.3038461538461537</c:v>
                </c:pt>
                <c:pt idx="2">
                  <c:v>4.5423076923076922</c:v>
                </c:pt>
                <c:pt idx="3">
                  <c:v>4.4384615384615387</c:v>
                </c:pt>
                <c:pt idx="4">
                  <c:v>6.757006369426751</c:v>
                </c:pt>
                <c:pt idx="5">
                  <c:v>6.8308917197452228</c:v>
                </c:pt>
                <c:pt idx="6">
                  <c:v>6.9426751592356686</c:v>
                </c:pt>
                <c:pt idx="7">
                  <c:v>6.9601910828025479</c:v>
                </c:pt>
                <c:pt idx="8">
                  <c:v>6.0613772455089823</c:v>
                </c:pt>
                <c:pt idx="9">
                  <c:v>6.0092814371257486</c:v>
                </c:pt>
                <c:pt idx="10">
                  <c:v>6.1071856287425152</c:v>
                </c:pt>
                <c:pt idx="11">
                  <c:v>6.0479041916167668</c:v>
                </c:pt>
                <c:pt idx="12">
                  <c:v>6.11377245508982</c:v>
                </c:pt>
                <c:pt idx="13">
                  <c:v>4.6803278688524594</c:v>
                </c:pt>
              </c:numCache>
            </c:numRef>
          </c:yVal>
          <c:smooth val="0"/>
          <c:extLst>
            <c:ext xmlns:c16="http://schemas.microsoft.com/office/drawing/2014/chart" uri="{C3380CC4-5D6E-409C-BE32-E72D297353CC}">
              <c16:uniqueId val="{00000002-8A1D-4CC7-A2E5-A6127AD4DBE8}"/>
            </c:ext>
          </c:extLst>
        </c:ser>
        <c:ser>
          <c:idx val="2"/>
          <c:order val="3"/>
          <c:tx>
            <c:v>Attack/Dive Bomber Non-Folding</c:v>
          </c:tx>
          <c:spPr>
            <a:ln w="25400" cap="rnd">
              <a:noFill/>
              <a:round/>
            </a:ln>
            <a:effectLst/>
          </c:spPr>
          <c:marker>
            <c:symbol val="diamond"/>
            <c:size val="9"/>
            <c:spPr>
              <a:solidFill>
                <a:srgbClr val="FF0000"/>
              </a:solidFill>
              <a:ln w="9525">
                <a:solidFill>
                  <a:srgbClr val="FF0000"/>
                </a:solidFill>
              </a:ln>
              <a:effectLst/>
            </c:spPr>
          </c:marker>
          <c:xVal>
            <c:numRef>
              <c:f>Summary!$BI$59:$BK$59</c:f>
              <c:numCache>
                <c:formatCode>0.00</c:formatCode>
                <c:ptCount val="3"/>
                <c:pt idx="0">
                  <c:v>9.1430303030303026</c:v>
                </c:pt>
                <c:pt idx="1">
                  <c:v>7.4323076923076927</c:v>
                </c:pt>
              </c:numCache>
            </c:numRef>
          </c:xVal>
          <c:yVal>
            <c:numRef>
              <c:f>Summary!$BI$172:$BK$172</c:f>
              <c:numCache>
                <c:formatCode>0.00</c:formatCode>
                <c:ptCount val="3"/>
                <c:pt idx="0">
                  <c:v>2.8787878787878789</c:v>
                </c:pt>
                <c:pt idx="1">
                  <c:v>4.0210006176652255</c:v>
                </c:pt>
                <c:pt idx="2">
                  <c:v>6.4853731343283583</c:v>
                </c:pt>
              </c:numCache>
            </c:numRef>
          </c:yVal>
          <c:smooth val="0"/>
          <c:extLst>
            <c:ext xmlns:c16="http://schemas.microsoft.com/office/drawing/2014/chart" uri="{C3380CC4-5D6E-409C-BE32-E72D297353CC}">
              <c16:uniqueId val="{00000003-8A1D-4CC7-A2E5-A6127AD4DBE8}"/>
            </c:ext>
          </c:extLst>
        </c:ser>
        <c:ser>
          <c:idx val="5"/>
          <c:order val="4"/>
          <c:tx>
            <c:v>Attack/Dive &amp; Torp Bomber Folding</c:v>
          </c:tx>
          <c:spPr>
            <a:ln w="25400" cap="rnd">
              <a:noFill/>
              <a:round/>
            </a:ln>
            <a:effectLst/>
          </c:spPr>
          <c:marker>
            <c:symbol val="diamond"/>
            <c:size val="10"/>
            <c:spPr>
              <a:noFill/>
              <a:ln w="25400">
                <a:solidFill>
                  <a:srgbClr val="FF0000"/>
                </a:solidFill>
              </a:ln>
              <a:effectLst/>
            </c:spPr>
          </c:marker>
          <c:xVal>
            <c:numRef>
              <c:f>Summary!$BL$59:$BP$59</c:f>
              <c:numCache>
                <c:formatCode>0.00</c:formatCode>
                <c:ptCount val="5"/>
                <c:pt idx="0">
                  <c:v>6.6403703703703707</c:v>
                </c:pt>
                <c:pt idx="1">
                  <c:v>8.1300000000000008</c:v>
                </c:pt>
                <c:pt idx="2">
                  <c:v>6.1307999999999998</c:v>
                </c:pt>
                <c:pt idx="4">
                  <c:v>8.6515789473684208</c:v>
                </c:pt>
              </c:numCache>
            </c:numRef>
          </c:xVal>
          <c:yVal>
            <c:numRef>
              <c:f>Summary!$BL$172:$BP$172</c:f>
              <c:numCache>
                <c:formatCode>0.00</c:formatCode>
                <c:ptCount val="5"/>
                <c:pt idx="0">
                  <c:v>6.4725000000000001</c:v>
                </c:pt>
                <c:pt idx="1">
                  <c:v>7.1516587677725116</c:v>
                </c:pt>
                <c:pt idx="2">
                  <c:v>5.0274999999999999</c:v>
                </c:pt>
                <c:pt idx="4">
                  <c:v>5.0571428571428569</c:v>
                </c:pt>
              </c:numCache>
            </c:numRef>
          </c:yVal>
          <c:smooth val="0"/>
          <c:extLst>
            <c:ext xmlns:c16="http://schemas.microsoft.com/office/drawing/2014/chart" uri="{C3380CC4-5D6E-409C-BE32-E72D297353CC}">
              <c16:uniqueId val="{00000004-8A1D-4CC7-A2E5-A6127AD4DBE8}"/>
            </c:ext>
          </c:extLst>
        </c:ser>
        <c:ser>
          <c:idx val="3"/>
          <c:order val="5"/>
          <c:tx>
            <c:v>Trainers</c:v>
          </c:tx>
          <c:spPr>
            <a:ln w="25400" cap="rnd">
              <a:noFill/>
              <a:round/>
            </a:ln>
            <a:effectLst/>
          </c:spPr>
          <c:marker>
            <c:symbol val="triangle"/>
            <c:size val="9"/>
            <c:spPr>
              <a:solidFill>
                <a:srgbClr val="FFC000"/>
              </a:solidFill>
              <a:ln w="9525">
                <a:solidFill>
                  <a:srgbClr val="FFC000"/>
                </a:solidFill>
              </a:ln>
              <a:effectLst/>
            </c:spPr>
          </c:marker>
          <c:xVal>
            <c:numRef>
              <c:f>Summary!$BR$59:$BZ$59</c:f>
              <c:numCache>
                <c:formatCode>0.00</c:formatCode>
                <c:ptCount val="9"/>
                <c:pt idx="0">
                  <c:v>13.765714285714285</c:v>
                </c:pt>
                <c:pt idx="1">
                  <c:v>13.901515151515152</c:v>
                </c:pt>
                <c:pt idx="2">
                  <c:v>9.372727272727273</c:v>
                </c:pt>
                <c:pt idx="3">
                  <c:v>11.105</c:v>
                </c:pt>
                <c:pt idx="4">
                  <c:v>21.70888888888889</c:v>
                </c:pt>
                <c:pt idx="5">
                  <c:v>9.36</c:v>
                </c:pt>
                <c:pt idx="6">
                  <c:v>8.7016666666666662</c:v>
                </c:pt>
                <c:pt idx="7">
                  <c:v>8.6866666666666674</c:v>
                </c:pt>
                <c:pt idx="8">
                  <c:v>8.7750000000000004</c:v>
                </c:pt>
              </c:numCache>
            </c:numRef>
          </c:xVal>
          <c:yVal>
            <c:numRef>
              <c:f>Summary!$BR$172:$BZ$172</c:f>
              <c:numCache>
                <c:formatCode>0.00</c:formatCode>
                <c:ptCount val="9"/>
                <c:pt idx="0">
                  <c:v>2.4900000000000002</c:v>
                </c:pt>
                <c:pt idx="1">
                  <c:v>2.3548387096774195</c:v>
                </c:pt>
                <c:pt idx="2">
                  <c:v>2.7727272727272729</c:v>
                </c:pt>
                <c:pt idx="3">
                  <c:v>2.6733870967741935</c:v>
                </c:pt>
                <c:pt idx="4">
                  <c:v>3.0685883038016804</c:v>
                </c:pt>
                <c:pt idx="5">
                  <c:v>2.9707112970711296</c:v>
                </c:pt>
                <c:pt idx="6">
                  <c:v>3.1822222222222223</c:v>
                </c:pt>
                <c:pt idx="7">
                  <c:v>2.8787291747384733</c:v>
                </c:pt>
                <c:pt idx="8">
                  <c:v>2.975603988491704</c:v>
                </c:pt>
              </c:numCache>
            </c:numRef>
          </c:yVal>
          <c:smooth val="0"/>
          <c:extLst>
            <c:ext xmlns:c16="http://schemas.microsoft.com/office/drawing/2014/chart" uri="{C3380CC4-5D6E-409C-BE32-E72D297353CC}">
              <c16:uniqueId val="{00000005-8A1D-4CC7-A2E5-A6127AD4DBE8}"/>
            </c:ext>
          </c:extLst>
        </c:ser>
        <c:ser>
          <c:idx val="6"/>
          <c:order val="6"/>
          <c:tx>
            <c:v>Trainers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Summary!$CA$59</c:f>
              <c:numCache>
                <c:formatCode>General</c:formatCode>
                <c:ptCount val="1"/>
                <c:pt idx="0">
                  <c:v>11.97</c:v>
                </c:pt>
              </c:numCache>
            </c:numRef>
          </c:xVal>
          <c:yVal>
            <c:numRef>
              <c:f>Summary!$CA$172</c:f>
              <c:numCache>
                <c:formatCode>0.00</c:formatCode>
                <c:ptCount val="1"/>
                <c:pt idx="0">
                  <c:v>1.4899328859060403</c:v>
                </c:pt>
              </c:numCache>
            </c:numRef>
          </c:yVal>
          <c:smooth val="0"/>
          <c:extLst>
            <c:ext xmlns:c16="http://schemas.microsoft.com/office/drawing/2014/chart" uri="{C3380CC4-5D6E-409C-BE32-E72D297353CC}">
              <c16:uniqueId val="{00000000-CDF7-470F-BCE8-808679182532}"/>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Power Density (lb/HP)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Specific Wt (lb/sq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7556524755154842"/>
          <c:y val="0.10463677294509889"/>
          <c:w val="0.20511606995232876"/>
          <c:h val="0.238598523651774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Wing  Span vs Wing Area</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1"/>
            <c:dispEq val="1"/>
            <c:trendlineLbl>
              <c:layout>
                <c:manualLayout>
                  <c:x val="-8.1537963815658823E-2"/>
                  <c:y val="-6.8588021930990192E-3"/>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Summary!$C$33:$BZ$33</c:f>
              <c:numCache>
                <c:formatCode>General</c:formatCode>
                <c:ptCount val="76"/>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pt idx="19">
                  <c:v>213.22</c:v>
                </c:pt>
                <c:pt idx="20">
                  <c:v>213.22</c:v>
                </c:pt>
                <c:pt idx="21">
                  <c:v>213.22</c:v>
                </c:pt>
                <c:pt idx="22">
                  <c:v>213.22</c:v>
                </c:pt>
                <c:pt idx="23">
                  <c:v>213.22</c:v>
                </c:pt>
                <c:pt idx="24">
                  <c:v>248</c:v>
                </c:pt>
                <c:pt idx="25">
                  <c:v>248</c:v>
                </c:pt>
                <c:pt idx="26">
                  <c:v>248</c:v>
                </c:pt>
                <c:pt idx="28">
                  <c:v>208.9</c:v>
                </c:pt>
                <c:pt idx="29">
                  <c:v>208.9</c:v>
                </c:pt>
                <c:pt idx="30">
                  <c:v>208.9</c:v>
                </c:pt>
                <c:pt idx="31">
                  <c:v>208.9</c:v>
                </c:pt>
                <c:pt idx="32">
                  <c:v>208.9</c:v>
                </c:pt>
                <c:pt idx="33">
                  <c:v>208.9</c:v>
                </c:pt>
                <c:pt idx="34">
                  <c:v>208.9</c:v>
                </c:pt>
                <c:pt idx="35">
                  <c:v>208.9</c:v>
                </c:pt>
                <c:pt idx="36">
                  <c:v>208.9</c:v>
                </c:pt>
                <c:pt idx="37">
                  <c:v>208.9</c:v>
                </c:pt>
                <c:pt idx="38">
                  <c:v>208.9</c:v>
                </c:pt>
                <c:pt idx="39">
                  <c:v>208.9</c:v>
                </c:pt>
                <c:pt idx="40">
                  <c:v>208.9</c:v>
                </c:pt>
                <c:pt idx="41">
                  <c:v>260</c:v>
                </c:pt>
                <c:pt idx="42">
                  <c:v>260</c:v>
                </c:pt>
                <c:pt idx="43">
                  <c:v>260</c:v>
                </c:pt>
                <c:pt idx="44">
                  <c:v>260</c:v>
                </c:pt>
                <c:pt idx="45">
                  <c:v>260</c:v>
                </c:pt>
                <c:pt idx="46">
                  <c:v>260</c:v>
                </c:pt>
                <c:pt idx="47">
                  <c:v>314</c:v>
                </c:pt>
                <c:pt idx="48">
                  <c:v>314</c:v>
                </c:pt>
                <c:pt idx="49">
                  <c:v>314</c:v>
                </c:pt>
                <c:pt idx="50">
                  <c:v>314</c:v>
                </c:pt>
                <c:pt idx="51">
                  <c:v>334</c:v>
                </c:pt>
                <c:pt idx="52">
                  <c:v>334</c:v>
                </c:pt>
                <c:pt idx="53">
                  <c:v>334</c:v>
                </c:pt>
                <c:pt idx="54">
                  <c:v>334</c:v>
                </c:pt>
                <c:pt idx="55">
                  <c:v>334</c:v>
                </c:pt>
                <c:pt idx="56">
                  <c:v>244</c:v>
                </c:pt>
                <c:pt idx="58">
                  <c:v>363</c:v>
                </c:pt>
                <c:pt idx="59">
                  <c:v>323.8</c:v>
                </c:pt>
                <c:pt idx="60">
                  <c:v>335</c:v>
                </c:pt>
                <c:pt idx="61">
                  <c:v>400</c:v>
                </c:pt>
                <c:pt idx="62">
                  <c:v>422</c:v>
                </c:pt>
                <c:pt idx="63">
                  <c:v>400</c:v>
                </c:pt>
                <c:pt idx="65">
                  <c:v>490</c:v>
                </c:pt>
                <c:pt idx="67">
                  <c:v>200</c:v>
                </c:pt>
                <c:pt idx="68">
                  <c:v>124</c:v>
                </c:pt>
                <c:pt idx="69">
                  <c:v>220</c:v>
                </c:pt>
                <c:pt idx="70">
                  <c:v>248</c:v>
                </c:pt>
                <c:pt idx="71">
                  <c:v>240.42</c:v>
                </c:pt>
                <c:pt idx="72">
                  <c:v>239</c:v>
                </c:pt>
                <c:pt idx="73">
                  <c:v>225</c:v>
                </c:pt>
                <c:pt idx="74">
                  <c:v>258.10000000000002</c:v>
                </c:pt>
                <c:pt idx="75">
                  <c:v>253.73</c:v>
                </c:pt>
              </c:numCache>
            </c:numRef>
          </c:xVal>
          <c:yVal>
            <c:numRef>
              <c:f>Summary!$C$30:$BZ$30</c:f>
              <c:numCache>
                <c:formatCode>General</c:formatCode>
                <c:ptCount val="76"/>
                <c:pt idx="0" formatCode="0.00">
                  <c:v>27.958333333333332</c:v>
                </c:pt>
                <c:pt idx="1">
                  <c:v>36</c:v>
                </c:pt>
                <c:pt idx="2" formatCode="0.0">
                  <c:v>37.333333333333336</c:v>
                </c:pt>
                <c:pt idx="3">
                  <c:v>37.299999999999997</c:v>
                </c:pt>
                <c:pt idx="4">
                  <c:v>37.299999999999997</c:v>
                </c:pt>
                <c:pt idx="5" formatCode="0.0">
                  <c:v>37.291666666666664</c:v>
                </c:pt>
                <c:pt idx="6" formatCode="0.0">
                  <c:v>37.291666666666664</c:v>
                </c:pt>
                <c:pt idx="7" formatCode="0.0">
                  <c:v>37.291666666666664</c:v>
                </c:pt>
                <c:pt idx="8" formatCode="0.0">
                  <c:v>37.291666666666664</c:v>
                </c:pt>
                <c:pt idx="10" formatCode="0.0">
                  <c:v>37.291666666666664</c:v>
                </c:pt>
                <c:pt idx="11" formatCode="0.0">
                  <c:v>37.291666666666664</c:v>
                </c:pt>
                <c:pt idx="12">
                  <c:v>40.799999999999997</c:v>
                </c:pt>
                <c:pt idx="16" formatCode="0.00">
                  <c:v>37.026041666666664</c:v>
                </c:pt>
                <c:pt idx="17" formatCode="0.0">
                  <c:v>43.916666666666664</c:v>
                </c:pt>
                <c:pt idx="18">
                  <c:v>34</c:v>
                </c:pt>
                <c:pt idx="19">
                  <c:v>34</c:v>
                </c:pt>
                <c:pt idx="20">
                  <c:v>34</c:v>
                </c:pt>
                <c:pt idx="28">
                  <c:v>35</c:v>
                </c:pt>
                <c:pt idx="29">
                  <c:v>35</c:v>
                </c:pt>
                <c:pt idx="30">
                  <c:v>35</c:v>
                </c:pt>
                <c:pt idx="31">
                  <c:v>35</c:v>
                </c:pt>
                <c:pt idx="32">
                  <c:v>35</c:v>
                </c:pt>
                <c:pt idx="33">
                  <c:v>35</c:v>
                </c:pt>
                <c:pt idx="34">
                  <c:v>35</c:v>
                </c:pt>
                <c:pt idx="35">
                  <c:v>35</c:v>
                </c:pt>
                <c:pt idx="36">
                  <c:v>35</c:v>
                </c:pt>
                <c:pt idx="37">
                  <c:v>35</c:v>
                </c:pt>
                <c:pt idx="38">
                  <c:v>35</c:v>
                </c:pt>
                <c:pt idx="39">
                  <c:v>35</c:v>
                </c:pt>
                <c:pt idx="40">
                  <c:v>35</c:v>
                </c:pt>
                <c:pt idx="41">
                  <c:v>38</c:v>
                </c:pt>
                <c:pt idx="42">
                  <c:v>38</c:v>
                </c:pt>
                <c:pt idx="43">
                  <c:v>38</c:v>
                </c:pt>
                <c:pt idx="44">
                  <c:v>38</c:v>
                </c:pt>
                <c:pt idx="45">
                  <c:v>38</c:v>
                </c:pt>
                <c:pt idx="47" formatCode="0.00">
                  <c:v>40.977499999999999</c:v>
                </c:pt>
                <c:pt idx="48" formatCode="0.00">
                  <c:v>40.977499999999999</c:v>
                </c:pt>
                <c:pt idx="49">
                  <c:v>41</c:v>
                </c:pt>
                <c:pt idx="50" formatCode="0.00">
                  <c:v>40.977499999999999</c:v>
                </c:pt>
                <c:pt idx="51" formatCode="0.00">
                  <c:v>42.833333333333336</c:v>
                </c:pt>
                <c:pt idx="52" formatCode="0.00">
                  <c:v>42.833333333333336</c:v>
                </c:pt>
                <c:pt idx="53" formatCode="0.00">
                  <c:v>42.833333333333336</c:v>
                </c:pt>
                <c:pt idx="54" formatCode="0.00">
                  <c:v>42.833333333333336</c:v>
                </c:pt>
                <c:pt idx="55" formatCode="0.00">
                  <c:v>42.833333333333336</c:v>
                </c:pt>
                <c:pt idx="56">
                  <c:v>35.5</c:v>
                </c:pt>
                <c:pt idx="58">
                  <c:v>47.8</c:v>
                </c:pt>
                <c:pt idx="59" formatCode="0.00">
                  <c:v>41.510416666666664</c:v>
                </c:pt>
                <c:pt idx="60" formatCode="0.00">
                  <c:v>48</c:v>
                </c:pt>
                <c:pt idx="61">
                  <c:v>50</c:v>
                </c:pt>
                <c:pt idx="62">
                  <c:v>49.7</c:v>
                </c:pt>
                <c:pt idx="63">
                  <c:v>50</c:v>
                </c:pt>
                <c:pt idx="65">
                  <c:v>54.2</c:v>
                </c:pt>
                <c:pt idx="71" formatCode="0.00">
                  <c:v>40.333333333333336</c:v>
                </c:pt>
                <c:pt idx="74" formatCode="0.00">
                  <c:v>42.604166666666664</c:v>
                </c:pt>
                <c:pt idx="75" formatCode="0.00">
                  <c:v>42.020833333333336</c:v>
                </c:pt>
              </c:numCache>
            </c:numRef>
          </c:yVal>
          <c:smooth val="0"/>
          <c:extLst>
            <c:ext xmlns:c16="http://schemas.microsoft.com/office/drawing/2014/chart" uri="{C3380CC4-5D6E-409C-BE32-E72D297353CC}">
              <c16:uniqueId val="{00000001-8F3A-4D89-A391-06F854FC798F}"/>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Summary!$C$33:$AC$33</c:f>
              <c:numCache>
                <c:formatCode>General</c:formatCode>
                <c:ptCount val="27"/>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pt idx="19">
                  <c:v>213.22</c:v>
                </c:pt>
                <c:pt idx="20">
                  <c:v>213.22</c:v>
                </c:pt>
                <c:pt idx="21">
                  <c:v>213.22</c:v>
                </c:pt>
                <c:pt idx="22">
                  <c:v>213.22</c:v>
                </c:pt>
                <c:pt idx="23">
                  <c:v>213.22</c:v>
                </c:pt>
                <c:pt idx="24">
                  <c:v>248</c:v>
                </c:pt>
                <c:pt idx="25">
                  <c:v>248</c:v>
                </c:pt>
                <c:pt idx="26">
                  <c:v>248</c:v>
                </c:pt>
              </c:numCache>
            </c:numRef>
          </c:xVal>
          <c:yVal>
            <c:numRef>
              <c:f>Summary!$C$30:$AC$30</c:f>
              <c:numCache>
                <c:formatCode>General</c:formatCode>
                <c:ptCount val="27"/>
                <c:pt idx="0" formatCode="0.00">
                  <c:v>27.958333333333332</c:v>
                </c:pt>
                <c:pt idx="1">
                  <c:v>36</c:v>
                </c:pt>
                <c:pt idx="2" formatCode="0.0">
                  <c:v>37.333333333333336</c:v>
                </c:pt>
                <c:pt idx="3">
                  <c:v>37.299999999999997</c:v>
                </c:pt>
                <c:pt idx="4">
                  <c:v>37.299999999999997</c:v>
                </c:pt>
                <c:pt idx="5" formatCode="0.0">
                  <c:v>37.291666666666664</c:v>
                </c:pt>
                <c:pt idx="6" formatCode="0.0">
                  <c:v>37.291666666666664</c:v>
                </c:pt>
                <c:pt idx="7" formatCode="0.0">
                  <c:v>37.291666666666664</c:v>
                </c:pt>
                <c:pt idx="8" formatCode="0.0">
                  <c:v>37.291666666666664</c:v>
                </c:pt>
                <c:pt idx="10" formatCode="0.0">
                  <c:v>37.291666666666664</c:v>
                </c:pt>
                <c:pt idx="11" formatCode="0.0">
                  <c:v>37.291666666666664</c:v>
                </c:pt>
                <c:pt idx="12">
                  <c:v>40.799999999999997</c:v>
                </c:pt>
                <c:pt idx="16" formatCode="0.00">
                  <c:v>37.026041666666664</c:v>
                </c:pt>
                <c:pt idx="17" formatCode="0.0">
                  <c:v>43.916666666666664</c:v>
                </c:pt>
                <c:pt idx="18">
                  <c:v>34</c:v>
                </c:pt>
                <c:pt idx="19">
                  <c:v>34</c:v>
                </c:pt>
                <c:pt idx="20">
                  <c:v>34</c:v>
                </c:pt>
              </c:numCache>
            </c:numRef>
          </c:yVal>
          <c:smooth val="0"/>
          <c:extLst>
            <c:ext xmlns:c16="http://schemas.microsoft.com/office/drawing/2014/chart" uri="{C3380CC4-5D6E-409C-BE32-E72D297353CC}">
              <c16:uniqueId val="{00000002-8F3A-4D89-A391-06F854FC798F}"/>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Summary!$AE$33:$BG$33</c:f>
              <c:numCache>
                <c:formatCode>General</c:formatCode>
                <c:ptCount val="29"/>
                <c:pt idx="0">
                  <c:v>208.9</c:v>
                </c:pt>
                <c:pt idx="1">
                  <c:v>208.9</c:v>
                </c:pt>
                <c:pt idx="2">
                  <c:v>208.9</c:v>
                </c:pt>
                <c:pt idx="3">
                  <c:v>208.9</c:v>
                </c:pt>
                <c:pt idx="4">
                  <c:v>208.9</c:v>
                </c:pt>
                <c:pt idx="5">
                  <c:v>208.9</c:v>
                </c:pt>
                <c:pt idx="6">
                  <c:v>208.9</c:v>
                </c:pt>
                <c:pt idx="7">
                  <c:v>208.9</c:v>
                </c:pt>
                <c:pt idx="8">
                  <c:v>208.9</c:v>
                </c:pt>
                <c:pt idx="9">
                  <c:v>208.9</c:v>
                </c:pt>
                <c:pt idx="10">
                  <c:v>208.9</c:v>
                </c:pt>
                <c:pt idx="11">
                  <c:v>208.9</c:v>
                </c:pt>
                <c:pt idx="12">
                  <c:v>208.9</c:v>
                </c:pt>
                <c:pt idx="13">
                  <c:v>260</c:v>
                </c:pt>
                <c:pt idx="14">
                  <c:v>260</c:v>
                </c:pt>
                <c:pt idx="15">
                  <c:v>260</c:v>
                </c:pt>
                <c:pt idx="16">
                  <c:v>260</c:v>
                </c:pt>
                <c:pt idx="17">
                  <c:v>260</c:v>
                </c:pt>
                <c:pt idx="18">
                  <c:v>260</c:v>
                </c:pt>
                <c:pt idx="19">
                  <c:v>314</c:v>
                </c:pt>
                <c:pt idx="20">
                  <c:v>314</c:v>
                </c:pt>
                <c:pt idx="21">
                  <c:v>314</c:v>
                </c:pt>
                <c:pt idx="22">
                  <c:v>314</c:v>
                </c:pt>
                <c:pt idx="23">
                  <c:v>334</c:v>
                </c:pt>
                <c:pt idx="24">
                  <c:v>334</c:v>
                </c:pt>
                <c:pt idx="25">
                  <c:v>334</c:v>
                </c:pt>
                <c:pt idx="26">
                  <c:v>334</c:v>
                </c:pt>
                <c:pt idx="27">
                  <c:v>334</c:v>
                </c:pt>
                <c:pt idx="28">
                  <c:v>244</c:v>
                </c:pt>
              </c:numCache>
            </c:numRef>
          </c:xVal>
          <c:yVal>
            <c:numRef>
              <c:f>Summary!$AE$30:$BG$30</c:f>
              <c:numCache>
                <c:formatCode>General</c:formatCode>
                <c:ptCount val="29"/>
                <c:pt idx="0">
                  <c:v>35</c:v>
                </c:pt>
                <c:pt idx="1">
                  <c:v>35</c:v>
                </c:pt>
                <c:pt idx="2">
                  <c:v>35</c:v>
                </c:pt>
                <c:pt idx="3">
                  <c:v>35</c:v>
                </c:pt>
                <c:pt idx="4">
                  <c:v>35</c:v>
                </c:pt>
                <c:pt idx="5">
                  <c:v>35</c:v>
                </c:pt>
                <c:pt idx="6">
                  <c:v>35</c:v>
                </c:pt>
                <c:pt idx="7">
                  <c:v>35</c:v>
                </c:pt>
                <c:pt idx="8">
                  <c:v>35</c:v>
                </c:pt>
                <c:pt idx="9">
                  <c:v>35</c:v>
                </c:pt>
                <c:pt idx="10">
                  <c:v>35</c:v>
                </c:pt>
                <c:pt idx="11">
                  <c:v>35</c:v>
                </c:pt>
                <c:pt idx="12">
                  <c:v>35</c:v>
                </c:pt>
                <c:pt idx="13">
                  <c:v>38</c:v>
                </c:pt>
                <c:pt idx="14">
                  <c:v>38</c:v>
                </c:pt>
                <c:pt idx="15">
                  <c:v>38</c:v>
                </c:pt>
                <c:pt idx="16">
                  <c:v>38</c:v>
                </c:pt>
                <c:pt idx="17">
                  <c:v>38</c:v>
                </c:pt>
                <c:pt idx="19" formatCode="0.00">
                  <c:v>40.977499999999999</c:v>
                </c:pt>
                <c:pt idx="20" formatCode="0.00">
                  <c:v>40.977499999999999</c:v>
                </c:pt>
                <c:pt idx="21">
                  <c:v>41</c:v>
                </c:pt>
                <c:pt idx="22" formatCode="0.00">
                  <c:v>40.977499999999999</c:v>
                </c:pt>
                <c:pt idx="23" formatCode="0.00">
                  <c:v>42.833333333333336</c:v>
                </c:pt>
                <c:pt idx="24" formatCode="0.00">
                  <c:v>42.833333333333336</c:v>
                </c:pt>
                <c:pt idx="25" formatCode="0.00">
                  <c:v>42.833333333333336</c:v>
                </c:pt>
                <c:pt idx="26" formatCode="0.00">
                  <c:v>42.833333333333336</c:v>
                </c:pt>
                <c:pt idx="27" formatCode="0.00">
                  <c:v>42.833333333333336</c:v>
                </c:pt>
                <c:pt idx="28">
                  <c:v>35.5</c:v>
                </c:pt>
              </c:numCache>
            </c:numRef>
          </c:yVal>
          <c:smooth val="0"/>
          <c:extLst>
            <c:ext xmlns:c16="http://schemas.microsoft.com/office/drawing/2014/chart" uri="{C3380CC4-5D6E-409C-BE32-E72D297353CC}">
              <c16:uniqueId val="{00000003-8F3A-4D89-A391-06F854FC798F}"/>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Summary!$BI$33:$BP$33</c:f>
              <c:numCache>
                <c:formatCode>General</c:formatCode>
                <c:ptCount val="8"/>
                <c:pt idx="0">
                  <c:v>363</c:v>
                </c:pt>
                <c:pt idx="1">
                  <c:v>323.8</c:v>
                </c:pt>
                <c:pt idx="2">
                  <c:v>335</c:v>
                </c:pt>
                <c:pt idx="3">
                  <c:v>400</c:v>
                </c:pt>
                <c:pt idx="4">
                  <c:v>422</c:v>
                </c:pt>
                <c:pt idx="5">
                  <c:v>400</c:v>
                </c:pt>
                <c:pt idx="7">
                  <c:v>490</c:v>
                </c:pt>
              </c:numCache>
            </c:numRef>
          </c:xVal>
          <c:yVal>
            <c:numRef>
              <c:f>Summary!$BI$30:$BP$30</c:f>
              <c:numCache>
                <c:formatCode>0.00</c:formatCode>
                <c:ptCount val="8"/>
                <c:pt idx="0" formatCode="General">
                  <c:v>47.8</c:v>
                </c:pt>
                <c:pt idx="1">
                  <c:v>41.510416666666664</c:v>
                </c:pt>
                <c:pt idx="2">
                  <c:v>48</c:v>
                </c:pt>
                <c:pt idx="3" formatCode="General">
                  <c:v>50</c:v>
                </c:pt>
                <c:pt idx="4" formatCode="General">
                  <c:v>49.7</c:v>
                </c:pt>
                <c:pt idx="5" formatCode="General">
                  <c:v>50</c:v>
                </c:pt>
                <c:pt idx="7" formatCode="General">
                  <c:v>54.2</c:v>
                </c:pt>
              </c:numCache>
            </c:numRef>
          </c:yVal>
          <c:smooth val="0"/>
          <c:extLst>
            <c:ext xmlns:c16="http://schemas.microsoft.com/office/drawing/2014/chart" uri="{C3380CC4-5D6E-409C-BE32-E72D297353CC}">
              <c16:uniqueId val="{00000004-8F3A-4D89-A391-06F854FC798F}"/>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Summary!$BR$33:$BZ$33</c:f>
              <c:numCache>
                <c:formatCode>General</c:formatCode>
                <c:ptCount val="9"/>
                <c:pt idx="0">
                  <c:v>200</c:v>
                </c:pt>
                <c:pt idx="1">
                  <c:v>124</c:v>
                </c:pt>
                <c:pt idx="2">
                  <c:v>220</c:v>
                </c:pt>
                <c:pt idx="3">
                  <c:v>248</c:v>
                </c:pt>
                <c:pt idx="4">
                  <c:v>240.42</c:v>
                </c:pt>
                <c:pt idx="5">
                  <c:v>239</c:v>
                </c:pt>
                <c:pt idx="6">
                  <c:v>225</c:v>
                </c:pt>
                <c:pt idx="7">
                  <c:v>258.10000000000002</c:v>
                </c:pt>
                <c:pt idx="8">
                  <c:v>253.73</c:v>
                </c:pt>
              </c:numCache>
            </c:numRef>
          </c:xVal>
          <c:yVal>
            <c:numRef>
              <c:f>Summary!$BR$30:$BZ$30</c:f>
              <c:numCache>
                <c:formatCode>General</c:formatCode>
                <c:ptCount val="9"/>
                <c:pt idx="4" formatCode="0.00">
                  <c:v>40.333333333333336</c:v>
                </c:pt>
                <c:pt idx="7" formatCode="0.00">
                  <c:v>42.604166666666664</c:v>
                </c:pt>
                <c:pt idx="8" formatCode="0.00">
                  <c:v>42.020833333333336</c:v>
                </c:pt>
              </c:numCache>
            </c:numRef>
          </c:yVal>
          <c:smooth val="0"/>
          <c:extLst>
            <c:ext xmlns:c16="http://schemas.microsoft.com/office/drawing/2014/chart" uri="{C3380CC4-5D6E-409C-BE32-E72D297353CC}">
              <c16:uniqueId val="{00000005-8F3A-4D89-A391-06F854FC798F}"/>
            </c:ext>
          </c:extLst>
        </c:ser>
        <c:ser>
          <c:idx val="5"/>
          <c:order val="5"/>
          <c:tx>
            <c:v>Trainers - Bipane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Summary!$CA$33</c:f>
              <c:numCache>
                <c:formatCode>General</c:formatCode>
                <c:ptCount val="1"/>
                <c:pt idx="0">
                  <c:v>298</c:v>
                </c:pt>
              </c:numCache>
            </c:numRef>
          </c:xVal>
          <c:yVal>
            <c:numRef>
              <c:f>Summary!$CA$30</c:f>
              <c:numCache>
                <c:formatCode>General</c:formatCode>
                <c:ptCount val="1"/>
              </c:numCache>
            </c:numRef>
          </c:yVal>
          <c:smooth val="0"/>
          <c:extLst>
            <c:ext xmlns:c16="http://schemas.microsoft.com/office/drawing/2014/chart" uri="{C3380CC4-5D6E-409C-BE32-E72D297353CC}">
              <c16:uniqueId val="{00000001-5EEB-49E4-A3FA-3E2A42734B6D}"/>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Wing Area (sq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Span/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2045130202729493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Wing Span vs Basic Mission Gross Wt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rgbClr val="FF0000"/>
              </a:solidFill>
              <a:ln w="9525">
                <a:solidFill>
                  <a:srgbClr val="FF0000"/>
                </a:solidFill>
              </a:ln>
              <a:effectLst/>
            </c:spPr>
          </c:marker>
          <c:trendline>
            <c:spPr>
              <a:ln w="19050" cap="rnd">
                <a:solidFill>
                  <a:schemeClr val="accent5"/>
                </a:solidFill>
                <a:prstDash val="sysDot"/>
              </a:ln>
              <a:effectLst/>
            </c:spPr>
            <c:trendlineType val="linear"/>
            <c:dispRSqr val="1"/>
            <c:dispEq val="1"/>
            <c:trendlineLbl>
              <c:layout>
                <c:manualLayout>
                  <c:x val="-9.7291139205429769E-2"/>
                  <c:y val="-7.1318342099081347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Summary!$C$147:$BZ$147</c:f>
              <c:numCache>
                <c:formatCode>General</c:formatCode>
                <c:ptCount val="76"/>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numCache>
            </c:numRef>
          </c:xVal>
          <c:yVal>
            <c:numRef>
              <c:f>Summary!$C$30:$BZ$30</c:f>
              <c:numCache>
                <c:formatCode>General</c:formatCode>
                <c:ptCount val="76"/>
                <c:pt idx="0" formatCode="0.00">
                  <c:v>27.958333333333332</c:v>
                </c:pt>
                <c:pt idx="1">
                  <c:v>36</c:v>
                </c:pt>
                <c:pt idx="2" formatCode="0.0">
                  <c:v>37.333333333333336</c:v>
                </c:pt>
                <c:pt idx="3">
                  <c:v>37.299999999999997</c:v>
                </c:pt>
                <c:pt idx="4">
                  <c:v>37.299999999999997</c:v>
                </c:pt>
                <c:pt idx="5" formatCode="0.0">
                  <c:v>37.291666666666664</c:v>
                </c:pt>
                <c:pt idx="6" formatCode="0.0">
                  <c:v>37.291666666666664</c:v>
                </c:pt>
                <c:pt idx="7" formatCode="0.0">
                  <c:v>37.291666666666664</c:v>
                </c:pt>
                <c:pt idx="8" formatCode="0.0">
                  <c:v>37.291666666666664</c:v>
                </c:pt>
                <c:pt idx="10" formatCode="0.0">
                  <c:v>37.291666666666664</c:v>
                </c:pt>
                <c:pt idx="11" formatCode="0.0">
                  <c:v>37.291666666666664</c:v>
                </c:pt>
                <c:pt idx="12">
                  <c:v>40.799999999999997</c:v>
                </c:pt>
                <c:pt idx="16" formatCode="0.00">
                  <c:v>37.026041666666664</c:v>
                </c:pt>
                <c:pt idx="17" formatCode="0.0">
                  <c:v>43.916666666666664</c:v>
                </c:pt>
                <c:pt idx="18">
                  <c:v>34</c:v>
                </c:pt>
                <c:pt idx="19">
                  <c:v>34</c:v>
                </c:pt>
                <c:pt idx="20">
                  <c:v>34</c:v>
                </c:pt>
                <c:pt idx="28">
                  <c:v>35</c:v>
                </c:pt>
                <c:pt idx="29">
                  <c:v>35</c:v>
                </c:pt>
                <c:pt idx="30">
                  <c:v>35</c:v>
                </c:pt>
                <c:pt idx="31">
                  <c:v>35</c:v>
                </c:pt>
                <c:pt idx="32">
                  <c:v>35</c:v>
                </c:pt>
                <c:pt idx="33">
                  <c:v>35</c:v>
                </c:pt>
                <c:pt idx="34">
                  <c:v>35</c:v>
                </c:pt>
                <c:pt idx="35">
                  <c:v>35</c:v>
                </c:pt>
                <c:pt idx="36">
                  <c:v>35</c:v>
                </c:pt>
                <c:pt idx="37">
                  <c:v>35</c:v>
                </c:pt>
                <c:pt idx="38">
                  <c:v>35</c:v>
                </c:pt>
                <c:pt idx="39">
                  <c:v>35</c:v>
                </c:pt>
                <c:pt idx="40">
                  <c:v>35</c:v>
                </c:pt>
                <c:pt idx="41">
                  <c:v>38</c:v>
                </c:pt>
                <c:pt idx="42">
                  <c:v>38</c:v>
                </c:pt>
                <c:pt idx="43">
                  <c:v>38</c:v>
                </c:pt>
                <c:pt idx="44">
                  <c:v>38</c:v>
                </c:pt>
                <c:pt idx="45">
                  <c:v>38</c:v>
                </c:pt>
                <c:pt idx="47" formatCode="0.00">
                  <c:v>40.977499999999999</c:v>
                </c:pt>
                <c:pt idx="48" formatCode="0.00">
                  <c:v>40.977499999999999</c:v>
                </c:pt>
                <c:pt idx="49">
                  <c:v>41</c:v>
                </c:pt>
                <c:pt idx="50" formatCode="0.00">
                  <c:v>40.977499999999999</c:v>
                </c:pt>
                <c:pt idx="51" formatCode="0.00">
                  <c:v>42.833333333333336</c:v>
                </c:pt>
                <c:pt idx="52" formatCode="0.00">
                  <c:v>42.833333333333336</c:v>
                </c:pt>
                <c:pt idx="53" formatCode="0.00">
                  <c:v>42.833333333333336</c:v>
                </c:pt>
                <c:pt idx="54" formatCode="0.00">
                  <c:v>42.833333333333336</c:v>
                </c:pt>
                <c:pt idx="55" formatCode="0.00">
                  <c:v>42.833333333333336</c:v>
                </c:pt>
                <c:pt idx="56">
                  <c:v>35.5</c:v>
                </c:pt>
                <c:pt idx="58">
                  <c:v>47.8</c:v>
                </c:pt>
                <c:pt idx="59" formatCode="0.00">
                  <c:v>41.510416666666664</c:v>
                </c:pt>
                <c:pt idx="60" formatCode="0.00">
                  <c:v>48</c:v>
                </c:pt>
                <c:pt idx="61">
                  <c:v>50</c:v>
                </c:pt>
                <c:pt idx="62">
                  <c:v>49.7</c:v>
                </c:pt>
                <c:pt idx="63">
                  <c:v>50</c:v>
                </c:pt>
                <c:pt idx="65">
                  <c:v>54.2</c:v>
                </c:pt>
                <c:pt idx="71" formatCode="0.00">
                  <c:v>40.333333333333336</c:v>
                </c:pt>
                <c:pt idx="74" formatCode="0.00">
                  <c:v>42.604166666666664</c:v>
                </c:pt>
                <c:pt idx="75" formatCode="0.00">
                  <c:v>42.020833333333336</c:v>
                </c:pt>
              </c:numCache>
            </c:numRef>
          </c:yVal>
          <c:smooth val="0"/>
          <c:extLst>
            <c:ext xmlns:c16="http://schemas.microsoft.com/office/drawing/2014/chart" uri="{C3380CC4-5D6E-409C-BE32-E72D297353CC}">
              <c16:uniqueId val="{00000001-BC73-4B57-9CE7-1C6494CB3B94}"/>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Summary!$C$147:$AC$147</c:f>
              <c:numCache>
                <c:formatCode>General</c:formatCode>
                <c:ptCount val="27"/>
                <c:pt idx="0">
                  <c:v>2935</c:v>
                </c:pt>
                <c:pt idx="1">
                  <c:v>5599</c:v>
                </c:pt>
                <c:pt idx="2">
                  <c:v>5531</c:v>
                </c:pt>
                <c:pt idx="3">
                  <c:v>5689</c:v>
                </c:pt>
                <c:pt idx="4">
                  <c:v>5919</c:v>
                </c:pt>
                <c:pt idx="6">
                  <c:v>8427</c:v>
                </c:pt>
                <c:pt idx="12">
                  <c:v>13373</c:v>
                </c:pt>
                <c:pt idx="16">
                  <c:v>10119</c:v>
                </c:pt>
                <c:pt idx="17">
                  <c:v>5579</c:v>
                </c:pt>
                <c:pt idx="18">
                  <c:v>7403.5</c:v>
                </c:pt>
                <c:pt idx="20">
                  <c:v>7405</c:v>
                </c:pt>
              </c:numCache>
            </c:numRef>
          </c:xVal>
          <c:yVal>
            <c:numRef>
              <c:f>Summary!$C$30:$AC$30</c:f>
              <c:numCache>
                <c:formatCode>General</c:formatCode>
                <c:ptCount val="27"/>
                <c:pt idx="0" formatCode="0.00">
                  <c:v>27.958333333333332</c:v>
                </c:pt>
                <c:pt idx="1">
                  <c:v>36</c:v>
                </c:pt>
                <c:pt idx="2" formatCode="0.0">
                  <c:v>37.333333333333336</c:v>
                </c:pt>
                <c:pt idx="3">
                  <c:v>37.299999999999997</c:v>
                </c:pt>
                <c:pt idx="4">
                  <c:v>37.299999999999997</c:v>
                </c:pt>
                <c:pt idx="5" formatCode="0.0">
                  <c:v>37.291666666666664</c:v>
                </c:pt>
                <c:pt idx="6" formatCode="0.0">
                  <c:v>37.291666666666664</c:v>
                </c:pt>
                <c:pt idx="7" formatCode="0.0">
                  <c:v>37.291666666666664</c:v>
                </c:pt>
                <c:pt idx="8" formatCode="0.0">
                  <c:v>37.291666666666664</c:v>
                </c:pt>
                <c:pt idx="10" formatCode="0.0">
                  <c:v>37.291666666666664</c:v>
                </c:pt>
                <c:pt idx="11" formatCode="0.0">
                  <c:v>37.291666666666664</c:v>
                </c:pt>
                <c:pt idx="12">
                  <c:v>40.799999999999997</c:v>
                </c:pt>
                <c:pt idx="16" formatCode="0.00">
                  <c:v>37.026041666666664</c:v>
                </c:pt>
                <c:pt idx="17" formatCode="0.0">
                  <c:v>43.916666666666664</c:v>
                </c:pt>
                <c:pt idx="18">
                  <c:v>34</c:v>
                </c:pt>
                <c:pt idx="19">
                  <c:v>34</c:v>
                </c:pt>
                <c:pt idx="20">
                  <c:v>34</c:v>
                </c:pt>
              </c:numCache>
            </c:numRef>
          </c:yVal>
          <c:smooth val="0"/>
          <c:extLst>
            <c:ext xmlns:c16="http://schemas.microsoft.com/office/drawing/2014/chart" uri="{C3380CC4-5D6E-409C-BE32-E72D297353CC}">
              <c16:uniqueId val="{00000002-BC73-4B57-9CE7-1C6494CB3B94}"/>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Summary!$AE$30:$BG$30</c:f>
              <c:numCache>
                <c:formatCode>General</c:formatCode>
                <c:ptCount val="29"/>
                <c:pt idx="0">
                  <c:v>35</c:v>
                </c:pt>
                <c:pt idx="1">
                  <c:v>35</c:v>
                </c:pt>
                <c:pt idx="2">
                  <c:v>35</c:v>
                </c:pt>
                <c:pt idx="3">
                  <c:v>35</c:v>
                </c:pt>
                <c:pt idx="4">
                  <c:v>35</c:v>
                </c:pt>
                <c:pt idx="5">
                  <c:v>35</c:v>
                </c:pt>
                <c:pt idx="6">
                  <c:v>35</c:v>
                </c:pt>
                <c:pt idx="7">
                  <c:v>35</c:v>
                </c:pt>
                <c:pt idx="8">
                  <c:v>35</c:v>
                </c:pt>
                <c:pt idx="9">
                  <c:v>35</c:v>
                </c:pt>
                <c:pt idx="10">
                  <c:v>35</c:v>
                </c:pt>
                <c:pt idx="11">
                  <c:v>35</c:v>
                </c:pt>
                <c:pt idx="12">
                  <c:v>35</c:v>
                </c:pt>
                <c:pt idx="13">
                  <c:v>38</c:v>
                </c:pt>
                <c:pt idx="14">
                  <c:v>38</c:v>
                </c:pt>
                <c:pt idx="15">
                  <c:v>38</c:v>
                </c:pt>
                <c:pt idx="16">
                  <c:v>38</c:v>
                </c:pt>
                <c:pt idx="17">
                  <c:v>38</c:v>
                </c:pt>
                <c:pt idx="19" formatCode="0.00">
                  <c:v>40.977499999999999</c:v>
                </c:pt>
                <c:pt idx="20" formatCode="0.00">
                  <c:v>40.977499999999999</c:v>
                </c:pt>
                <c:pt idx="21">
                  <c:v>41</c:v>
                </c:pt>
                <c:pt idx="22" formatCode="0.00">
                  <c:v>40.977499999999999</c:v>
                </c:pt>
                <c:pt idx="23" formatCode="0.00">
                  <c:v>42.833333333333336</c:v>
                </c:pt>
                <c:pt idx="24" formatCode="0.00">
                  <c:v>42.833333333333336</c:v>
                </c:pt>
                <c:pt idx="25" formatCode="0.00">
                  <c:v>42.833333333333336</c:v>
                </c:pt>
                <c:pt idx="26" formatCode="0.00">
                  <c:v>42.833333333333336</c:v>
                </c:pt>
                <c:pt idx="27" formatCode="0.00">
                  <c:v>42.833333333333336</c:v>
                </c:pt>
                <c:pt idx="28">
                  <c:v>35.5</c:v>
                </c:pt>
              </c:numCache>
            </c:numRef>
          </c:yVal>
          <c:smooth val="0"/>
          <c:extLst>
            <c:ext xmlns:c16="http://schemas.microsoft.com/office/drawing/2014/chart" uri="{C3380CC4-5D6E-409C-BE32-E72D297353CC}">
              <c16:uniqueId val="{00000003-BC73-4B57-9CE7-1C6494CB3B94}"/>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Summary!$BI$30:$BP$30</c:f>
              <c:numCache>
                <c:formatCode>0.00</c:formatCode>
                <c:ptCount val="8"/>
                <c:pt idx="0" formatCode="General">
                  <c:v>47.8</c:v>
                </c:pt>
                <c:pt idx="1">
                  <c:v>41.510416666666664</c:v>
                </c:pt>
                <c:pt idx="2">
                  <c:v>48</c:v>
                </c:pt>
                <c:pt idx="3" formatCode="General">
                  <c:v>50</c:v>
                </c:pt>
                <c:pt idx="4" formatCode="General">
                  <c:v>49.7</c:v>
                </c:pt>
                <c:pt idx="5" formatCode="General">
                  <c:v>50</c:v>
                </c:pt>
                <c:pt idx="7" formatCode="General">
                  <c:v>54.2</c:v>
                </c:pt>
              </c:numCache>
            </c:numRef>
          </c:yVal>
          <c:smooth val="0"/>
          <c:extLst>
            <c:ext xmlns:c16="http://schemas.microsoft.com/office/drawing/2014/chart" uri="{C3380CC4-5D6E-409C-BE32-E72D297353CC}">
              <c16:uniqueId val="{00000004-BC73-4B57-9CE7-1C6494CB3B94}"/>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Summary!$BR$147:$BZ$147</c:f>
              <c:numCache>
                <c:formatCode>General</c:formatCode>
                <c:ptCount val="9"/>
                <c:pt idx="0">
                  <c:v>2409</c:v>
                </c:pt>
                <c:pt idx="1">
                  <c:v>1835</c:v>
                </c:pt>
                <c:pt idx="2">
                  <c:v>4124</c:v>
                </c:pt>
                <c:pt idx="3">
                  <c:v>4442</c:v>
                </c:pt>
                <c:pt idx="4">
                  <c:v>9769</c:v>
                </c:pt>
                <c:pt idx="5">
                  <c:v>4212</c:v>
                </c:pt>
                <c:pt idx="6">
                  <c:v>5221</c:v>
                </c:pt>
                <c:pt idx="7">
                  <c:v>5212</c:v>
                </c:pt>
                <c:pt idx="8">
                  <c:v>5265</c:v>
                </c:pt>
              </c:numCache>
            </c:numRef>
          </c:xVal>
          <c:yVal>
            <c:numRef>
              <c:f>Summary!$BR$30:$BZ$30</c:f>
              <c:numCache>
                <c:formatCode>General</c:formatCode>
                <c:ptCount val="9"/>
                <c:pt idx="4" formatCode="0.00">
                  <c:v>40.333333333333336</c:v>
                </c:pt>
                <c:pt idx="7" formatCode="0.00">
                  <c:v>42.604166666666664</c:v>
                </c:pt>
                <c:pt idx="8" formatCode="0.00">
                  <c:v>42.020833333333336</c:v>
                </c:pt>
              </c:numCache>
            </c:numRef>
          </c:yVal>
          <c:smooth val="0"/>
          <c:extLst>
            <c:ext xmlns:c16="http://schemas.microsoft.com/office/drawing/2014/chart" uri="{C3380CC4-5D6E-409C-BE32-E72D297353CC}">
              <c16:uniqueId val="{00000005-BC73-4B57-9CE7-1C6494CB3B94}"/>
            </c:ext>
          </c:extLst>
        </c:ser>
        <c:ser>
          <c:idx val="5"/>
          <c:order val="5"/>
          <c:tx>
            <c:v>Trainers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Summary!$CA$147</c:f>
              <c:numCache>
                <c:formatCode>General</c:formatCode>
                <c:ptCount val="1"/>
                <c:pt idx="0">
                  <c:v>2634</c:v>
                </c:pt>
              </c:numCache>
            </c:numRef>
          </c:xVal>
          <c:yVal>
            <c:numRef>
              <c:f>Summary!$CA$30</c:f>
              <c:numCache>
                <c:formatCode>General</c:formatCode>
                <c:ptCount val="1"/>
              </c:numCache>
            </c:numRef>
          </c:yVal>
          <c:smooth val="0"/>
          <c:extLst>
            <c:ext xmlns:c16="http://schemas.microsoft.com/office/drawing/2014/chart" uri="{C3380CC4-5D6E-409C-BE32-E72D297353CC}">
              <c16:uniqueId val="{00000001-C894-4CB5-8DE7-F6ACDC32EAA7}"/>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Span (f)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2045130202729493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Aileron Area vs Wing Area</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xVal>
            <c:numRef>
              <c:f>Summary!$C$33:$BZ$33</c:f>
              <c:numCache>
                <c:formatCode>General</c:formatCode>
                <c:ptCount val="76"/>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pt idx="19">
                  <c:v>213.22</c:v>
                </c:pt>
                <c:pt idx="20">
                  <c:v>213.22</c:v>
                </c:pt>
                <c:pt idx="21">
                  <c:v>213.22</c:v>
                </c:pt>
                <c:pt idx="22">
                  <c:v>213.22</c:v>
                </c:pt>
                <c:pt idx="23">
                  <c:v>213.22</c:v>
                </c:pt>
                <c:pt idx="24">
                  <c:v>248</c:v>
                </c:pt>
                <c:pt idx="25">
                  <c:v>248</c:v>
                </c:pt>
                <c:pt idx="26">
                  <c:v>248</c:v>
                </c:pt>
                <c:pt idx="28">
                  <c:v>208.9</c:v>
                </c:pt>
                <c:pt idx="29">
                  <c:v>208.9</c:v>
                </c:pt>
                <c:pt idx="30">
                  <c:v>208.9</c:v>
                </c:pt>
                <c:pt idx="31">
                  <c:v>208.9</c:v>
                </c:pt>
                <c:pt idx="32">
                  <c:v>208.9</c:v>
                </c:pt>
                <c:pt idx="33">
                  <c:v>208.9</c:v>
                </c:pt>
                <c:pt idx="34">
                  <c:v>208.9</c:v>
                </c:pt>
                <c:pt idx="35">
                  <c:v>208.9</c:v>
                </c:pt>
                <c:pt idx="36">
                  <c:v>208.9</c:v>
                </c:pt>
                <c:pt idx="37">
                  <c:v>208.9</c:v>
                </c:pt>
                <c:pt idx="38">
                  <c:v>208.9</c:v>
                </c:pt>
                <c:pt idx="39">
                  <c:v>208.9</c:v>
                </c:pt>
                <c:pt idx="40">
                  <c:v>208.9</c:v>
                </c:pt>
                <c:pt idx="41">
                  <c:v>260</c:v>
                </c:pt>
                <c:pt idx="42">
                  <c:v>260</c:v>
                </c:pt>
                <c:pt idx="43">
                  <c:v>260</c:v>
                </c:pt>
                <c:pt idx="44">
                  <c:v>260</c:v>
                </c:pt>
                <c:pt idx="45">
                  <c:v>260</c:v>
                </c:pt>
                <c:pt idx="46">
                  <c:v>260</c:v>
                </c:pt>
                <c:pt idx="47">
                  <c:v>314</c:v>
                </c:pt>
                <c:pt idx="48">
                  <c:v>314</c:v>
                </c:pt>
                <c:pt idx="49">
                  <c:v>314</c:v>
                </c:pt>
                <c:pt idx="50">
                  <c:v>314</c:v>
                </c:pt>
                <c:pt idx="51">
                  <c:v>334</c:v>
                </c:pt>
                <c:pt idx="52">
                  <c:v>334</c:v>
                </c:pt>
                <c:pt idx="53">
                  <c:v>334</c:v>
                </c:pt>
                <c:pt idx="54">
                  <c:v>334</c:v>
                </c:pt>
                <c:pt idx="55">
                  <c:v>334</c:v>
                </c:pt>
                <c:pt idx="56">
                  <c:v>244</c:v>
                </c:pt>
                <c:pt idx="58">
                  <c:v>363</c:v>
                </c:pt>
                <c:pt idx="59">
                  <c:v>323.8</c:v>
                </c:pt>
                <c:pt idx="60">
                  <c:v>335</c:v>
                </c:pt>
                <c:pt idx="61">
                  <c:v>400</c:v>
                </c:pt>
                <c:pt idx="62">
                  <c:v>422</c:v>
                </c:pt>
                <c:pt idx="63">
                  <c:v>400</c:v>
                </c:pt>
                <c:pt idx="65">
                  <c:v>490</c:v>
                </c:pt>
                <c:pt idx="67">
                  <c:v>200</c:v>
                </c:pt>
                <c:pt idx="68">
                  <c:v>124</c:v>
                </c:pt>
                <c:pt idx="69">
                  <c:v>220</c:v>
                </c:pt>
                <c:pt idx="70">
                  <c:v>248</c:v>
                </c:pt>
                <c:pt idx="71">
                  <c:v>240.42</c:v>
                </c:pt>
                <c:pt idx="72">
                  <c:v>239</c:v>
                </c:pt>
                <c:pt idx="73">
                  <c:v>225</c:v>
                </c:pt>
                <c:pt idx="74">
                  <c:v>258.10000000000002</c:v>
                </c:pt>
                <c:pt idx="75">
                  <c:v>253.73</c:v>
                </c:pt>
              </c:numCache>
            </c:numRef>
          </c:xVal>
          <c:yVal>
            <c:numRef>
              <c:f>Summary!$C$35:$BZ$35</c:f>
              <c:numCache>
                <c:formatCode>General</c:formatCode>
                <c:ptCount val="76"/>
                <c:pt idx="3">
                  <c:v>18.41</c:v>
                </c:pt>
                <c:pt idx="4">
                  <c:v>18.41</c:v>
                </c:pt>
                <c:pt idx="7">
                  <c:v>18.399999999999999</c:v>
                </c:pt>
                <c:pt idx="11">
                  <c:v>18.3</c:v>
                </c:pt>
                <c:pt idx="14">
                  <c:v>25.7</c:v>
                </c:pt>
                <c:pt idx="15">
                  <c:v>12.73</c:v>
                </c:pt>
                <c:pt idx="18">
                  <c:v>15.46</c:v>
                </c:pt>
                <c:pt idx="19">
                  <c:v>11.82</c:v>
                </c:pt>
                <c:pt idx="20">
                  <c:v>11.82</c:v>
                </c:pt>
                <c:pt idx="28">
                  <c:v>15.3</c:v>
                </c:pt>
                <c:pt idx="29">
                  <c:v>15.3</c:v>
                </c:pt>
                <c:pt idx="30">
                  <c:v>15.3</c:v>
                </c:pt>
                <c:pt idx="31">
                  <c:v>15.3</c:v>
                </c:pt>
                <c:pt idx="32">
                  <c:v>15.3</c:v>
                </c:pt>
                <c:pt idx="33">
                  <c:v>15.3</c:v>
                </c:pt>
                <c:pt idx="34">
                  <c:v>15.3</c:v>
                </c:pt>
                <c:pt idx="35">
                  <c:v>15.3</c:v>
                </c:pt>
                <c:pt idx="36">
                  <c:v>15.3</c:v>
                </c:pt>
                <c:pt idx="37">
                  <c:v>15.3</c:v>
                </c:pt>
                <c:pt idx="38">
                  <c:v>15.3</c:v>
                </c:pt>
                <c:pt idx="39">
                  <c:v>15.3</c:v>
                </c:pt>
                <c:pt idx="40">
                  <c:v>15.3</c:v>
                </c:pt>
                <c:pt idx="41">
                  <c:v>11.48</c:v>
                </c:pt>
                <c:pt idx="42">
                  <c:v>11.48</c:v>
                </c:pt>
                <c:pt idx="43">
                  <c:v>13.26</c:v>
                </c:pt>
                <c:pt idx="44">
                  <c:v>13.26</c:v>
                </c:pt>
                <c:pt idx="45">
                  <c:v>13.26</c:v>
                </c:pt>
                <c:pt idx="47">
                  <c:v>18.100000000000001</c:v>
                </c:pt>
                <c:pt idx="48">
                  <c:v>18.100000000000001</c:v>
                </c:pt>
                <c:pt idx="50">
                  <c:v>18.100000000000001</c:v>
                </c:pt>
                <c:pt idx="52">
                  <c:v>15.7</c:v>
                </c:pt>
                <c:pt idx="56">
                  <c:v>18.18</c:v>
                </c:pt>
                <c:pt idx="74">
                  <c:v>11.4</c:v>
                </c:pt>
                <c:pt idx="75">
                  <c:v>11.4</c:v>
                </c:pt>
              </c:numCache>
            </c:numRef>
          </c:yVal>
          <c:smooth val="0"/>
          <c:extLst>
            <c:ext xmlns:c16="http://schemas.microsoft.com/office/drawing/2014/chart" uri="{C3380CC4-5D6E-409C-BE32-E72D297353CC}">
              <c16:uniqueId val="{00000001-E88F-4D22-BADA-6DD592270E98}"/>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Summary!$C$33:$AC$33</c:f>
              <c:numCache>
                <c:formatCode>General</c:formatCode>
                <c:ptCount val="27"/>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pt idx="19">
                  <c:v>213.22</c:v>
                </c:pt>
                <c:pt idx="20">
                  <c:v>213.22</c:v>
                </c:pt>
                <c:pt idx="21">
                  <c:v>213.22</c:v>
                </c:pt>
                <c:pt idx="22">
                  <c:v>213.22</c:v>
                </c:pt>
                <c:pt idx="23">
                  <c:v>213.22</c:v>
                </c:pt>
                <c:pt idx="24">
                  <c:v>248</c:v>
                </c:pt>
                <c:pt idx="25">
                  <c:v>248</c:v>
                </c:pt>
                <c:pt idx="26">
                  <c:v>248</c:v>
                </c:pt>
              </c:numCache>
            </c:numRef>
          </c:xVal>
          <c:yVal>
            <c:numRef>
              <c:f>Summary!$C$35:$AC$35</c:f>
              <c:numCache>
                <c:formatCode>General</c:formatCode>
                <c:ptCount val="27"/>
                <c:pt idx="3">
                  <c:v>18.41</c:v>
                </c:pt>
                <c:pt idx="4">
                  <c:v>18.41</c:v>
                </c:pt>
                <c:pt idx="7">
                  <c:v>18.399999999999999</c:v>
                </c:pt>
                <c:pt idx="11">
                  <c:v>18.3</c:v>
                </c:pt>
                <c:pt idx="14">
                  <c:v>25.7</c:v>
                </c:pt>
                <c:pt idx="15">
                  <c:v>12.73</c:v>
                </c:pt>
                <c:pt idx="18">
                  <c:v>15.46</c:v>
                </c:pt>
                <c:pt idx="19">
                  <c:v>11.82</c:v>
                </c:pt>
                <c:pt idx="20">
                  <c:v>11.82</c:v>
                </c:pt>
              </c:numCache>
            </c:numRef>
          </c:yVal>
          <c:smooth val="0"/>
          <c:extLst>
            <c:ext xmlns:c16="http://schemas.microsoft.com/office/drawing/2014/chart" uri="{C3380CC4-5D6E-409C-BE32-E72D297353CC}">
              <c16:uniqueId val="{00000002-E88F-4D22-BADA-6DD592270E98}"/>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Summary!$AE$33:$BG$33</c:f>
              <c:numCache>
                <c:formatCode>General</c:formatCode>
                <c:ptCount val="29"/>
                <c:pt idx="0">
                  <c:v>208.9</c:v>
                </c:pt>
                <c:pt idx="1">
                  <c:v>208.9</c:v>
                </c:pt>
                <c:pt idx="2">
                  <c:v>208.9</c:v>
                </c:pt>
                <c:pt idx="3">
                  <c:v>208.9</c:v>
                </c:pt>
                <c:pt idx="4">
                  <c:v>208.9</c:v>
                </c:pt>
                <c:pt idx="5">
                  <c:v>208.9</c:v>
                </c:pt>
                <c:pt idx="6">
                  <c:v>208.9</c:v>
                </c:pt>
                <c:pt idx="7">
                  <c:v>208.9</c:v>
                </c:pt>
                <c:pt idx="8">
                  <c:v>208.9</c:v>
                </c:pt>
                <c:pt idx="9">
                  <c:v>208.9</c:v>
                </c:pt>
                <c:pt idx="10">
                  <c:v>208.9</c:v>
                </c:pt>
                <c:pt idx="11">
                  <c:v>208.9</c:v>
                </c:pt>
                <c:pt idx="12">
                  <c:v>208.9</c:v>
                </c:pt>
                <c:pt idx="13">
                  <c:v>260</c:v>
                </c:pt>
                <c:pt idx="14">
                  <c:v>260</c:v>
                </c:pt>
                <c:pt idx="15">
                  <c:v>260</c:v>
                </c:pt>
                <c:pt idx="16">
                  <c:v>260</c:v>
                </c:pt>
                <c:pt idx="17">
                  <c:v>260</c:v>
                </c:pt>
                <c:pt idx="18">
                  <c:v>260</c:v>
                </c:pt>
                <c:pt idx="19">
                  <c:v>314</c:v>
                </c:pt>
                <c:pt idx="20">
                  <c:v>314</c:v>
                </c:pt>
                <c:pt idx="21">
                  <c:v>314</c:v>
                </c:pt>
                <c:pt idx="22">
                  <c:v>314</c:v>
                </c:pt>
                <c:pt idx="23">
                  <c:v>334</c:v>
                </c:pt>
                <c:pt idx="24">
                  <c:v>334</c:v>
                </c:pt>
                <c:pt idx="25">
                  <c:v>334</c:v>
                </c:pt>
                <c:pt idx="26">
                  <c:v>334</c:v>
                </c:pt>
                <c:pt idx="27">
                  <c:v>334</c:v>
                </c:pt>
                <c:pt idx="28">
                  <c:v>244</c:v>
                </c:pt>
              </c:numCache>
            </c:numRef>
          </c:xVal>
          <c:yVal>
            <c:numRef>
              <c:f>Summary!$AE$35:$BG$35</c:f>
              <c:numCache>
                <c:formatCode>General</c:formatCode>
                <c:ptCount val="29"/>
                <c:pt idx="0">
                  <c:v>15.3</c:v>
                </c:pt>
                <c:pt idx="1">
                  <c:v>15.3</c:v>
                </c:pt>
                <c:pt idx="2">
                  <c:v>15.3</c:v>
                </c:pt>
                <c:pt idx="3">
                  <c:v>15.3</c:v>
                </c:pt>
                <c:pt idx="4">
                  <c:v>15.3</c:v>
                </c:pt>
                <c:pt idx="5">
                  <c:v>15.3</c:v>
                </c:pt>
                <c:pt idx="6">
                  <c:v>15.3</c:v>
                </c:pt>
                <c:pt idx="7">
                  <c:v>15.3</c:v>
                </c:pt>
                <c:pt idx="8">
                  <c:v>15.3</c:v>
                </c:pt>
                <c:pt idx="9">
                  <c:v>15.3</c:v>
                </c:pt>
                <c:pt idx="10">
                  <c:v>15.3</c:v>
                </c:pt>
                <c:pt idx="11">
                  <c:v>15.3</c:v>
                </c:pt>
                <c:pt idx="12">
                  <c:v>15.3</c:v>
                </c:pt>
                <c:pt idx="13">
                  <c:v>11.48</c:v>
                </c:pt>
                <c:pt idx="14">
                  <c:v>11.48</c:v>
                </c:pt>
                <c:pt idx="15">
                  <c:v>13.26</c:v>
                </c:pt>
                <c:pt idx="16">
                  <c:v>13.26</c:v>
                </c:pt>
                <c:pt idx="17">
                  <c:v>13.26</c:v>
                </c:pt>
                <c:pt idx="19">
                  <c:v>18.100000000000001</c:v>
                </c:pt>
                <c:pt idx="20">
                  <c:v>18.100000000000001</c:v>
                </c:pt>
                <c:pt idx="22">
                  <c:v>18.100000000000001</c:v>
                </c:pt>
                <c:pt idx="24">
                  <c:v>15.7</c:v>
                </c:pt>
                <c:pt idx="28">
                  <c:v>18.18</c:v>
                </c:pt>
              </c:numCache>
            </c:numRef>
          </c:yVal>
          <c:smooth val="0"/>
          <c:extLst>
            <c:ext xmlns:c16="http://schemas.microsoft.com/office/drawing/2014/chart" uri="{C3380CC4-5D6E-409C-BE32-E72D297353CC}">
              <c16:uniqueId val="{00000003-E88F-4D22-BADA-6DD592270E98}"/>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Summary!$BI$33:$BP$33</c:f>
              <c:numCache>
                <c:formatCode>General</c:formatCode>
                <c:ptCount val="8"/>
                <c:pt idx="0">
                  <c:v>363</c:v>
                </c:pt>
                <c:pt idx="1">
                  <c:v>323.8</c:v>
                </c:pt>
                <c:pt idx="2">
                  <c:v>335</c:v>
                </c:pt>
                <c:pt idx="3">
                  <c:v>400</c:v>
                </c:pt>
                <c:pt idx="4">
                  <c:v>422</c:v>
                </c:pt>
                <c:pt idx="5">
                  <c:v>400</c:v>
                </c:pt>
                <c:pt idx="7">
                  <c:v>490</c:v>
                </c:pt>
              </c:numCache>
            </c:numRef>
          </c:xVal>
          <c:yVal>
            <c:numRef>
              <c:f>Summary!$BI$35:$BP$35</c:f>
              <c:numCache>
                <c:formatCode>General</c:formatCode>
                <c:ptCount val="8"/>
              </c:numCache>
            </c:numRef>
          </c:yVal>
          <c:smooth val="0"/>
          <c:extLst>
            <c:ext xmlns:c16="http://schemas.microsoft.com/office/drawing/2014/chart" uri="{C3380CC4-5D6E-409C-BE32-E72D297353CC}">
              <c16:uniqueId val="{00000004-E88F-4D22-BADA-6DD592270E98}"/>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Summary!$BR$33:$BZ$33</c:f>
              <c:numCache>
                <c:formatCode>General</c:formatCode>
                <c:ptCount val="9"/>
                <c:pt idx="0">
                  <c:v>200</c:v>
                </c:pt>
                <c:pt idx="1">
                  <c:v>124</c:v>
                </c:pt>
                <c:pt idx="2">
                  <c:v>220</c:v>
                </c:pt>
                <c:pt idx="3">
                  <c:v>248</c:v>
                </c:pt>
                <c:pt idx="4">
                  <c:v>240.42</c:v>
                </c:pt>
                <c:pt idx="5">
                  <c:v>239</c:v>
                </c:pt>
                <c:pt idx="6">
                  <c:v>225</c:v>
                </c:pt>
                <c:pt idx="7">
                  <c:v>258.10000000000002</c:v>
                </c:pt>
                <c:pt idx="8">
                  <c:v>253.73</c:v>
                </c:pt>
              </c:numCache>
            </c:numRef>
          </c:xVal>
          <c:yVal>
            <c:numRef>
              <c:f>Summary!$BR$35:$BZ$35</c:f>
              <c:numCache>
                <c:formatCode>General</c:formatCode>
                <c:ptCount val="9"/>
                <c:pt idx="7">
                  <c:v>11.4</c:v>
                </c:pt>
                <c:pt idx="8">
                  <c:v>11.4</c:v>
                </c:pt>
              </c:numCache>
            </c:numRef>
          </c:yVal>
          <c:smooth val="0"/>
          <c:extLst>
            <c:ext xmlns:c16="http://schemas.microsoft.com/office/drawing/2014/chart" uri="{C3380CC4-5D6E-409C-BE32-E72D297353CC}">
              <c16:uniqueId val="{00000005-E88F-4D22-BADA-6DD592270E98}"/>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Wing Area (sq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 (sq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Body Length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rgbClr val="0070C0"/>
              </a:solidFill>
              <a:ln w="9525">
                <a:solidFill>
                  <a:srgbClr val="0070C0"/>
                </a:solidFill>
              </a:ln>
              <a:effectLst/>
            </c:spPr>
          </c:marker>
          <c:trendline>
            <c:spPr>
              <a:ln w="19050" cap="rnd">
                <a:solidFill>
                  <a:schemeClr val="accent5"/>
                </a:solidFill>
                <a:prstDash val="sysDot"/>
              </a:ln>
              <a:effectLst/>
            </c:spPr>
            <c:trendlineType val="linear"/>
            <c:dispRSqr val="1"/>
            <c:dispEq val="1"/>
            <c:trendlineLbl>
              <c:layout>
                <c:manualLayout>
                  <c:x val="8.873933954848548E-2"/>
                  <c:y val="5.8372263496969626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Summary!$C$48:$CA$48</c:f>
              <c:numCache>
                <c:formatCode>0.0</c:formatCode>
                <c:ptCount val="77"/>
                <c:pt idx="0" formatCode="0.00">
                  <c:v>22.813333333333333</c:v>
                </c:pt>
                <c:pt idx="1">
                  <c:v>24.150000000000002</c:v>
                </c:pt>
                <c:pt idx="2" formatCode="General">
                  <c:v>26.799999999999997</c:v>
                </c:pt>
                <c:pt idx="5">
                  <c:v>31.616666666666664</c:v>
                </c:pt>
                <c:pt idx="6">
                  <c:v>31.616666666666664</c:v>
                </c:pt>
                <c:pt idx="7">
                  <c:v>31.616666666666664</c:v>
                </c:pt>
                <c:pt idx="8" formatCode="0.00">
                  <c:v>33.309895833333336</c:v>
                </c:pt>
                <c:pt idx="9" formatCode="0.00">
                  <c:v>33.309895833333336</c:v>
                </c:pt>
                <c:pt idx="10" formatCode="0.00">
                  <c:v>33.309895833333336</c:v>
                </c:pt>
                <c:pt idx="11" formatCode="0.00">
                  <c:v>33.3125</c:v>
                </c:pt>
                <c:pt idx="12" formatCode="0.00">
                  <c:v>33.43333333333333</c:v>
                </c:pt>
                <c:pt idx="13" formatCode="0.00">
                  <c:v>33.43333333333333</c:v>
                </c:pt>
                <c:pt idx="14" formatCode="0.00">
                  <c:v>33.43333333333333</c:v>
                </c:pt>
                <c:pt idx="17" formatCode="General">
                  <c:v>28.16</c:v>
                </c:pt>
                <c:pt idx="19" formatCode="General">
                  <c:v>30.383333333333336</c:v>
                </c:pt>
                <c:pt idx="20" formatCode="General">
                  <c:v>30.383333333333336</c:v>
                </c:pt>
                <c:pt idx="21" formatCode="General">
                  <c:v>30.383333333333336</c:v>
                </c:pt>
                <c:pt idx="22" formatCode="General">
                  <c:v>30.383333333333336</c:v>
                </c:pt>
                <c:pt idx="23" formatCode="General">
                  <c:v>30.383333333333336</c:v>
                </c:pt>
                <c:pt idx="24" formatCode="General">
                  <c:v>31.600000000000005</c:v>
                </c:pt>
                <c:pt idx="25" formatCode="General">
                  <c:v>31.600000000000005</c:v>
                </c:pt>
                <c:pt idx="26" formatCode="General">
                  <c:v>31.600000000000005</c:v>
                </c:pt>
                <c:pt idx="28" formatCode="0.00">
                  <c:v>24.12</c:v>
                </c:pt>
                <c:pt idx="29" formatCode="0.00">
                  <c:v>24.12</c:v>
                </c:pt>
                <c:pt idx="30" formatCode="0.00">
                  <c:v>24.12</c:v>
                </c:pt>
                <c:pt idx="31" formatCode="0.00">
                  <c:v>24.12</c:v>
                </c:pt>
                <c:pt idx="32" formatCode="0.00">
                  <c:v>24.12</c:v>
                </c:pt>
                <c:pt idx="33" formatCode="0.00">
                  <c:v>24.12</c:v>
                </c:pt>
                <c:pt idx="34" formatCode="0.00">
                  <c:v>24.12</c:v>
                </c:pt>
                <c:pt idx="35" formatCode="0.00">
                  <c:v>24.4</c:v>
                </c:pt>
                <c:pt idx="36" formatCode="0.00">
                  <c:v>24.12</c:v>
                </c:pt>
                <c:pt idx="38" formatCode="0.00">
                  <c:v>24.12</c:v>
                </c:pt>
                <c:pt idx="39" formatCode="0.00">
                  <c:v>24.12</c:v>
                </c:pt>
                <c:pt idx="40" formatCode="0.00">
                  <c:v>24.12</c:v>
                </c:pt>
                <c:pt idx="41" formatCode="0.00">
                  <c:v>25.934999999999999</c:v>
                </c:pt>
                <c:pt idx="42" formatCode="0.00">
                  <c:v>25.934999999999999</c:v>
                </c:pt>
                <c:pt idx="43" formatCode="0.00">
                  <c:v>25.934999999999999</c:v>
                </c:pt>
                <c:pt idx="44" formatCode="0.00">
                  <c:v>25.934999999999999</c:v>
                </c:pt>
                <c:pt idx="45" formatCode="0.00">
                  <c:v>25.934999999999999</c:v>
                </c:pt>
                <c:pt idx="46" formatCode="General">
                  <c:v>25.934999999999999</c:v>
                </c:pt>
                <c:pt idx="47" formatCode="0.00">
                  <c:v>29.833333333333332</c:v>
                </c:pt>
                <c:pt idx="48" formatCode="0.00">
                  <c:v>29.833333333333332</c:v>
                </c:pt>
                <c:pt idx="49" formatCode="0.00">
                  <c:v>29.833333333333332</c:v>
                </c:pt>
                <c:pt idx="50" formatCode="0.00">
                  <c:v>29.833333333333332</c:v>
                </c:pt>
                <c:pt idx="51" formatCode="General">
                  <c:v>33.450000000000003</c:v>
                </c:pt>
                <c:pt idx="52" formatCode="0.00">
                  <c:v>33.450000000000003</c:v>
                </c:pt>
                <c:pt idx="53" formatCode="General">
                  <c:v>33.450000000000003</c:v>
                </c:pt>
                <c:pt idx="54" formatCode="General">
                  <c:v>33.450000000000003</c:v>
                </c:pt>
                <c:pt idx="55" formatCode="General">
                  <c:v>33.450000000000003</c:v>
                </c:pt>
                <c:pt idx="56" formatCode="General">
                  <c:v>27.3</c:v>
                </c:pt>
                <c:pt idx="58" formatCode="0.00">
                  <c:v>30.537499999999998</c:v>
                </c:pt>
                <c:pt idx="59" formatCode="0.00">
                  <c:v>30.916666666666668</c:v>
                </c:pt>
                <c:pt idx="62" formatCode="0.00">
                  <c:v>33.6</c:v>
                </c:pt>
                <c:pt idx="65" formatCode="0.00">
                  <c:v>37.858333333333327</c:v>
                </c:pt>
                <c:pt idx="70" formatCode="0.00">
                  <c:v>26.373333333333335</c:v>
                </c:pt>
                <c:pt idx="72" formatCode="General">
                  <c:v>27.8</c:v>
                </c:pt>
                <c:pt idx="74" formatCode="0.00">
                  <c:v>20.5390625</c:v>
                </c:pt>
                <c:pt idx="75" formatCode="0.00">
                  <c:v>20.5390625</c:v>
                </c:pt>
                <c:pt idx="76" formatCode="General">
                  <c:v>24.75</c:v>
                </c:pt>
              </c:numCache>
            </c:numRef>
          </c:yVal>
          <c:smooth val="0"/>
          <c:extLst>
            <c:ext xmlns:c16="http://schemas.microsoft.com/office/drawing/2014/chart" uri="{C3380CC4-5D6E-409C-BE32-E72D297353CC}">
              <c16:uniqueId val="{00000001-28E3-4D12-A270-E71844EF2CCD}"/>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Summary!$C$147:$AC$147</c:f>
              <c:numCache>
                <c:formatCode>General</c:formatCode>
                <c:ptCount val="27"/>
                <c:pt idx="0">
                  <c:v>2935</c:v>
                </c:pt>
                <c:pt idx="1">
                  <c:v>5599</c:v>
                </c:pt>
                <c:pt idx="2">
                  <c:v>5531</c:v>
                </c:pt>
                <c:pt idx="3">
                  <c:v>5689</c:v>
                </c:pt>
                <c:pt idx="4">
                  <c:v>5919</c:v>
                </c:pt>
                <c:pt idx="6">
                  <c:v>8427</c:v>
                </c:pt>
                <c:pt idx="12">
                  <c:v>13373</c:v>
                </c:pt>
                <c:pt idx="16">
                  <c:v>10119</c:v>
                </c:pt>
                <c:pt idx="17">
                  <c:v>5579</c:v>
                </c:pt>
                <c:pt idx="18">
                  <c:v>7403.5</c:v>
                </c:pt>
                <c:pt idx="20">
                  <c:v>7405</c:v>
                </c:pt>
              </c:numCache>
            </c:numRef>
          </c:xVal>
          <c:yVal>
            <c:numRef>
              <c:f>Summary!$C$48:$AC$48</c:f>
              <c:numCache>
                <c:formatCode>0.0</c:formatCode>
                <c:ptCount val="27"/>
                <c:pt idx="0" formatCode="0.00">
                  <c:v>22.813333333333333</c:v>
                </c:pt>
                <c:pt idx="1">
                  <c:v>24.150000000000002</c:v>
                </c:pt>
                <c:pt idx="2" formatCode="General">
                  <c:v>26.799999999999997</c:v>
                </c:pt>
                <c:pt idx="5">
                  <c:v>31.616666666666664</c:v>
                </c:pt>
                <c:pt idx="6">
                  <c:v>31.616666666666664</c:v>
                </c:pt>
                <c:pt idx="7">
                  <c:v>31.616666666666664</c:v>
                </c:pt>
                <c:pt idx="8" formatCode="0.00">
                  <c:v>33.309895833333336</c:v>
                </c:pt>
                <c:pt idx="9" formatCode="0.00">
                  <c:v>33.309895833333336</c:v>
                </c:pt>
                <c:pt idx="10" formatCode="0.00">
                  <c:v>33.309895833333336</c:v>
                </c:pt>
                <c:pt idx="11" formatCode="0.00">
                  <c:v>33.3125</c:v>
                </c:pt>
                <c:pt idx="12" formatCode="0.00">
                  <c:v>33.43333333333333</c:v>
                </c:pt>
                <c:pt idx="13" formatCode="0.00">
                  <c:v>33.43333333333333</c:v>
                </c:pt>
                <c:pt idx="14" formatCode="0.00">
                  <c:v>33.43333333333333</c:v>
                </c:pt>
                <c:pt idx="17" formatCode="General">
                  <c:v>28.16</c:v>
                </c:pt>
                <c:pt idx="19" formatCode="General">
                  <c:v>30.383333333333336</c:v>
                </c:pt>
                <c:pt idx="20" formatCode="General">
                  <c:v>30.383333333333336</c:v>
                </c:pt>
                <c:pt idx="21" formatCode="General">
                  <c:v>30.383333333333336</c:v>
                </c:pt>
                <c:pt idx="22" formatCode="General">
                  <c:v>30.383333333333336</c:v>
                </c:pt>
                <c:pt idx="23" formatCode="General">
                  <c:v>30.383333333333336</c:v>
                </c:pt>
                <c:pt idx="24" formatCode="General">
                  <c:v>31.600000000000005</c:v>
                </c:pt>
                <c:pt idx="25" formatCode="General">
                  <c:v>31.600000000000005</c:v>
                </c:pt>
                <c:pt idx="26" formatCode="General">
                  <c:v>31.600000000000005</c:v>
                </c:pt>
              </c:numCache>
            </c:numRef>
          </c:yVal>
          <c:smooth val="0"/>
          <c:extLst>
            <c:ext xmlns:c16="http://schemas.microsoft.com/office/drawing/2014/chart" uri="{C3380CC4-5D6E-409C-BE32-E72D297353CC}">
              <c16:uniqueId val="{00000002-28E3-4D12-A270-E71844EF2CCD}"/>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Summary!$AE$48:$BG$48</c:f>
              <c:numCache>
                <c:formatCode>0.00</c:formatCode>
                <c:ptCount val="29"/>
                <c:pt idx="0">
                  <c:v>24.12</c:v>
                </c:pt>
                <c:pt idx="1">
                  <c:v>24.12</c:v>
                </c:pt>
                <c:pt idx="2">
                  <c:v>24.12</c:v>
                </c:pt>
                <c:pt idx="3">
                  <c:v>24.12</c:v>
                </c:pt>
                <c:pt idx="4">
                  <c:v>24.12</c:v>
                </c:pt>
                <c:pt idx="5">
                  <c:v>24.12</c:v>
                </c:pt>
                <c:pt idx="6">
                  <c:v>24.12</c:v>
                </c:pt>
                <c:pt idx="7">
                  <c:v>24.4</c:v>
                </c:pt>
                <c:pt idx="8">
                  <c:v>24.12</c:v>
                </c:pt>
                <c:pt idx="10">
                  <c:v>24.12</c:v>
                </c:pt>
                <c:pt idx="11">
                  <c:v>24.12</c:v>
                </c:pt>
                <c:pt idx="12">
                  <c:v>24.12</c:v>
                </c:pt>
                <c:pt idx="13">
                  <c:v>25.934999999999999</c:v>
                </c:pt>
                <c:pt idx="14">
                  <c:v>25.934999999999999</c:v>
                </c:pt>
                <c:pt idx="15">
                  <c:v>25.934999999999999</c:v>
                </c:pt>
                <c:pt idx="16">
                  <c:v>25.934999999999999</c:v>
                </c:pt>
                <c:pt idx="17">
                  <c:v>25.934999999999999</c:v>
                </c:pt>
                <c:pt idx="18" formatCode="General">
                  <c:v>25.934999999999999</c:v>
                </c:pt>
                <c:pt idx="19">
                  <c:v>29.833333333333332</c:v>
                </c:pt>
                <c:pt idx="20">
                  <c:v>29.833333333333332</c:v>
                </c:pt>
                <c:pt idx="21">
                  <c:v>29.833333333333332</c:v>
                </c:pt>
                <c:pt idx="22">
                  <c:v>29.833333333333332</c:v>
                </c:pt>
                <c:pt idx="23" formatCode="General">
                  <c:v>33.450000000000003</c:v>
                </c:pt>
                <c:pt idx="24">
                  <c:v>33.450000000000003</c:v>
                </c:pt>
                <c:pt idx="25" formatCode="General">
                  <c:v>33.450000000000003</c:v>
                </c:pt>
                <c:pt idx="26" formatCode="General">
                  <c:v>33.450000000000003</c:v>
                </c:pt>
                <c:pt idx="27" formatCode="General">
                  <c:v>33.450000000000003</c:v>
                </c:pt>
                <c:pt idx="28" formatCode="General">
                  <c:v>27.3</c:v>
                </c:pt>
              </c:numCache>
            </c:numRef>
          </c:yVal>
          <c:smooth val="0"/>
          <c:extLst>
            <c:ext xmlns:c16="http://schemas.microsoft.com/office/drawing/2014/chart" uri="{C3380CC4-5D6E-409C-BE32-E72D297353CC}">
              <c16:uniqueId val="{00000003-28E3-4D12-A270-E71844EF2CCD}"/>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Summary!$BI$48:$BP$48</c:f>
              <c:numCache>
                <c:formatCode>0.00</c:formatCode>
                <c:ptCount val="8"/>
                <c:pt idx="0">
                  <c:v>30.537499999999998</c:v>
                </c:pt>
                <c:pt idx="1">
                  <c:v>30.916666666666668</c:v>
                </c:pt>
                <c:pt idx="4">
                  <c:v>33.6</c:v>
                </c:pt>
                <c:pt idx="7">
                  <c:v>37.858333333333327</c:v>
                </c:pt>
              </c:numCache>
            </c:numRef>
          </c:yVal>
          <c:smooth val="0"/>
          <c:extLst>
            <c:ext xmlns:c16="http://schemas.microsoft.com/office/drawing/2014/chart" uri="{C3380CC4-5D6E-409C-BE32-E72D297353CC}">
              <c16:uniqueId val="{00000004-28E3-4D12-A270-E71844EF2CCD}"/>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Summary!$BR$48:$CA$48</c:f>
              <c:numCache>
                <c:formatCode>General</c:formatCode>
                <c:ptCount val="10"/>
                <c:pt idx="3" formatCode="0.00">
                  <c:v>26.373333333333335</c:v>
                </c:pt>
                <c:pt idx="5">
                  <c:v>27.8</c:v>
                </c:pt>
                <c:pt idx="7" formatCode="0.00">
                  <c:v>20.5390625</c:v>
                </c:pt>
                <c:pt idx="8" formatCode="0.00">
                  <c:v>20.5390625</c:v>
                </c:pt>
                <c:pt idx="9">
                  <c:v>24.75</c:v>
                </c:pt>
              </c:numCache>
            </c:numRef>
          </c:yVal>
          <c:smooth val="0"/>
          <c:extLst>
            <c:ext xmlns:c16="http://schemas.microsoft.com/office/drawing/2014/chart" uri="{C3380CC4-5D6E-409C-BE32-E72D297353CC}">
              <c16:uniqueId val="{00000005-28E3-4D12-A270-E71844EF2CCD}"/>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21259154848917861"/>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Flap Area vs Wing Area</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xVal>
            <c:numRef>
              <c:f>Summary!$C$33:$BZ$33</c:f>
              <c:numCache>
                <c:formatCode>General</c:formatCode>
                <c:ptCount val="76"/>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pt idx="19">
                  <c:v>213.22</c:v>
                </c:pt>
                <c:pt idx="20">
                  <c:v>213.22</c:v>
                </c:pt>
                <c:pt idx="21">
                  <c:v>213.22</c:v>
                </c:pt>
                <c:pt idx="22">
                  <c:v>213.22</c:v>
                </c:pt>
                <c:pt idx="23">
                  <c:v>213.22</c:v>
                </c:pt>
                <c:pt idx="24">
                  <c:v>248</c:v>
                </c:pt>
                <c:pt idx="25">
                  <c:v>248</c:v>
                </c:pt>
                <c:pt idx="26">
                  <c:v>248</c:v>
                </c:pt>
                <c:pt idx="28">
                  <c:v>208.9</c:v>
                </c:pt>
                <c:pt idx="29">
                  <c:v>208.9</c:v>
                </c:pt>
                <c:pt idx="30">
                  <c:v>208.9</c:v>
                </c:pt>
                <c:pt idx="31">
                  <c:v>208.9</c:v>
                </c:pt>
                <c:pt idx="32">
                  <c:v>208.9</c:v>
                </c:pt>
                <c:pt idx="33">
                  <c:v>208.9</c:v>
                </c:pt>
                <c:pt idx="34">
                  <c:v>208.9</c:v>
                </c:pt>
                <c:pt idx="35">
                  <c:v>208.9</c:v>
                </c:pt>
                <c:pt idx="36">
                  <c:v>208.9</c:v>
                </c:pt>
                <c:pt idx="37">
                  <c:v>208.9</c:v>
                </c:pt>
                <c:pt idx="38">
                  <c:v>208.9</c:v>
                </c:pt>
                <c:pt idx="39">
                  <c:v>208.9</c:v>
                </c:pt>
                <c:pt idx="40">
                  <c:v>208.9</c:v>
                </c:pt>
                <c:pt idx="41">
                  <c:v>260</c:v>
                </c:pt>
                <c:pt idx="42">
                  <c:v>260</c:v>
                </c:pt>
                <c:pt idx="43">
                  <c:v>260</c:v>
                </c:pt>
                <c:pt idx="44">
                  <c:v>260</c:v>
                </c:pt>
                <c:pt idx="45">
                  <c:v>260</c:v>
                </c:pt>
                <c:pt idx="46">
                  <c:v>260</c:v>
                </c:pt>
                <c:pt idx="47">
                  <c:v>314</c:v>
                </c:pt>
                <c:pt idx="48">
                  <c:v>314</c:v>
                </c:pt>
                <c:pt idx="49">
                  <c:v>314</c:v>
                </c:pt>
                <c:pt idx="50">
                  <c:v>314</c:v>
                </c:pt>
                <c:pt idx="51">
                  <c:v>334</c:v>
                </c:pt>
                <c:pt idx="52">
                  <c:v>334</c:v>
                </c:pt>
                <c:pt idx="53">
                  <c:v>334</c:v>
                </c:pt>
                <c:pt idx="54">
                  <c:v>334</c:v>
                </c:pt>
                <c:pt idx="55">
                  <c:v>334</c:v>
                </c:pt>
                <c:pt idx="56">
                  <c:v>244</c:v>
                </c:pt>
                <c:pt idx="58">
                  <c:v>363</c:v>
                </c:pt>
                <c:pt idx="59">
                  <c:v>323.8</c:v>
                </c:pt>
                <c:pt idx="60">
                  <c:v>335</c:v>
                </c:pt>
                <c:pt idx="61">
                  <c:v>400</c:v>
                </c:pt>
                <c:pt idx="62">
                  <c:v>422</c:v>
                </c:pt>
                <c:pt idx="63">
                  <c:v>400</c:v>
                </c:pt>
                <c:pt idx="65">
                  <c:v>490</c:v>
                </c:pt>
                <c:pt idx="67">
                  <c:v>200</c:v>
                </c:pt>
                <c:pt idx="68">
                  <c:v>124</c:v>
                </c:pt>
                <c:pt idx="69">
                  <c:v>220</c:v>
                </c:pt>
                <c:pt idx="70">
                  <c:v>248</c:v>
                </c:pt>
                <c:pt idx="71">
                  <c:v>240.42</c:v>
                </c:pt>
                <c:pt idx="72">
                  <c:v>239</c:v>
                </c:pt>
                <c:pt idx="73">
                  <c:v>225</c:v>
                </c:pt>
                <c:pt idx="74">
                  <c:v>258.10000000000002</c:v>
                </c:pt>
                <c:pt idx="75">
                  <c:v>253.73</c:v>
                </c:pt>
              </c:numCache>
            </c:numRef>
          </c:xVal>
          <c:yVal>
            <c:numRef>
              <c:f>Summary!$C$36:$BZ$36</c:f>
              <c:numCache>
                <c:formatCode>General</c:formatCode>
                <c:ptCount val="76"/>
                <c:pt idx="3">
                  <c:v>34.799999999999997</c:v>
                </c:pt>
                <c:pt idx="4">
                  <c:v>34.799999999999997</c:v>
                </c:pt>
                <c:pt idx="7">
                  <c:v>34.799999999999997</c:v>
                </c:pt>
                <c:pt idx="11">
                  <c:v>34.799999999999997</c:v>
                </c:pt>
                <c:pt idx="15">
                  <c:v>32.22</c:v>
                </c:pt>
                <c:pt idx="19">
                  <c:v>26.2</c:v>
                </c:pt>
                <c:pt idx="20">
                  <c:v>26.2</c:v>
                </c:pt>
                <c:pt idx="28">
                  <c:v>16.440000000000001</c:v>
                </c:pt>
                <c:pt idx="29">
                  <c:v>16.440000000000001</c:v>
                </c:pt>
                <c:pt idx="30">
                  <c:v>16.440000000000001</c:v>
                </c:pt>
                <c:pt idx="31">
                  <c:v>16.440000000000001</c:v>
                </c:pt>
                <c:pt idx="32">
                  <c:v>16.440000000000001</c:v>
                </c:pt>
                <c:pt idx="33">
                  <c:v>16.440000000000001</c:v>
                </c:pt>
                <c:pt idx="34">
                  <c:v>16.440000000000001</c:v>
                </c:pt>
                <c:pt idx="35">
                  <c:v>16.440000000000001</c:v>
                </c:pt>
                <c:pt idx="36">
                  <c:v>16.440000000000001</c:v>
                </c:pt>
                <c:pt idx="37">
                  <c:v>16.3</c:v>
                </c:pt>
                <c:pt idx="38">
                  <c:v>16.440000000000001</c:v>
                </c:pt>
                <c:pt idx="39">
                  <c:v>16.440000000000001</c:v>
                </c:pt>
                <c:pt idx="40">
                  <c:v>16.440000000000001</c:v>
                </c:pt>
                <c:pt idx="41">
                  <c:v>29.7</c:v>
                </c:pt>
                <c:pt idx="42">
                  <c:v>29.7</c:v>
                </c:pt>
                <c:pt idx="43">
                  <c:v>29.7</c:v>
                </c:pt>
                <c:pt idx="44">
                  <c:v>29.7</c:v>
                </c:pt>
                <c:pt idx="45">
                  <c:v>29.7</c:v>
                </c:pt>
                <c:pt idx="47">
                  <c:v>36.4</c:v>
                </c:pt>
                <c:pt idx="48">
                  <c:v>36.4</c:v>
                </c:pt>
                <c:pt idx="50">
                  <c:v>36.4</c:v>
                </c:pt>
                <c:pt idx="52">
                  <c:v>39.799999999999997</c:v>
                </c:pt>
                <c:pt idx="71">
                  <c:v>32.840000000000003</c:v>
                </c:pt>
                <c:pt idx="74">
                  <c:v>28.52</c:v>
                </c:pt>
                <c:pt idx="75">
                  <c:v>28.86</c:v>
                </c:pt>
              </c:numCache>
            </c:numRef>
          </c:yVal>
          <c:smooth val="0"/>
          <c:extLst>
            <c:ext xmlns:c16="http://schemas.microsoft.com/office/drawing/2014/chart" uri="{C3380CC4-5D6E-409C-BE32-E72D297353CC}">
              <c16:uniqueId val="{00000000-D76C-4CA4-B0D3-98F93F827F99}"/>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Summary!$C$33:$AC$33</c:f>
              <c:numCache>
                <c:formatCode>General</c:formatCode>
                <c:ptCount val="27"/>
                <c:pt idx="0">
                  <c:v>149.5</c:v>
                </c:pt>
                <c:pt idx="1">
                  <c:v>220</c:v>
                </c:pt>
                <c:pt idx="2">
                  <c:v>236</c:v>
                </c:pt>
                <c:pt idx="3">
                  <c:v>236</c:v>
                </c:pt>
                <c:pt idx="4">
                  <c:v>236</c:v>
                </c:pt>
                <c:pt idx="5">
                  <c:v>236</c:v>
                </c:pt>
                <c:pt idx="6">
                  <c:v>236</c:v>
                </c:pt>
                <c:pt idx="7">
                  <c:v>236</c:v>
                </c:pt>
                <c:pt idx="8">
                  <c:v>236</c:v>
                </c:pt>
                <c:pt idx="9">
                  <c:v>236</c:v>
                </c:pt>
                <c:pt idx="10">
                  <c:v>236</c:v>
                </c:pt>
                <c:pt idx="11">
                  <c:v>236</c:v>
                </c:pt>
                <c:pt idx="12">
                  <c:v>300</c:v>
                </c:pt>
                <c:pt idx="13">
                  <c:v>300</c:v>
                </c:pt>
                <c:pt idx="14">
                  <c:v>300</c:v>
                </c:pt>
                <c:pt idx="15">
                  <c:v>233.19</c:v>
                </c:pt>
                <c:pt idx="16">
                  <c:v>236</c:v>
                </c:pt>
                <c:pt idx="17">
                  <c:v>297</c:v>
                </c:pt>
                <c:pt idx="19">
                  <c:v>213.22</c:v>
                </c:pt>
                <c:pt idx="20">
                  <c:v>213.22</c:v>
                </c:pt>
                <c:pt idx="21">
                  <c:v>213.22</c:v>
                </c:pt>
                <c:pt idx="22">
                  <c:v>213.22</c:v>
                </c:pt>
                <c:pt idx="23">
                  <c:v>213.22</c:v>
                </c:pt>
                <c:pt idx="24">
                  <c:v>248</c:v>
                </c:pt>
                <c:pt idx="25">
                  <c:v>248</c:v>
                </c:pt>
                <c:pt idx="26">
                  <c:v>248</c:v>
                </c:pt>
              </c:numCache>
            </c:numRef>
          </c:xVal>
          <c:yVal>
            <c:numRef>
              <c:f>Summary!$C$36:$AC$36</c:f>
              <c:numCache>
                <c:formatCode>General</c:formatCode>
                <c:ptCount val="27"/>
                <c:pt idx="3">
                  <c:v>34.799999999999997</c:v>
                </c:pt>
                <c:pt idx="4">
                  <c:v>34.799999999999997</c:v>
                </c:pt>
                <c:pt idx="7">
                  <c:v>34.799999999999997</c:v>
                </c:pt>
                <c:pt idx="11">
                  <c:v>34.799999999999997</c:v>
                </c:pt>
                <c:pt idx="15">
                  <c:v>32.22</c:v>
                </c:pt>
                <c:pt idx="19">
                  <c:v>26.2</c:v>
                </c:pt>
                <c:pt idx="20">
                  <c:v>26.2</c:v>
                </c:pt>
              </c:numCache>
            </c:numRef>
          </c:yVal>
          <c:smooth val="0"/>
          <c:extLst>
            <c:ext xmlns:c16="http://schemas.microsoft.com/office/drawing/2014/chart" uri="{C3380CC4-5D6E-409C-BE32-E72D297353CC}">
              <c16:uniqueId val="{00000001-D76C-4CA4-B0D3-98F93F827F99}"/>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Summary!$AE$33:$BG$33</c:f>
              <c:numCache>
                <c:formatCode>General</c:formatCode>
                <c:ptCount val="29"/>
                <c:pt idx="0">
                  <c:v>208.9</c:v>
                </c:pt>
                <c:pt idx="1">
                  <c:v>208.9</c:v>
                </c:pt>
                <c:pt idx="2">
                  <c:v>208.9</c:v>
                </c:pt>
                <c:pt idx="3">
                  <c:v>208.9</c:v>
                </c:pt>
                <c:pt idx="4">
                  <c:v>208.9</c:v>
                </c:pt>
                <c:pt idx="5">
                  <c:v>208.9</c:v>
                </c:pt>
                <c:pt idx="6">
                  <c:v>208.9</c:v>
                </c:pt>
                <c:pt idx="7">
                  <c:v>208.9</c:v>
                </c:pt>
                <c:pt idx="8">
                  <c:v>208.9</c:v>
                </c:pt>
                <c:pt idx="9">
                  <c:v>208.9</c:v>
                </c:pt>
                <c:pt idx="10">
                  <c:v>208.9</c:v>
                </c:pt>
                <c:pt idx="11">
                  <c:v>208.9</c:v>
                </c:pt>
                <c:pt idx="12">
                  <c:v>208.9</c:v>
                </c:pt>
                <c:pt idx="13">
                  <c:v>260</c:v>
                </c:pt>
                <c:pt idx="14">
                  <c:v>260</c:v>
                </c:pt>
                <c:pt idx="15">
                  <c:v>260</c:v>
                </c:pt>
                <c:pt idx="16">
                  <c:v>260</c:v>
                </c:pt>
                <c:pt idx="17">
                  <c:v>260</c:v>
                </c:pt>
                <c:pt idx="18">
                  <c:v>260</c:v>
                </c:pt>
                <c:pt idx="19">
                  <c:v>314</c:v>
                </c:pt>
                <c:pt idx="20">
                  <c:v>314</c:v>
                </c:pt>
                <c:pt idx="21">
                  <c:v>314</c:v>
                </c:pt>
                <c:pt idx="22">
                  <c:v>314</c:v>
                </c:pt>
                <c:pt idx="23">
                  <c:v>334</c:v>
                </c:pt>
                <c:pt idx="24">
                  <c:v>334</c:v>
                </c:pt>
                <c:pt idx="25">
                  <c:v>334</c:v>
                </c:pt>
                <c:pt idx="26">
                  <c:v>334</c:v>
                </c:pt>
                <c:pt idx="27">
                  <c:v>334</c:v>
                </c:pt>
                <c:pt idx="28">
                  <c:v>244</c:v>
                </c:pt>
              </c:numCache>
            </c:numRef>
          </c:xVal>
          <c:yVal>
            <c:numRef>
              <c:f>Summary!$AE$36:$BG$36</c:f>
              <c:numCache>
                <c:formatCode>General</c:formatCode>
                <c:ptCount val="29"/>
                <c:pt idx="0">
                  <c:v>16.440000000000001</c:v>
                </c:pt>
                <c:pt idx="1">
                  <c:v>16.440000000000001</c:v>
                </c:pt>
                <c:pt idx="2">
                  <c:v>16.440000000000001</c:v>
                </c:pt>
                <c:pt idx="3">
                  <c:v>16.440000000000001</c:v>
                </c:pt>
                <c:pt idx="4">
                  <c:v>16.440000000000001</c:v>
                </c:pt>
                <c:pt idx="5">
                  <c:v>16.440000000000001</c:v>
                </c:pt>
                <c:pt idx="6">
                  <c:v>16.440000000000001</c:v>
                </c:pt>
                <c:pt idx="7">
                  <c:v>16.440000000000001</c:v>
                </c:pt>
                <c:pt idx="8">
                  <c:v>16.440000000000001</c:v>
                </c:pt>
                <c:pt idx="9">
                  <c:v>16.3</c:v>
                </c:pt>
                <c:pt idx="10">
                  <c:v>16.440000000000001</c:v>
                </c:pt>
                <c:pt idx="11">
                  <c:v>16.440000000000001</c:v>
                </c:pt>
                <c:pt idx="12">
                  <c:v>16.440000000000001</c:v>
                </c:pt>
                <c:pt idx="13">
                  <c:v>29.7</c:v>
                </c:pt>
                <c:pt idx="14">
                  <c:v>29.7</c:v>
                </c:pt>
                <c:pt idx="15">
                  <c:v>29.7</c:v>
                </c:pt>
                <c:pt idx="16">
                  <c:v>29.7</c:v>
                </c:pt>
                <c:pt idx="17">
                  <c:v>29.7</c:v>
                </c:pt>
                <c:pt idx="19">
                  <c:v>36.4</c:v>
                </c:pt>
                <c:pt idx="20">
                  <c:v>36.4</c:v>
                </c:pt>
                <c:pt idx="22">
                  <c:v>36.4</c:v>
                </c:pt>
                <c:pt idx="24">
                  <c:v>39.799999999999997</c:v>
                </c:pt>
              </c:numCache>
            </c:numRef>
          </c:yVal>
          <c:smooth val="0"/>
          <c:extLst>
            <c:ext xmlns:c16="http://schemas.microsoft.com/office/drawing/2014/chart" uri="{C3380CC4-5D6E-409C-BE32-E72D297353CC}">
              <c16:uniqueId val="{00000002-D76C-4CA4-B0D3-98F93F827F99}"/>
            </c:ext>
          </c:extLst>
        </c:ser>
        <c:ser>
          <c:idx val="2"/>
          <c:order val="3"/>
          <c:tx>
            <c:v>Attack/Dive Bomber</c:v>
          </c:tx>
          <c:spPr>
            <a:ln w="25400" cap="rnd">
              <a:noFill/>
              <a:round/>
            </a:ln>
            <a:effectLst/>
          </c:spPr>
          <c:marker>
            <c:symbol val="dot"/>
            <c:size val="2"/>
            <c:spPr>
              <a:solidFill>
                <a:schemeClr val="accent3"/>
              </a:solidFill>
              <a:ln w="9525">
                <a:solidFill>
                  <a:schemeClr val="accent3"/>
                </a:solidFill>
              </a:ln>
              <a:effectLst/>
            </c:spPr>
          </c:marker>
          <c:xVal>
            <c:numRef>
              <c:f>Summary!$BI$33:$BP$33</c:f>
              <c:numCache>
                <c:formatCode>General</c:formatCode>
                <c:ptCount val="8"/>
                <c:pt idx="0">
                  <c:v>363</c:v>
                </c:pt>
                <c:pt idx="1">
                  <c:v>323.8</c:v>
                </c:pt>
                <c:pt idx="2">
                  <c:v>335</c:v>
                </c:pt>
                <c:pt idx="3">
                  <c:v>400</c:v>
                </c:pt>
                <c:pt idx="4">
                  <c:v>422</c:v>
                </c:pt>
                <c:pt idx="5">
                  <c:v>400</c:v>
                </c:pt>
                <c:pt idx="7">
                  <c:v>490</c:v>
                </c:pt>
              </c:numCache>
            </c:numRef>
          </c:xVal>
          <c:yVal>
            <c:numRef>
              <c:f>Summary!$BI$36:$BP$36</c:f>
              <c:numCache>
                <c:formatCode>General</c:formatCode>
                <c:ptCount val="8"/>
              </c:numCache>
            </c:numRef>
          </c:yVal>
          <c:smooth val="0"/>
          <c:extLst>
            <c:ext xmlns:c16="http://schemas.microsoft.com/office/drawing/2014/chart" uri="{C3380CC4-5D6E-409C-BE32-E72D297353CC}">
              <c16:uniqueId val="{00000003-D76C-4CA4-B0D3-98F93F827F99}"/>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Summary!$BR$33:$BZ$33</c:f>
              <c:numCache>
                <c:formatCode>General</c:formatCode>
                <c:ptCount val="9"/>
                <c:pt idx="0">
                  <c:v>200</c:v>
                </c:pt>
                <c:pt idx="1">
                  <c:v>124</c:v>
                </c:pt>
                <c:pt idx="2">
                  <c:v>220</c:v>
                </c:pt>
                <c:pt idx="3">
                  <c:v>248</c:v>
                </c:pt>
                <c:pt idx="4">
                  <c:v>240.42</c:v>
                </c:pt>
                <c:pt idx="5">
                  <c:v>239</c:v>
                </c:pt>
                <c:pt idx="6">
                  <c:v>225</c:v>
                </c:pt>
                <c:pt idx="7">
                  <c:v>258.10000000000002</c:v>
                </c:pt>
                <c:pt idx="8">
                  <c:v>253.73</c:v>
                </c:pt>
              </c:numCache>
            </c:numRef>
          </c:xVal>
          <c:yVal>
            <c:numRef>
              <c:f>Summary!$BR$36:$BZ$36</c:f>
              <c:numCache>
                <c:formatCode>General</c:formatCode>
                <c:ptCount val="9"/>
                <c:pt idx="4">
                  <c:v>32.840000000000003</c:v>
                </c:pt>
                <c:pt idx="7">
                  <c:v>28.52</c:v>
                </c:pt>
                <c:pt idx="8">
                  <c:v>28.86</c:v>
                </c:pt>
              </c:numCache>
            </c:numRef>
          </c:yVal>
          <c:smooth val="0"/>
          <c:extLst>
            <c:ext xmlns:c16="http://schemas.microsoft.com/office/drawing/2014/chart" uri="{C3380CC4-5D6E-409C-BE32-E72D297353CC}">
              <c16:uniqueId val="{00000004-D76C-4CA4-B0D3-98F93F827F99}"/>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Wing Area (sq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 (sq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Fuel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1"/>
            <c:dispEq val="1"/>
            <c:trendlineLbl>
              <c:layout>
                <c:manualLayout>
                  <c:x val="-4.8700355525422977E-2"/>
                  <c:y val="-3.2457044812908578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Summary!$C$132:$CA$132</c:f>
              <c:numCache>
                <c:formatCode>General</c:formatCode>
                <c:ptCount val="77"/>
                <c:pt idx="0">
                  <c:v>330</c:v>
                </c:pt>
                <c:pt idx="1">
                  <c:v>660</c:v>
                </c:pt>
                <c:pt idx="2">
                  <c:v>630</c:v>
                </c:pt>
                <c:pt idx="3">
                  <c:v>630</c:v>
                </c:pt>
                <c:pt idx="4">
                  <c:v>630</c:v>
                </c:pt>
                <c:pt idx="6">
                  <c:v>888</c:v>
                </c:pt>
                <c:pt idx="12">
                  <c:v>1830</c:v>
                </c:pt>
                <c:pt idx="16">
                  <c:v>1614</c:v>
                </c:pt>
                <c:pt idx="17">
                  <c:v>540</c:v>
                </c:pt>
                <c:pt idx="18">
                  <c:v>624</c:v>
                </c:pt>
                <c:pt idx="20">
                  <c:v>720</c:v>
                </c:pt>
                <c:pt idx="28">
                  <c:v>660</c:v>
                </c:pt>
                <c:pt idx="29">
                  <c:v>660</c:v>
                </c:pt>
                <c:pt idx="30">
                  <c:v>660</c:v>
                </c:pt>
                <c:pt idx="31">
                  <c:v>660</c:v>
                </c:pt>
                <c:pt idx="32">
                  <c:v>660</c:v>
                </c:pt>
                <c:pt idx="33">
                  <c:v>660</c:v>
                </c:pt>
                <c:pt idx="35">
                  <c:v>960</c:v>
                </c:pt>
                <c:pt idx="37">
                  <c:v>660</c:v>
                </c:pt>
                <c:pt idx="38">
                  <c:v>660</c:v>
                </c:pt>
                <c:pt idx="39">
                  <c:v>660</c:v>
                </c:pt>
                <c:pt idx="40">
                  <c:v>660</c:v>
                </c:pt>
                <c:pt idx="42">
                  <c:v>660</c:v>
                </c:pt>
                <c:pt idx="44">
                  <c:v>864</c:v>
                </c:pt>
                <c:pt idx="45">
                  <c:v>660</c:v>
                </c:pt>
                <c:pt idx="47">
                  <c:v>1068</c:v>
                </c:pt>
                <c:pt idx="48">
                  <c:v>1068</c:v>
                </c:pt>
                <c:pt idx="49">
                  <c:v>1404</c:v>
                </c:pt>
                <c:pt idx="50">
                  <c:v>1404</c:v>
                </c:pt>
                <c:pt idx="52">
                  <c:v>1092</c:v>
                </c:pt>
                <c:pt idx="54">
                  <c:v>1500</c:v>
                </c:pt>
                <c:pt idx="55">
                  <c:v>1500</c:v>
                </c:pt>
                <c:pt idx="56">
                  <c:v>1110</c:v>
                </c:pt>
                <c:pt idx="58">
                  <c:v>907</c:v>
                </c:pt>
                <c:pt idx="59">
                  <c:v>1704</c:v>
                </c:pt>
                <c:pt idx="61">
                  <c:v>2280</c:v>
                </c:pt>
                <c:pt idx="62">
                  <c:v>2130</c:v>
                </c:pt>
                <c:pt idx="63">
                  <c:v>2100</c:v>
                </c:pt>
                <c:pt idx="65">
                  <c:v>2010</c:v>
                </c:pt>
                <c:pt idx="67">
                  <c:v>270</c:v>
                </c:pt>
                <c:pt idx="68">
                  <c:v>144</c:v>
                </c:pt>
                <c:pt idx="69">
                  <c:v>600</c:v>
                </c:pt>
                <c:pt idx="70">
                  <c:v>624</c:v>
                </c:pt>
                <c:pt idx="71">
                  <c:v>720</c:v>
                </c:pt>
                <c:pt idx="72">
                  <c:v>552</c:v>
                </c:pt>
                <c:pt idx="73">
                  <c:v>666</c:v>
                </c:pt>
                <c:pt idx="74">
                  <c:v>666</c:v>
                </c:pt>
                <c:pt idx="75">
                  <c:v>666</c:v>
                </c:pt>
                <c:pt idx="76">
                  <c:v>255</c:v>
                </c:pt>
              </c:numCache>
            </c:numRef>
          </c:yVal>
          <c:smooth val="0"/>
          <c:extLst>
            <c:ext xmlns:c16="http://schemas.microsoft.com/office/drawing/2014/chart" uri="{C3380CC4-5D6E-409C-BE32-E72D297353CC}">
              <c16:uniqueId val="{00000000-FE16-4A65-8B24-224436B3AE97}"/>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Summary!$C$132:$S$132</c:f>
              <c:numCache>
                <c:formatCode>General</c:formatCode>
                <c:ptCount val="17"/>
                <c:pt idx="0">
                  <c:v>330</c:v>
                </c:pt>
                <c:pt idx="1">
                  <c:v>660</c:v>
                </c:pt>
                <c:pt idx="2">
                  <c:v>630</c:v>
                </c:pt>
                <c:pt idx="3">
                  <c:v>630</c:v>
                </c:pt>
                <c:pt idx="4">
                  <c:v>630</c:v>
                </c:pt>
                <c:pt idx="6">
                  <c:v>888</c:v>
                </c:pt>
                <c:pt idx="12">
                  <c:v>1830</c:v>
                </c:pt>
                <c:pt idx="16">
                  <c:v>1614</c:v>
                </c:pt>
              </c:numCache>
            </c:numRef>
          </c:yVal>
          <c:smooth val="0"/>
          <c:extLst>
            <c:ext xmlns:c16="http://schemas.microsoft.com/office/drawing/2014/chart" uri="{C3380CC4-5D6E-409C-BE32-E72D297353CC}">
              <c16:uniqueId val="{00000000-1DE9-4B39-B1DB-CC882A8EA8AF}"/>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Summary!$AE$132:$BG$132</c:f>
              <c:numCache>
                <c:formatCode>General</c:formatCode>
                <c:ptCount val="29"/>
                <c:pt idx="0">
                  <c:v>660</c:v>
                </c:pt>
                <c:pt idx="1">
                  <c:v>660</c:v>
                </c:pt>
                <c:pt idx="2">
                  <c:v>660</c:v>
                </c:pt>
                <c:pt idx="3">
                  <c:v>660</c:v>
                </c:pt>
                <c:pt idx="4">
                  <c:v>660</c:v>
                </c:pt>
                <c:pt idx="5">
                  <c:v>660</c:v>
                </c:pt>
                <c:pt idx="7">
                  <c:v>960</c:v>
                </c:pt>
                <c:pt idx="9">
                  <c:v>660</c:v>
                </c:pt>
                <c:pt idx="10">
                  <c:v>660</c:v>
                </c:pt>
                <c:pt idx="11">
                  <c:v>660</c:v>
                </c:pt>
                <c:pt idx="12">
                  <c:v>660</c:v>
                </c:pt>
                <c:pt idx="14">
                  <c:v>660</c:v>
                </c:pt>
                <c:pt idx="16">
                  <c:v>864</c:v>
                </c:pt>
                <c:pt idx="17">
                  <c:v>660</c:v>
                </c:pt>
                <c:pt idx="19">
                  <c:v>1068</c:v>
                </c:pt>
                <c:pt idx="20">
                  <c:v>1068</c:v>
                </c:pt>
                <c:pt idx="21">
                  <c:v>1404</c:v>
                </c:pt>
                <c:pt idx="22">
                  <c:v>1404</c:v>
                </c:pt>
                <c:pt idx="24">
                  <c:v>1092</c:v>
                </c:pt>
                <c:pt idx="26">
                  <c:v>1500</c:v>
                </c:pt>
                <c:pt idx="27">
                  <c:v>1500</c:v>
                </c:pt>
                <c:pt idx="28">
                  <c:v>1110</c:v>
                </c:pt>
              </c:numCache>
            </c:numRef>
          </c:yVal>
          <c:smooth val="0"/>
          <c:extLst>
            <c:ext xmlns:c16="http://schemas.microsoft.com/office/drawing/2014/chart" uri="{C3380CC4-5D6E-409C-BE32-E72D297353CC}">
              <c16:uniqueId val="{00000001-1DE9-4B39-B1DB-CC882A8EA8AF}"/>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Summary!$BI$132:$BP$132</c:f>
              <c:numCache>
                <c:formatCode>General</c:formatCode>
                <c:ptCount val="8"/>
                <c:pt idx="0">
                  <c:v>907</c:v>
                </c:pt>
                <c:pt idx="1">
                  <c:v>1704</c:v>
                </c:pt>
                <c:pt idx="3">
                  <c:v>2280</c:v>
                </c:pt>
                <c:pt idx="4">
                  <c:v>2130</c:v>
                </c:pt>
                <c:pt idx="5">
                  <c:v>2100</c:v>
                </c:pt>
                <c:pt idx="7">
                  <c:v>2010</c:v>
                </c:pt>
              </c:numCache>
            </c:numRef>
          </c:yVal>
          <c:smooth val="0"/>
          <c:extLst>
            <c:ext xmlns:c16="http://schemas.microsoft.com/office/drawing/2014/chart" uri="{C3380CC4-5D6E-409C-BE32-E72D297353CC}">
              <c16:uniqueId val="{00000002-1DE9-4B39-B1DB-CC882A8EA8AF}"/>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Summary!$BR$132:$CA$132</c:f>
              <c:numCache>
                <c:formatCode>General</c:formatCode>
                <c:ptCount val="10"/>
                <c:pt idx="0">
                  <c:v>270</c:v>
                </c:pt>
                <c:pt idx="1">
                  <c:v>144</c:v>
                </c:pt>
                <c:pt idx="2">
                  <c:v>600</c:v>
                </c:pt>
                <c:pt idx="3">
                  <c:v>624</c:v>
                </c:pt>
                <c:pt idx="4">
                  <c:v>720</c:v>
                </c:pt>
                <c:pt idx="5">
                  <c:v>552</c:v>
                </c:pt>
                <c:pt idx="6">
                  <c:v>666</c:v>
                </c:pt>
                <c:pt idx="7">
                  <c:v>666</c:v>
                </c:pt>
                <c:pt idx="8">
                  <c:v>666</c:v>
                </c:pt>
                <c:pt idx="9">
                  <c:v>255</c:v>
                </c:pt>
              </c:numCache>
            </c:numRef>
          </c:yVal>
          <c:smooth val="0"/>
          <c:extLst>
            <c:ext xmlns:c16="http://schemas.microsoft.com/office/drawing/2014/chart" uri="{C3380CC4-5D6E-409C-BE32-E72D297353CC}">
              <c16:uniqueId val="{00000003-1DE9-4B39-B1DB-CC882A8EA8AF}"/>
            </c:ext>
          </c:extLst>
        </c:ser>
        <c:dLbls>
          <c:showLegendKey val="0"/>
          <c:showVal val="0"/>
          <c:showCatName val="0"/>
          <c:showSerName val="0"/>
          <c:showPercent val="0"/>
          <c:showBubbleSize val="0"/>
        </c:dLbls>
        <c:axId val="642505167"/>
        <c:axId val="649103391"/>
      </c:scatterChart>
      <c:valAx>
        <c:axId val="642505167"/>
        <c:scaling>
          <c:orientation val="minMax"/>
          <c:max val="200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Oil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intercept val="0"/>
            <c:dispRSqr val="1"/>
            <c:dispEq val="1"/>
            <c:trendlineLbl>
              <c:layout>
                <c:manualLayout>
                  <c:x val="7.5311765961003974E-2"/>
                  <c:y val="0.17339481364813367"/>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Summary!$C$131:$CA$131</c:f>
              <c:numCache>
                <c:formatCode>General</c:formatCode>
                <c:ptCount val="77"/>
                <c:pt idx="0">
                  <c:v>30</c:v>
                </c:pt>
                <c:pt idx="1">
                  <c:v>92</c:v>
                </c:pt>
                <c:pt idx="2">
                  <c:v>68</c:v>
                </c:pt>
                <c:pt idx="3">
                  <c:v>75</c:v>
                </c:pt>
                <c:pt idx="4">
                  <c:v>75</c:v>
                </c:pt>
                <c:pt idx="6">
                  <c:v>135</c:v>
                </c:pt>
                <c:pt idx="12">
                  <c:v>215</c:v>
                </c:pt>
                <c:pt idx="16">
                  <c:v>94</c:v>
                </c:pt>
                <c:pt idx="17">
                  <c:v>45</c:v>
                </c:pt>
                <c:pt idx="18">
                  <c:v>55.5</c:v>
                </c:pt>
                <c:pt idx="20">
                  <c:v>71</c:v>
                </c:pt>
                <c:pt idx="28">
                  <c:v>68</c:v>
                </c:pt>
                <c:pt idx="29">
                  <c:v>68</c:v>
                </c:pt>
                <c:pt idx="30">
                  <c:v>68</c:v>
                </c:pt>
                <c:pt idx="31">
                  <c:v>68</c:v>
                </c:pt>
                <c:pt idx="32">
                  <c:v>68</c:v>
                </c:pt>
                <c:pt idx="33">
                  <c:v>68</c:v>
                </c:pt>
                <c:pt idx="35">
                  <c:v>83</c:v>
                </c:pt>
                <c:pt idx="37">
                  <c:v>68</c:v>
                </c:pt>
                <c:pt idx="38">
                  <c:v>68</c:v>
                </c:pt>
                <c:pt idx="39">
                  <c:v>68</c:v>
                </c:pt>
                <c:pt idx="40">
                  <c:v>68</c:v>
                </c:pt>
                <c:pt idx="42">
                  <c:v>68</c:v>
                </c:pt>
                <c:pt idx="44">
                  <c:v>83</c:v>
                </c:pt>
                <c:pt idx="45">
                  <c:v>68</c:v>
                </c:pt>
                <c:pt idx="47">
                  <c:v>90</c:v>
                </c:pt>
                <c:pt idx="48">
                  <c:v>90</c:v>
                </c:pt>
                <c:pt idx="49">
                  <c:v>139</c:v>
                </c:pt>
                <c:pt idx="50">
                  <c:v>120</c:v>
                </c:pt>
                <c:pt idx="52">
                  <c:v>97.5</c:v>
                </c:pt>
                <c:pt idx="54">
                  <c:v>143</c:v>
                </c:pt>
                <c:pt idx="55">
                  <c:v>193</c:v>
                </c:pt>
                <c:pt idx="56">
                  <c:v>113</c:v>
                </c:pt>
                <c:pt idx="58">
                  <c:v>105</c:v>
                </c:pt>
                <c:pt idx="59">
                  <c:v>120</c:v>
                </c:pt>
                <c:pt idx="61">
                  <c:v>251</c:v>
                </c:pt>
                <c:pt idx="62">
                  <c:v>278</c:v>
                </c:pt>
                <c:pt idx="63">
                  <c:v>210</c:v>
                </c:pt>
                <c:pt idx="65">
                  <c:v>240</c:v>
                </c:pt>
                <c:pt idx="67">
                  <c:v>31</c:v>
                </c:pt>
                <c:pt idx="68">
                  <c:v>23</c:v>
                </c:pt>
                <c:pt idx="69">
                  <c:v>68</c:v>
                </c:pt>
                <c:pt idx="70">
                  <c:v>72</c:v>
                </c:pt>
                <c:pt idx="71">
                  <c:v>90</c:v>
                </c:pt>
                <c:pt idx="72">
                  <c:v>63</c:v>
                </c:pt>
                <c:pt idx="73">
                  <c:v>77</c:v>
                </c:pt>
                <c:pt idx="74">
                  <c:v>76</c:v>
                </c:pt>
                <c:pt idx="75">
                  <c:v>77</c:v>
                </c:pt>
                <c:pt idx="76">
                  <c:v>33</c:v>
                </c:pt>
              </c:numCache>
            </c:numRef>
          </c:yVal>
          <c:smooth val="0"/>
          <c:extLst>
            <c:ext xmlns:c16="http://schemas.microsoft.com/office/drawing/2014/chart" uri="{C3380CC4-5D6E-409C-BE32-E72D297353CC}">
              <c16:uniqueId val="{00000000-445A-4B03-A79A-E46334A40DE2}"/>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Summary!$C$131:$S$131</c:f>
              <c:numCache>
                <c:formatCode>General</c:formatCode>
                <c:ptCount val="17"/>
                <c:pt idx="0">
                  <c:v>30</c:v>
                </c:pt>
                <c:pt idx="1">
                  <c:v>92</c:v>
                </c:pt>
                <c:pt idx="2">
                  <c:v>68</c:v>
                </c:pt>
                <c:pt idx="3">
                  <c:v>75</c:v>
                </c:pt>
                <c:pt idx="4">
                  <c:v>75</c:v>
                </c:pt>
                <c:pt idx="6">
                  <c:v>135</c:v>
                </c:pt>
                <c:pt idx="12">
                  <c:v>215</c:v>
                </c:pt>
                <c:pt idx="16">
                  <c:v>94</c:v>
                </c:pt>
              </c:numCache>
            </c:numRef>
          </c:yVal>
          <c:smooth val="0"/>
          <c:extLst>
            <c:ext xmlns:c16="http://schemas.microsoft.com/office/drawing/2014/chart" uri="{C3380CC4-5D6E-409C-BE32-E72D297353CC}">
              <c16:uniqueId val="{00000000-B40E-4B04-A76A-7CF5C364B23D}"/>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Summary!$AE$131:$BG$131</c:f>
              <c:numCache>
                <c:formatCode>General</c:formatCode>
                <c:ptCount val="29"/>
                <c:pt idx="0">
                  <c:v>68</c:v>
                </c:pt>
                <c:pt idx="1">
                  <c:v>68</c:v>
                </c:pt>
                <c:pt idx="2">
                  <c:v>68</c:v>
                </c:pt>
                <c:pt idx="3">
                  <c:v>68</c:v>
                </c:pt>
                <c:pt idx="4">
                  <c:v>68</c:v>
                </c:pt>
                <c:pt idx="5">
                  <c:v>68</c:v>
                </c:pt>
                <c:pt idx="7">
                  <c:v>83</c:v>
                </c:pt>
                <c:pt idx="9">
                  <c:v>68</c:v>
                </c:pt>
                <c:pt idx="10">
                  <c:v>68</c:v>
                </c:pt>
                <c:pt idx="11">
                  <c:v>68</c:v>
                </c:pt>
                <c:pt idx="12">
                  <c:v>68</c:v>
                </c:pt>
                <c:pt idx="14">
                  <c:v>68</c:v>
                </c:pt>
                <c:pt idx="16">
                  <c:v>83</c:v>
                </c:pt>
                <c:pt idx="17">
                  <c:v>68</c:v>
                </c:pt>
                <c:pt idx="19">
                  <c:v>90</c:v>
                </c:pt>
                <c:pt idx="20">
                  <c:v>90</c:v>
                </c:pt>
                <c:pt idx="21">
                  <c:v>139</c:v>
                </c:pt>
                <c:pt idx="22">
                  <c:v>120</c:v>
                </c:pt>
                <c:pt idx="24">
                  <c:v>97.5</c:v>
                </c:pt>
                <c:pt idx="26">
                  <c:v>143</c:v>
                </c:pt>
                <c:pt idx="27">
                  <c:v>193</c:v>
                </c:pt>
                <c:pt idx="28">
                  <c:v>113</c:v>
                </c:pt>
              </c:numCache>
            </c:numRef>
          </c:yVal>
          <c:smooth val="0"/>
          <c:extLst>
            <c:ext xmlns:c16="http://schemas.microsoft.com/office/drawing/2014/chart" uri="{C3380CC4-5D6E-409C-BE32-E72D297353CC}">
              <c16:uniqueId val="{00000001-B40E-4B04-A76A-7CF5C364B23D}"/>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Summary!$BI$131:$BP$131</c:f>
              <c:numCache>
                <c:formatCode>General</c:formatCode>
                <c:ptCount val="8"/>
                <c:pt idx="0">
                  <c:v>105</c:v>
                </c:pt>
                <c:pt idx="1">
                  <c:v>120</c:v>
                </c:pt>
                <c:pt idx="3">
                  <c:v>251</c:v>
                </c:pt>
                <c:pt idx="4">
                  <c:v>278</c:v>
                </c:pt>
                <c:pt idx="5">
                  <c:v>210</c:v>
                </c:pt>
                <c:pt idx="7">
                  <c:v>240</c:v>
                </c:pt>
              </c:numCache>
            </c:numRef>
          </c:yVal>
          <c:smooth val="0"/>
          <c:extLst>
            <c:ext xmlns:c16="http://schemas.microsoft.com/office/drawing/2014/chart" uri="{C3380CC4-5D6E-409C-BE32-E72D297353CC}">
              <c16:uniqueId val="{00000002-B40E-4B04-A76A-7CF5C364B23D}"/>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Summary!$BR$131:$CA$131</c:f>
              <c:numCache>
                <c:formatCode>General</c:formatCode>
                <c:ptCount val="10"/>
                <c:pt idx="0">
                  <c:v>31</c:v>
                </c:pt>
                <c:pt idx="1">
                  <c:v>23</c:v>
                </c:pt>
                <c:pt idx="2">
                  <c:v>68</c:v>
                </c:pt>
                <c:pt idx="3">
                  <c:v>72</c:v>
                </c:pt>
                <c:pt idx="4">
                  <c:v>90</c:v>
                </c:pt>
                <c:pt idx="5">
                  <c:v>63</c:v>
                </c:pt>
                <c:pt idx="6">
                  <c:v>77</c:v>
                </c:pt>
                <c:pt idx="7">
                  <c:v>76</c:v>
                </c:pt>
                <c:pt idx="8">
                  <c:v>77</c:v>
                </c:pt>
                <c:pt idx="9">
                  <c:v>33</c:v>
                </c:pt>
              </c:numCache>
            </c:numRef>
          </c:yVal>
          <c:smooth val="0"/>
          <c:extLst>
            <c:ext xmlns:c16="http://schemas.microsoft.com/office/drawing/2014/chart" uri="{C3380CC4-5D6E-409C-BE32-E72D297353CC}">
              <c16:uniqueId val="{00000003-B40E-4B04-A76A-7CF5C364B23D}"/>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5980308934873913"/>
          <c:h val="0.2045130202729493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Oil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Summary!$C$131:$AC$131</c:f>
              <c:numCache>
                <c:formatCode>General</c:formatCode>
                <c:ptCount val="27"/>
                <c:pt idx="0">
                  <c:v>30</c:v>
                </c:pt>
                <c:pt idx="1">
                  <c:v>92</c:v>
                </c:pt>
                <c:pt idx="2">
                  <c:v>68</c:v>
                </c:pt>
                <c:pt idx="3">
                  <c:v>75</c:v>
                </c:pt>
                <c:pt idx="4">
                  <c:v>75</c:v>
                </c:pt>
                <c:pt idx="6">
                  <c:v>135</c:v>
                </c:pt>
                <c:pt idx="12">
                  <c:v>215</c:v>
                </c:pt>
                <c:pt idx="16">
                  <c:v>94</c:v>
                </c:pt>
                <c:pt idx="17">
                  <c:v>45</c:v>
                </c:pt>
                <c:pt idx="18">
                  <c:v>55.5</c:v>
                </c:pt>
                <c:pt idx="20">
                  <c:v>71</c:v>
                </c:pt>
              </c:numCache>
            </c:numRef>
          </c:yVal>
          <c:smooth val="0"/>
          <c:extLst>
            <c:ext xmlns:c16="http://schemas.microsoft.com/office/drawing/2014/chart" uri="{C3380CC4-5D6E-409C-BE32-E72D297353CC}">
              <c16:uniqueId val="{00000000-05C3-4351-97AF-87CE49289691}"/>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Summary!$AE$131:$BG$131</c:f>
              <c:numCache>
                <c:formatCode>General</c:formatCode>
                <c:ptCount val="29"/>
                <c:pt idx="0">
                  <c:v>68</c:v>
                </c:pt>
                <c:pt idx="1">
                  <c:v>68</c:v>
                </c:pt>
                <c:pt idx="2">
                  <c:v>68</c:v>
                </c:pt>
                <c:pt idx="3">
                  <c:v>68</c:v>
                </c:pt>
                <c:pt idx="4">
                  <c:v>68</c:v>
                </c:pt>
                <c:pt idx="5">
                  <c:v>68</c:v>
                </c:pt>
                <c:pt idx="7">
                  <c:v>83</c:v>
                </c:pt>
                <c:pt idx="9">
                  <c:v>68</c:v>
                </c:pt>
                <c:pt idx="10">
                  <c:v>68</c:v>
                </c:pt>
                <c:pt idx="11">
                  <c:v>68</c:v>
                </c:pt>
                <c:pt idx="12">
                  <c:v>68</c:v>
                </c:pt>
                <c:pt idx="14">
                  <c:v>68</c:v>
                </c:pt>
                <c:pt idx="16">
                  <c:v>83</c:v>
                </c:pt>
                <c:pt idx="17">
                  <c:v>68</c:v>
                </c:pt>
                <c:pt idx="19">
                  <c:v>90</c:v>
                </c:pt>
                <c:pt idx="20">
                  <c:v>90</c:v>
                </c:pt>
                <c:pt idx="21">
                  <c:v>139</c:v>
                </c:pt>
                <c:pt idx="22">
                  <c:v>120</c:v>
                </c:pt>
                <c:pt idx="24">
                  <c:v>97.5</c:v>
                </c:pt>
                <c:pt idx="26">
                  <c:v>143</c:v>
                </c:pt>
                <c:pt idx="27">
                  <c:v>193</c:v>
                </c:pt>
                <c:pt idx="28">
                  <c:v>113</c:v>
                </c:pt>
              </c:numCache>
            </c:numRef>
          </c:yVal>
          <c:smooth val="0"/>
          <c:extLst>
            <c:ext xmlns:c16="http://schemas.microsoft.com/office/drawing/2014/chart" uri="{C3380CC4-5D6E-409C-BE32-E72D297353CC}">
              <c16:uniqueId val="{00000001-05C3-4351-97AF-87CE49289691}"/>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Summary!$BI$131:$BP$131</c:f>
              <c:numCache>
                <c:formatCode>General</c:formatCode>
                <c:ptCount val="8"/>
                <c:pt idx="0">
                  <c:v>105</c:v>
                </c:pt>
                <c:pt idx="1">
                  <c:v>120</c:v>
                </c:pt>
                <c:pt idx="3">
                  <c:v>251</c:v>
                </c:pt>
                <c:pt idx="4">
                  <c:v>278</c:v>
                </c:pt>
                <c:pt idx="5">
                  <c:v>210</c:v>
                </c:pt>
                <c:pt idx="7">
                  <c:v>240</c:v>
                </c:pt>
              </c:numCache>
            </c:numRef>
          </c:yVal>
          <c:smooth val="0"/>
          <c:extLst>
            <c:ext xmlns:c16="http://schemas.microsoft.com/office/drawing/2014/chart" uri="{C3380CC4-5D6E-409C-BE32-E72D297353CC}">
              <c16:uniqueId val="{00000002-05C3-4351-97AF-87CE49289691}"/>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Summary!$BR$131:$CA$131</c:f>
              <c:numCache>
                <c:formatCode>General</c:formatCode>
                <c:ptCount val="10"/>
                <c:pt idx="0">
                  <c:v>31</c:v>
                </c:pt>
                <c:pt idx="1">
                  <c:v>23</c:v>
                </c:pt>
                <c:pt idx="2">
                  <c:v>68</c:v>
                </c:pt>
                <c:pt idx="3">
                  <c:v>72</c:v>
                </c:pt>
                <c:pt idx="4">
                  <c:v>90</c:v>
                </c:pt>
                <c:pt idx="5">
                  <c:v>63</c:v>
                </c:pt>
                <c:pt idx="6">
                  <c:v>77</c:v>
                </c:pt>
                <c:pt idx="7">
                  <c:v>76</c:v>
                </c:pt>
                <c:pt idx="8">
                  <c:v>77</c:v>
                </c:pt>
                <c:pt idx="9">
                  <c:v>33</c:v>
                </c:pt>
              </c:numCache>
            </c:numRef>
          </c:yVal>
          <c:smooth val="0"/>
          <c:extLst>
            <c:ext xmlns:c16="http://schemas.microsoft.com/office/drawing/2014/chart" uri="{C3380CC4-5D6E-409C-BE32-E72D297353CC}">
              <c16:uniqueId val="{00000003-05C3-4351-97AF-87CE49289691}"/>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 Off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Oil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intercept val="0"/>
            <c:dispRSqr val="1"/>
            <c:dispEq val="1"/>
            <c:trendlineLbl>
              <c:layout>
                <c:manualLayout>
                  <c:x val="-0.10688612287010345"/>
                  <c:y val="-6.7998761359965687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Summary!$C$132:$CA$132</c:f>
              <c:numCache>
                <c:formatCode>General</c:formatCode>
                <c:ptCount val="77"/>
                <c:pt idx="0">
                  <c:v>330</c:v>
                </c:pt>
                <c:pt idx="1">
                  <c:v>660</c:v>
                </c:pt>
                <c:pt idx="2">
                  <c:v>630</c:v>
                </c:pt>
                <c:pt idx="3">
                  <c:v>630</c:v>
                </c:pt>
                <c:pt idx="4">
                  <c:v>630</c:v>
                </c:pt>
                <c:pt idx="6">
                  <c:v>888</c:v>
                </c:pt>
                <c:pt idx="12">
                  <c:v>1830</c:v>
                </c:pt>
                <c:pt idx="16">
                  <c:v>1614</c:v>
                </c:pt>
                <c:pt idx="17">
                  <c:v>540</c:v>
                </c:pt>
                <c:pt idx="18">
                  <c:v>624</c:v>
                </c:pt>
                <c:pt idx="20">
                  <c:v>720</c:v>
                </c:pt>
                <c:pt idx="28">
                  <c:v>660</c:v>
                </c:pt>
                <c:pt idx="29">
                  <c:v>660</c:v>
                </c:pt>
                <c:pt idx="30">
                  <c:v>660</c:v>
                </c:pt>
                <c:pt idx="31">
                  <c:v>660</c:v>
                </c:pt>
                <c:pt idx="32">
                  <c:v>660</c:v>
                </c:pt>
                <c:pt idx="33">
                  <c:v>660</c:v>
                </c:pt>
                <c:pt idx="35">
                  <c:v>960</c:v>
                </c:pt>
                <c:pt idx="37">
                  <c:v>660</c:v>
                </c:pt>
                <c:pt idx="38">
                  <c:v>660</c:v>
                </c:pt>
                <c:pt idx="39">
                  <c:v>660</c:v>
                </c:pt>
                <c:pt idx="40">
                  <c:v>660</c:v>
                </c:pt>
                <c:pt idx="42">
                  <c:v>660</c:v>
                </c:pt>
                <c:pt idx="44">
                  <c:v>864</c:v>
                </c:pt>
                <c:pt idx="45">
                  <c:v>660</c:v>
                </c:pt>
                <c:pt idx="47">
                  <c:v>1068</c:v>
                </c:pt>
                <c:pt idx="48">
                  <c:v>1068</c:v>
                </c:pt>
                <c:pt idx="49">
                  <c:v>1404</c:v>
                </c:pt>
                <c:pt idx="50">
                  <c:v>1404</c:v>
                </c:pt>
                <c:pt idx="52">
                  <c:v>1092</c:v>
                </c:pt>
                <c:pt idx="54">
                  <c:v>1500</c:v>
                </c:pt>
                <c:pt idx="55">
                  <c:v>1500</c:v>
                </c:pt>
                <c:pt idx="56">
                  <c:v>1110</c:v>
                </c:pt>
                <c:pt idx="58">
                  <c:v>907</c:v>
                </c:pt>
                <c:pt idx="59">
                  <c:v>1704</c:v>
                </c:pt>
                <c:pt idx="61">
                  <c:v>2280</c:v>
                </c:pt>
                <c:pt idx="62">
                  <c:v>2130</c:v>
                </c:pt>
                <c:pt idx="63">
                  <c:v>2100</c:v>
                </c:pt>
                <c:pt idx="65">
                  <c:v>2010</c:v>
                </c:pt>
                <c:pt idx="67">
                  <c:v>270</c:v>
                </c:pt>
                <c:pt idx="68">
                  <c:v>144</c:v>
                </c:pt>
                <c:pt idx="69">
                  <c:v>600</c:v>
                </c:pt>
                <c:pt idx="70">
                  <c:v>624</c:v>
                </c:pt>
                <c:pt idx="71">
                  <c:v>720</c:v>
                </c:pt>
                <c:pt idx="72">
                  <c:v>552</c:v>
                </c:pt>
                <c:pt idx="73">
                  <c:v>666</c:v>
                </c:pt>
                <c:pt idx="74">
                  <c:v>666</c:v>
                </c:pt>
                <c:pt idx="75">
                  <c:v>666</c:v>
                </c:pt>
                <c:pt idx="76">
                  <c:v>255</c:v>
                </c:pt>
              </c:numCache>
            </c:numRef>
          </c:xVal>
          <c:yVal>
            <c:numRef>
              <c:f>Summary!$C$131:$CA$131</c:f>
              <c:numCache>
                <c:formatCode>General</c:formatCode>
                <c:ptCount val="77"/>
                <c:pt idx="0">
                  <c:v>30</c:v>
                </c:pt>
                <c:pt idx="1">
                  <c:v>92</c:v>
                </c:pt>
                <c:pt idx="2">
                  <c:v>68</c:v>
                </c:pt>
                <c:pt idx="3">
                  <c:v>75</c:v>
                </c:pt>
                <c:pt idx="4">
                  <c:v>75</c:v>
                </c:pt>
                <c:pt idx="6">
                  <c:v>135</c:v>
                </c:pt>
                <c:pt idx="12">
                  <c:v>215</c:v>
                </c:pt>
                <c:pt idx="16">
                  <c:v>94</c:v>
                </c:pt>
                <c:pt idx="17">
                  <c:v>45</c:v>
                </c:pt>
                <c:pt idx="18">
                  <c:v>55.5</c:v>
                </c:pt>
                <c:pt idx="20">
                  <c:v>71</c:v>
                </c:pt>
                <c:pt idx="28">
                  <c:v>68</c:v>
                </c:pt>
                <c:pt idx="29">
                  <c:v>68</c:v>
                </c:pt>
                <c:pt idx="30">
                  <c:v>68</c:v>
                </c:pt>
                <c:pt idx="31">
                  <c:v>68</c:v>
                </c:pt>
                <c:pt idx="32">
                  <c:v>68</c:v>
                </c:pt>
                <c:pt idx="33">
                  <c:v>68</c:v>
                </c:pt>
                <c:pt idx="35">
                  <c:v>83</c:v>
                </c:pt>
                <c:pt idx="37">
                  <c:v>68</c:v>
                </c:pt>
                <c:pt idx="38">
                  <c:v>68</c:v>
                </c:pt>
                <c:pt idx="39">
                  <c:v>68</c:v>
                </c:pt>
                <c:pt idx="40">
                  <c:v>68</c:v>
                </c:pt>
                <c:pt idx="42">
                  <c:v>68</c:v>
                </c:pt>
                <c:pt idx="44">
                  <c:v>83</c:v>
                </c:pt>
                <c:pt idx="45">
                  <c:v>68</c:v>
                </c:pt>
                <c:pt idx="47">
                  <c:v>90</c:v>
                </c:pt>
                <c:pt idx="48">
                  <c:v>90</c:v>
                </c:pt>
                <c:pt idx="49">
                  <c:v>139</c:v>
                </c:pt>
                <c:pt idx="50">
                  <c:v>120</c:v>
                </c:pt>
                <c:pt idx="52">
                  <c:v>97.5</c:v>
                </c:pt>
                <c:pt idx="54">
                  <c:v>143</c:v>
                </c:pt>
                <c:pt idx="55">
                  <c:v>193</c:v>
                </c:pt>
                <c:pt idx="56">
                  <c:v>113</c:v>
                </c:pt>
                <c:pt idx="58">
                  <c:v>105</c:v>
                </c:pt>
                <c:pt idx="59">
                  <c:v>120</c:v>
                </c:pt>
                <c:pt idx="61">
                  <c:v>251</c:v>
                </c:pt>
                <c:pt idx="62">
                  <c:v>278</c:v>
                </c:pt>
                <c:pt idx="63">
                  <c:v>210</c:v>
                </c:pt>
                <c:pt idx="65">
                  <c:v>240</c:v>
                </c:pt>
                <c:pt idx="67">
                  <c:v>31</c:v>
                </c:pt>
                <c:pt idx="68">
                  <c:v>23</c:v>
                </c:pt>
                <c:pt idx="69">
                  <c:v>68</c:v>
                </c:pt>
                <c:pt idx="70">
                  <c:v>72</c:v>
                </c:pt>
                <c:pt idx="71">
                  <c:v>90</c:v>
                </c:pt>
                <c:pt idx="72">
                  <c:v>63</c:v>
                </c:pt>
                <c:pt idx="73">
                  <c:v>77</c:v>
                </c:pt>
                <c:pt idx="74">
                  <c:v>76</c:v>
                </c:pt>
                <c:pt idx="75">
                  <c:v>77</c:v>
                </c:pt>
                <c:pt idx="76">
                  <c:v>33</c:v>
                </c:pt>
              </c:numCache>
            </c:numRef>
          </c:yVal>
          <c:smooth val="0"/>
          <c:extLst>
            <c:ext xmlns:c16="http://schemas.microsoft.com/office/drawing/2014/chart" uri="{C3380CC4-5D6E-409C-BE32-E72D297353CC}">
              <c16:uniqueId val="{00000000-351D-44BD-BC54-AFFB4F85BE52}"/>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Summary!$C$132:$S$132</c:f>
              <c:numCache>
                <c:formatCode>General</c:formatCode>
                <c:ptCount val="17"/>
                <c:pt idx="0">
                  <c:v>330</c:v>
                </c:pt>
                <c:pt idx="1">
                  <c:v>660</c:v>
                </c:pt>
                <c:pt idx="2">
                  <c:v>630</c:v>
                </c:pt>
                <c:pt idx="3">
                  <c:v>630</c:v>
                </c:pt>
                <c:pt idx="4">
                  <c:v>630</c:v>
                </c:pt>
                <c:pt idx="6">
                  <c:v>888</c:v>
                </c:pt>
                <c:pt idx="12">
                  <c:v>1830</c:v>
                </c:pt>
                <c:pt idx="16">
                  <c:v>1614</c:v>
                </c:pt>
              </c:numCache>
            </c:numRef>
          </c:xVal>
          <c:yVal>
            <c:numRef>
              <c:f>Summary!$C$131:$S$131</c:f>
              <c:numCache>
                <c:formatCode>General</c:formatCode>
                <c:ptCount val="17"/>
                <c:pt idx="0">
                  <c:v>30</c:v>
                </c:pt>
                <c:pt idx="1">
                  <c:v>92</c:v>
                </c:pt>
                <c:pt idx="2">
                  <c:v>68</c:v>
                </c:pt>
                <c:pt idx="3">
                  <c:v>75</c:v>
                </c:pt>
                <c:pt idx="4">
                  <c:v>75</c:v>
                </c:pt>
                <c:pt idx="6">
                  <c:v>135</c:v>
                </c:pt>
                <c:pt idx="12">
                  <c:v>215</c:v>
                </c:pt>
                <c:pt idx="16">
                  <c:v>94</c:v>
                </c:pt>
              </c:numCache>
            </c:numRef>
          </c:yVal>
          <c:smooth val="0"/>
          <c:extLst>
            <c:ext xmlns:c16="http://schemas.microsoft.com/office/drawing/2014/chart" uri="{C3380CC4-5D6E-409C-BE32-E72D297353CC}">
              <c16:uniqueId val="{00000000-D70F-4B7F-B8A2-76729A937E06}"/>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Summary!$AE$132:$BG$132</c:f>
              <c:numCache>
                <c:formatCode>General</c:formatCode>
                <c:ptCount val="29"/>
                <c:pt idx="0">
                  <c:v>660</c:v>
                </c:pt>
                <c:pt idx="1">
                  <c:v>660</c:v>
                </c:pt>
                <c:pt idx="2">
                  <c:v>660</c:v>
                </c:pt>
                <c:pt idx="3">
                  <c:v>660</c:v>
                </c:pt>
                <c:pt idx="4">
                  <c:v>660</c:v>
                </c:pt>
                <c:pt idx="5">
                  <c:v>660</c:v>
                </c:pt>
                <c:pt idx="7">
                  <c:v>960</c:v>
                </c:pt>
                <c:pt idx="9">
                  <c:v>660</c:v>
                </c:pt>
                <c:pt idx="10">
                  <c:v>660</c:v>
                </c:pt>
                <c:pt idx="11">
                  <c:v>660</c:v>
                </c:pt>
                <c:pt idx="12">
                  <c:v>660</c:v>
                </c:pt>
                <c:pt idx="14">
                  <c:v>660</c:v>
                </c:pt>
                <c:pt idx="16">
                  <c:v>864</c:v>
                </c:pt>
                <c:pt idx="17">
                  <c:v>660</c:v>
                </c:pt>
                <c:pt idx="19">
                  <c:v>1068</c:v>
                </c:pt>
                <c:pt idx="20">
                  <c:v>1068</c:v>
                </c:pt>
                <c:pt idx="21">
                  <c:v>1404</c:v>
                </c:pt>
                <c:pt idx="22">
                  <c:v>1404</c:v>
                </c:pt>
                <c:pt idx="24">
                  <c:v>1092</c:v>
                </c:pt>
                <c:pt idx="26">
                  <c:v>1500</c:v>
                </c:pt>
                <c:pt idx="27">
                  <c:v>1500</c:v>
                </c:pt>
                <c:pt idx="28">
                  <c:v>1110</c:v>
                </c:pt>
              </c:numCache>
            </c:numRef>
          </c:xVal>
          <c:yVal>
            <c:numRef>
              <c:f>Summary!$AE$131:$BG$131</c:f>
              <c:numCache>
                <c:formatCode>General</c:formatCode>
                <c:ptCount val="29"/>
                <c:pt idx="0">
                  <c:v>68</c:v>
                </c:pt>
                <c:pt idx="1">
                  <c:v>68</c:v>
                </c:pt>
                <c:pt idx="2">
                  <c:v>68</c:v>
                </c:pt>
                <c:pt idx="3">
                  <c:v>68</c:v>
                </c:pt>
                <c:pt idx="4">
                  <c:v>68</c:v>
                </c:pt>
                <c:pt idx="5">
                  <c:v>68</c:v>
                </c:pt>
                <c:pt idx="7">
                  <c:v>83</c:v>
                </c:pt>
                <c:pt idx="9">
                  <c:v>68</c:v>
                </c:pt>
                <c:pt idx="10">
                  <c:v>68</c:v>
                </c:pt>
                <c:pt idx="11">
                  <c:v>68</c:v>
                </c:pt>
                <c:pt idx="12">
                  <c:v>68</c:v>
                </c:pt>
                <c:pt idx="14">
                  <c:v>68</c:v>
                </c:pt>
                <c:pt idx="16">
                  <c:v>83</c:v>
                </c:pt>
                <c:pt idx="17">
                  <c:v>68</c:v>
                </c:pt>
                <c:pt idx="19">
                  <c:v>90</c:v>
                </c:pt>
                <c:pt idx="20">
                  <c:v>90</c:v>
                </c:pt>
                <c:pt idx="21">
                  <c:v>139</c:v>
                </c:pt>
                <c:pt idx="22">
                  <c:v>120</c:v>
                </c:pt>
                <c:pt idx="24">
                  <c:v>97.5</c:v>
                </c:pt>
                <c:pt idx="26">
                  <c:v>143</c:v>
                </c:pt>
                <c:pt idx="27">
                  <c:v>193</c:v>
                </c:pt>
                <c:pt idx="28">
                  <c:v>113</c:v>
                </c:pt>
              </c:numCache>
            </c:numRef>
          </c:yVal>
          <c:smooth val="0"/>
          <c:extLst>
            <c:ext xmlns:c16="http://schemas.microsoft.com/office/drawing/2014/chart" uri="{C3380CC4-5D6E-409C-BE32-E72D297353CC}">
              <c16:uniqueId val="{00000001-D70F-4B7F-B8A2-76729A937E06}"/>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Summary!$BI$132:$BP$132</c:f>
              <c:numCache>
                <c:formatCode>General</c:formatCode>
                <c:ptCount val="8"/>
                <c:pt idx="0">
                  <c:v>907</c:v>
                </c:pt>
                <c:pt idx="1">
                  <c:v>1704</c:v>
                </c:pt>
                <c:pt idx="3">
                  <c:v>2280</c:v>
                </c:pt>
                <c:pt idx="4">
                  <c:v>2130</c:v>
                </c:pt>
                <c:pt idx="5">
                  <c:v>2100</c:v>
                </c:pt>
                <c:pt idx="7">
                  <c:v>2010</c:v>
                </c:pt>
              </c:numCache>
            </c:numRef>
          </c:xVal>
          <c:yVal>
            <c:numRef>
              <c:f>Summary!$BI$131:$BP$131</c:f>
              <c:numCache>
                <c:formatCode>General</c:formatCode>
                <c:ptCount val="8"/>
                <c:pt idx="0">
                  <c:v>105</c:v>
                </c:pt>
                <c:pt idx="1">
                  <c:v>120</c:v>
                </c:pt>
                <c:pt idx="3">
                  <c:v>251</c:v>
                </c:pt>
                <c:pt idx="4">
                  <c:v>278</c:v>
                </c:pt>
                <c:pt idx="5">
                  <c:v>210</c:v>
                </c:pt>
                <c:pt idx="7">
                  <c:v>240</c:v>
                </c:pt>
              </c:numCache>
            </c:numRef>
          </c:yVal>
          <c:smooth val="0"/>
          <c:extLst>
            <c:ext xmlns:c16="http://schemas.microsoft.com/office/drawing/2014/chart" uri="{C3380CC4-5D6E-409C-BE32-E72D297353CC}">
              <c16:uniqueId val="{00000002-D70F-4B7F-B8A2-76729A937E06}"/>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Summary!$BR$132:$CA$132</c:f>
              <c:numCache>
                <c:formatCode>General</c:formatCode>
                <c:ptCount val="10"/>
                <c:pt idx="0">
                  <c:v>270</c:v>
                </c:pt>
                <c:pt idx="1">
                  <c:v>144</c:v>
                </c:pt>
                <c:pt idx="2">
                  <c:v>600</c:v>
                </c:pt>
                <c:pt idx="3">
                  <c:v>624</c:v>
                </c:pt>
                <c:pt idx="4">
                  <c:v>720</c:v>
                </c:pt>
                <c:pt idx="5">
                  <c:v>552</c:v>
                </c:pt>
                <c:pt idx="6">
                  <c:v>666</c:v>
                </c:pt>
                <c:pt idx="7">
                  <c:v>666</c:v>
                </c:pt>
                <c:pt idx="8">
                  <c:v>666</c:v>
                </c:pt>
                <c:pt idx="9">
                  <c:v>255</c:v>
                </c:pt>
              </c:numCache>
            </c:numRef>
          </c:xVal>
          <c:yVal>
            <c:numRef>
              <c:f>Summary!$BR$131:$CA$131</c:f>
              <c:numCache>
                <c:formatCode>General</c:formatCode>
                <c:ptCount val="10"/>
                <c:pt idx="0">
                  <c:v>31</c:v>
                </c:pt>
                <c:pt idx="1">
                  <c:v>23</c:v>
                </c:pt>
                <c:pt idx="2">
                  <c:v>68</c:v>
                </c:pt>
                <c:pt idx="3">
                  <c:v>72</c:v>
                </c:pt>
                <c:pt idx="4">
                  <c:v>90</c:v>
                </c:pt>
                <c:pt idx="5">
                  <c:v>63</c:v>
                </c:pt>
                <c:pt idx="6">
                  <c:v>77</c:v>
                </c:pt>
                <c:pt idx="7">
                  <c:v>76</c:v>
                </c:pt>
                <c:pt idx="8">
                  <c:v>77</c:v>
                </c:pt>
                <c:pt idx="9">
                  <c:v>33</c:v>
                </c:pt>
              </c:numCache>
            </c:numRef>
          </c:yVal>
          <c:smooth val="0"/>
          <c:extLst>
            <c:ext xmlns:c16="http://schemas.microsoft.com/office/drawing/2014/chart" uri="{C3380CC4-5D6E-409C-BE32-E72D297353CC}">
              <c16:uniqueId val="{00000003-D70F-4B7F-B8A2-76729A937E06}"/>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Fuel</a:t>
                </a:r>
                <a:r>
                  <a:rPr lang="en-US" baseline="0"/>
                  <a:t> Wt (lb)</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Basic Mission Useful Loads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dispRSqr val="1"/>
            <c:dispEq val="1"/>
            <c:trendlineLbl>
              <c:layout>
                <c:manualLayout>
                  <c:x val="-2.3068625920565147E-2"/>
                  <c:y val="-8.1206627519407035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Summary!$C$128:$CA$128</c:f>
              <c:numCache>
                <c:formatCode>General</c:formatCode>
                <c:ptCount val="77"/>
                <c:pt idx="0">
                  <c:v>741</c:v>
                </c:pt>
                <c:pt idx="1">
                  <c:v>1284</c:v>
                </c:pt>
                <c:pt idx="2">
                  <c:v>1173</c:v>
                </c:pt>
                <c:pt idx="3">
                  <c:v>1206</c:v>
                </c:pt>
                <c:pt idx="4">
                  <c:v>1206</c:v>
                </c:pt>
                <c:pt idx="6">
                  <c:v>2300</c:v>
                </c:pt>
                <c:pt idx="12">
                  <c:v>3736</c:v>
                </c:pt>
                <c:pt idx="16">
                  <c:v>3069</c:v>
                </c:pt>
                <c:pt idx="17">
                  <c:v>1347</c:v>
                </c:pt>
                <c:pt idx="18">
                  <c:v>1880.3000000000002</c:v>
                </c:pt>
                <c:pt idx="20">
                  <c:v>2042</c:v>
                </c:pt>
                <c:pt idx="28">
                  <c:v>1278</c:v>
                </c:pt>
                <c:pt idx="29">
                  <c:v>1270</c:v>
                </c:pt>
                <c:pt idx="30">
                  <c:v>1270.0999999999999</c:v>
                </c:pt>
                <c:pt idx="31">
                  <c:v>1278</c:v>
                </c:pt>
                <c:pt idx="32">
                  <c:v>1268.7</c:v>
                </c:pt>
                <c:pt idx="33">
                  <c:v>1753.3</c:v>
                </c:pt>
                <c:pt idx="35">
                  <c:v>2359</c:v>
                </c:pt>
                <c:pt idx="37">
                  <c:v>1265</c:v>
                </c:pt>
                <c:pt idx="38">
                  <c:v>1417.2</c:v>
                </c:pt>
                <c:pt idx="39">
                  <c:v>1812.5</c:v>
                </c:pt>
                <c:pt idx="40">
                  <c:v>1844</c:v>
                </c:pt>
                <c:pt idx="42">
                  <c:v>1602</c:v>
                </c:pt>
                <c:pt idx="44">
                  <c:v>2081</c:v>
                </c:pt>
                <c:pt idx="45">
                  <c:v>1647.1000000000001</c:v>
                </c:pt>
                <c:pt idx="47">
                  <c:v>2390.1999999999998</c:v>
                </c:pt>
                <c:pt idx="48">
                  <c:v>2520.1999999999998</c:v>
                </c:pt>
                <c:pt idx="49">
                  <c:v>2978</c:v>
                </c:pt>
                <c:pt idx="50">
                  <c:v>3163</c:v>
                </c:pt>
                <c:pt idx="52">
                  <c:v>2482.6</c:v>
                </c:pt>
                <c:pt idx="54">
                  <c:v>3081</c:v>
                </c:pt>
                <c:pt idx="55">
                  <c:v>3268</c:v>
                </c:pt>
                <c:pt idx="56">
                  <c:v>2137</c:v>
                </c:pt>
                <c:pt idx="58">
                  <c:v>2437</c:v>
                </c:pt>
                <c:pt idx="59">
                  <c:v>3209</c:v>
                </c:pt>
                <c:pt idx="61">
                  <c:v>5857</c:v>
                </c:pt>
                <c:pt idx="62">
                  <c:v>4703</c:v>
                </c:pt>
                <c:pt idx="63">
                  <c:v>5168</c:v>
                </c:pt>
                <c:pt idx="64">
                  <c:v>0</c:v>
                </c:pt>
                <c:pt idx="65">
                  <c:v>5474</c:v>
                </c:pt>
                <c:pt idx="66">
                  <c:v>0</c:v>
                </c:pt>
                <c:pt idx="67">
                  <c:v>701</c:v>
                </c:pt>
                <c:pt idx="68">
                  <c:v>567</c:v>
                </c:pt>
                <c:pt idx="69">
                  <c:v>1107</c:v>
                </c:pt>
                <c:pt idx="70">
                  <c:v>1128</c:v>
                </c:pt>
                <c:pt idx="71">
                  <c:v>1210</c:v>
                </c:pt>
                <c:pt idx="72">
                  <c:v>1048</c:v>
                </c:pt>
                <c:pt idx="73">
                  <c:v>1175</c:v>
                </c:pt>
                <c:pt idx="74">
                  <c:v>1174</c:v>
                </c:pt>
                <c:pt idx="75">
                  <c:v>1175</c:v>
                </c:pt>
                <c:pt idx="76">
                  <c:v>688</c:v>
                </c:pt>
              </c:numCache>
            </c:numRef>
          </c:yVal>
          <c:smooth val="0"/>
          <c:extLst>
            <c:ext xmlns:c16="http://schemas.microsoft.com/office/drawing/2014/chart" uri="{C3380CC4-5D6E-409C-BE32-E72D297353CC}">
              <c16:uniqueId val="{00000000-0455-4DA1-9E43-B8F9D5A84F1D}"/>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Summary!$C$128:$S$128</c:f>
              <c:numCache>
                <c:formatCode>General</c:formatCode>
                <c:ptCount val="17"/>
                <c:pt idx="0">
                  <c:v>741</c:v>
                </c:pt>
                <c:pt idx="1">
                  <c:v>1284</c:v>
                </c:pt>
                <c:pt idx="2">
                  <c:v>1173</c:v>
                </c:pt>
                <c:pt idx="3">
                  <c:v>1206</c:v>
                </c:pt>
                <c:pt idx="4">
                  <c:v>1206</c:v>
                </c:pt>
                <c:pt idx="6">
                  <c:v>2300</c:v>
                </c:pt>
                <c:pt idx="12">
                  <c:v>3736</c:v>
                </c:pt>
                <c:pt idx="16">
                  <c:v>3069</c:v>
                </c:pt>
              </c:numCache>
            </c:numRef>
          </c:yVal>
          <c:smooth val="0"/>
          <c:extLst>
            <c:ext xmlns:c16="http://schemas.microsoft.com/office/drawing/2014/chart" uri="{C3380CC4-5D6E-409C-BE32-E72D297353CC}">
              <c16:uniqueId val="{00000000-9A28-48BF-9DAB-F5475D978FB4}"/>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Summary!$AE$128:$BG$128</c:f>
              <c:numCache>
                <c:formatCode>General</c:formatCode>
                <c:ptCount val="29"/>
                <c:pt idx="0">
                  <c:v>1278</c:v>
                </c:pt>
                <c:pt idx="1">
                  <c:v>1270</c:v>
                </c:pt>
                <c:pt idx="2">
                  <c:v>1270.0999999999999</c:v>
                </c:pt>
                <c:pt idx="3">
                  <c:v>1278</c:v>
                </c:pt>
                <c:pt idx="4">
                  <c:v>1268.7</c:v>
                </c:pt>
                <c:pt idx="5">
                  <c:v>1753.3</c:v>
                </c:pt>
                <c:pt idx="7">
                  <c:v>2359</c:v>
                </c:pt>
                <c:pt idx="9">
                  <c:v>1265</c:v>
                </c:pt>
                <c:pt idx="10">
                  <c:v>1417.2</c:v>
                </c:pt>
                <c:pt idx="11">
                  <c:v>1812.5</c:v>
                </c:pt>
                <c:pt idx="12">
                  <c:v>1844</c:v>
                </c:pt>
                <c:pt idx="14">
                  <c:v>1602</c:v>
                </c:pt>
                <c:pt idx="16">
                  <c:v>2081</c:v>
                </c:pt>
                <c:pt idx="17">
                  <c:v>1647.1000000000001</c:v>
                </c:pt>
                <c:pt idx="19">
                  <c:v>2390.1999999999998</c:v>
                </c:pt>
                <c:pt idx="20">
                  <c:v>2520.1999999999998</c:v>
                </c:pt>
                <c:pt idx="21">
                  <c:v>2978</c:v>
                </c:pt>
                <c:pt idx="22">
                  <c:v>3163</c:v>
                </c:pt>
                <c:pt idx="24">
                  <c:v>2482.6</c:v>
                </c:pt>
                <c:pt idx="26">
                  <c:v>3081</c:v>
                </c:pt>
                <c:pt idx="27">
                  <c:v>3268</c:v>
                </c:pt>
                <c:pt idx="28">
                  <c:v>2137</c:v>
                </c:pt>
              </c:numCache>
            </c:numRef>
          </c:yVal>
          <c:smooth val="0"/>
          <c:extLst>
            <c:ext xmlns:c16="http://schemas.microsoft.com/office/drawing/2014/chart" uri="{C3380CC4-5D6E-409C-BE32-E72D297353CC}">
              <c16:uniqueId val="{00000001-9A28-48BF-9DAB-F5475D978FB4}"/>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Summary!$BI$128:$BP$128</c:f>
              <c:numCache>
                <c:formatCode>General</c:formatCode>
                <c:ptCount val="8"/>
                <c:pt idx="0">
                  <c:v>2437</c:v>
                </c:pt>
                <c:pt idx="1">
                  <c:v>3209</c:v>
                </c:pt>
                <c:pt idx="3">
                  <c:v>5857</c:v>
                </c:pt>
                <c:pt idx="4">
                  <c:v>4703</c:v>
                </c:pt>
                <c:pt idx="5">
                  <c:v>5168</c:v>
                </c:pt>
                <c:pt idx="6">
                  <c:v>0</c:v>
                </c:pt>
                <c:pt idx="7">
                  <c:v>5474</c:v>
                </c:pt>
              </c:numCache>
            </c:numRef>
          </c:yVal>
          <c:smooth val="0"/>
          <c:extLst>
            <c:ext xmlns:c16="http://schemas.microsoft.com/office/drawing/2014/chart" uri="{C3380CC4-5D6E-409C-BE32-E72D297353CC}">
              <c16:uniqueId val="{00000002-9A28-48BF-9DAB-F5475D978FB4}"/>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Summary!$BR$128:$CA$128</c:f>
              <c:numCache>
                <c:formatCode>General</c:formatCode>
                <c:ptCount val="10"/>
                <c:pt idx="0">
                  <c:v>701</c:v>
                </c:pt>
                <c:pt idx="1">
                  <c:v>567</c:v>
                </c:pt>
                <c:pt idx="2">
                  <c:v>1107</c:v>
                </c:pt>
                <c:pt idx="3">
                  <c:v>1128</c:v>
                </c:pt>
                <c:pt idx="4">
                  <c:v>1210</c:v>
                </c:pt>
                <c:pt idx="5">
                  <c:v>1048</c:v>
                </c:pt>
                <c:pt idx="6">
                  <c:v>1175</c:v>
                </c:pt>
                <c:pt idx="7">
                  <c:v>1174</c:v>
                </c:pt>
                <c:pt idx="8">
                  <c:v>1175</c:v>
                </c:pt>
                <c:pt idx="9">
                  <c:v>688</c:v>
                </c:pt>
              </c:numCache>
            </c:numRef>
          </c:yVal>
          <c:smooth val="0"/>
          <c:extLst>
            <c:ext xmlns:c16="http://schemas.microsoft.com/office/drawing/2014/chart" uri="{C3380CC4-5D6E-409C-BE32-E72D297353CC}">
              <c16:uniqueId val="{00000003-9A28-48BF-9DAB-F5475D978FB4}"/>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Total Empty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dispRSqr val="1"/>
            <c:dispEq val="1"/>
            <c:trendlineLbl>
              <c:layout>
                <c:manualLayout>
                  <c:x val="-3.7293683950922899E-4"/>
                  <c:y val="-5.6650763788259992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Summary!$C$127:$CA$127</c:f>
              <c:numCache>
                <c:formatCode>General</c:formatCode>
                <c:ptCount val="77"/>
                <c:pt idx="0">
                  <c:v>2194</c:v>
                </c:pt>
                <c:pt idx="1">
                  <c:v>4315</c:v>
                </c:pt>
                <c:pt idx="2">
                  <c:v>4358</c:v>
                </c:pt>
                <c:pt idx="3">
                  <c:v>4483</c:v>
                </c:pt>
                <c:pt idx="4">
                  <c:v>4713</c:v>
                </c:pt>
                <c:pt idx="5">
                  <c:v>6069</c:v>
                </c:pt>
                <c:pt idx="6">
                  <c:v>6127</c:v>
                </c:pt>
                <c:pt idx="7">
                  <c:v>6566</c:v>
                </c:pt>
                <c:pt idx="8">
                  <c:v>6367</c:v>
                </c:pt>
                <c:pt idx="9">
                  <c:v>6485</c:v>
                </c:pt>
                <c:pt idx="10">
                  <c:v>6386</c:v>
                </c:pt>
                <c:pt idx="11">
                  <c:v>6206</c:v>
                </c:pt>
                <c:pt idx="12">
                  <c:v>9637</c:v>
                </c:pt>
                <c:pt idx="13">
                  <c:v>9956.7000000000007</c:v>
                </c:pt>
                <c:pt idx="14">
                  <c:v>10198.700000000001</c:v>
                </c:pt>
                <c:pt idx="15">
                  <c:v>6988</c:v>
                </c:pt>
                <c:pt idx="16">
                  <c:v>7050</c:v>
                </c:pt>
                <c:pt idx="17">
                  <c:v>4232</c:v>
                </c:pt>
                <c:pt idx="18">
                  <c:v>5523.2</c:v>
                </c:pt>
                <c:pt idx="19">
                  <c:v>4904.7</c:v>
                </c:pt>
                <c:pt idx="20">
                  <c:v>5363</c:v>
                </c:pt>
                <c:pt idx="21">
                  <c:v>5030.2000000000007</c:v>
                </c:pt>
                <c:pt idx="23">
                  <c:v>4927.1000000000004</c:v>
                </c:pt>
                <c:pt idx="24">
                  <c:v>6188</c:v>
                </c:pt>
                <c:pt idx="25">
                  <c:v>6693.7</c:v>
                </c:pt>
                <c:pt idx="26">
                  <c:v>6856</c:v>
                </c:pt>
                <c:pt idx="28">
                  <c:v>3721.55</c:v>
                </c:pt>
                <c:pt idx="29">
                  <c:v>3783.0000000000005</c:v>
                </c:pt>
                <c:pt idx="30">
                  <c:v>3785.1000000000004</c:v>
                </c:pt>
                <c:pt idx="31">
                  <c:v>4131.2</c:v>
                </c:pt>
                <c:pt idx="32">
                  <c:v>4149.8</c:v>
                </c:pt>
                <c:pt idx="33">
                  <c:v>4765.3</c:v>
                </c:pt>
                <c:pt idx="34">
                  <c:v>4732</c:v>
                </c:pt>
                <c:pt idx="35">
                  <c:v>4870</c:v>
                </c:pt>
                <c:pt idx="36">
                  <c:v>3743.5999999999995</c:v>
                </c:pt>
                <c:pt idx="37">
                  <c:v>3751</c:v>
                </c:pt>
                <c:pt idx="38">
                  <c:v>4019.7</c:v>
                </c:pt>
                <c:pt idx="39">
                  <c:v>4282</c:v>
                </c:pt>
                <c:pt idx="40">
                  <c:v>4268.2</c:v>
                </c:pt>
                <c:pt idx="41">
                  <c:v>5426</c:v>
                </c:pt>
                <c:pt idx="42">
                  <c:v>5293</c:v>
                </c:pt>
                <c:pt idx="43">
                  <c:v>5778.9</c:v>
                </c:pt>
                <c:pt idx="44">
                  <c:v>5798</c:v>
                </c:pt>
                <c:pt idx="45">
                  <c:v>5778.9</c:v>
                </c:pt>
                <c:pt idx="46">
                  <c:v>5338</c:v>
                </c:pt>
                <c:pt idx="47">
                  <c:v>8752.4</c:v>
                </c:pt>
                <c:pt idx="48">
                  <c:v>8823</c:v>
                </c:pt>
                <c:pt idx="49">
                  <c:v>9272</c:v>
                </c:pt>
                <c:pt idx="50">
                  <c:v>9241.8000000000011</c:v>
                </c:pt>
                <c:pt idx="51">
                  <c:v>8951.1</c:v>
                </c:pt>
                <c:pt idx="52">
                  <c:v>9023</c:v>
                </c:pt>
                <c:pt idx="53">
                  <c:v>9078.7999999999993</c:v>
                </c:pt>
                <c:pt idx="54">
                  <c:v>9182</c:v>
                </c:pt>
                <c:pt idx="55">
                  <c:v>9224</c:v>
                </c:pt>
                <c:pt idx="56">
                  <c:v>7038</c:v>
                </c:pt>
                <c:pt idx="58">
                  <c:v>5106</c:v>
                </c:pt>
                <c:pt idx="59">
                  <c:v>6453</c:v>
                </c:pt>
                <c:pt idx="61">
                  <c:v>12072</c:v>
                </c:pt>
                <c:pt idx="62">
                  <c:v>10744</c:v>
                </c:pt>
                <c:pt idx="63">
                  <c:v>10159</c:v>
                </c:pt>
                <c:pt idx="65">
                  <c:v>10964</c:v>
                </c:pt>
                <c:pt idx="67">
                  <c:v>1708</c:v>
                </c:pt>
                <c:pt idx="68">
                  <c:v>1268</c:v>
                </c:pt>
                <c:pt idx="69">
                  <c:v>3017</c:v>
                </c:pt>
                <c:pt idx="70">
                  <c:v>3314</c:v>
                </c:pt>
                <c:pt idx="71">
                  <c:v>3546.67</c:v>
                </c:pt>
                <c:pt idx="72">
                  <c:v>3164</c:v>
                </c:pt>
                <c:pt idx="73">
                  <c:v>4046</c:v>
                </c:pt>
                <c:pt idx="74">
                  <c:v>4038</c:v>
                </c:pt>
                <c:pt idx="75">
                  <c:v>4090</c:v>
                </c:pt>
                <c:pt idx="76">
                  <c:v>1946</c:v>
                </c:pt>
              </c:numCache>
            </c:numRef>
          </c:yVal>
          <c:smooth val="0"/>
          <c:extLst>
            <c:ext xmlns:c16="http://schemas.microsoft.com/office/drawing/2014/chart" uri="{C3380CC4-5D6E-409C-BE32-E72D297353CC}">
              <c16:uniqueId val="{00000000-E8DF-49E8-BCDC-0CB5145A132B}"/>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Summary!$C$127:$S$127</c:f>
              <c:numCache>
                <c:formatCode>General</c:formatCode>
                <c:ptCount val="17"/>
                <c:pt idx="0">
                  <c:v>2194</c:v>
                </c:pt>
                <c:pt idx="1">
                  <c:v>4315</c:v>
                </c:pt>
                <c:pt idx="2">
                  <c:v>4358</c:v>
                </c:pt>
                <c:pt idx="3">
                  <c:v>4483</c:v>
                </c:pt>
                <c:pt idx="4">
                  <c:v>4713</c:v>
                </c:pt>
                <c:pt idx="5">
                  <c:v>6069</c:v>
                </c:pt>
                <c:pt idx="6">
                  <c:v>6127</c:v>
                </c:pt>
                <c:pt idx="7">
                  <c:v>6566</c:v>
                </c:pt>
                <c:pt idx="8">
                  <c:v>6367</c:v>
                </c:pt>
                <c:pt idx="9">
                  <c:v>6485</c:v>
                </c:pt>
                <c:pt idx="10">
                  <c:v>6386</c:v>
                </c:pt>
                <c:pt idx="11">
                  <c:v>6206</c:v>
                </c:pt>
                <c:pt idx="12">
                  <c:v>9637</c:v>
                </c:pt>
                <c:pt idx="13">
                  <c:v>9956.7000000000007</c:v>
                </c:pt>
                <c:pt idx="14">
                  <c:v>10198.700000000001</c:v>
                </c:pt>
                <c:pt idx="15">
                  <c:v>6988</c:v>
                </c:pt>
                <c:pt idx="16">
                  <c:v>7050</c:v>
                </c:pt>
              </c:numCache>
            </c:numRef>
          </c:yVal>
          <c:smooth val="0"/>
          <c:extLst>
            <c:ext xmlns:c16="http://schemas.microsoft.com/office/drawing/2014/chart" uri="{C3380CC4-5D6E-409C-BE32-E72D297353CC}">
              <c16:uniqueId val="{00000000-99CD-430F-ABC9-230C9726FD35}"/>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Summary!$AE$127:$BG$127</c:f>
              <c:numCache>
                <c:formatCode>General</c:formatCode>
                <c:ptCount val="29"/>
                <c:pt idx="0">
                  <c:v>3721.55</c:v>
                </c:pt>
                <c:pt idx="1">
                  <c:v>3783.0000000000005</c:v>
                </c:pt>
                <c:pt idx="2">
                  <c:v>3785.1000000000004</c:v>
                </c:pt>
                <c:pt idx="3">
                  <c:v>4131.2</c:v>
                </c:pt>
                <c:pt idx="4">
                  <c:v>4149.8</c:v>
                </c:pt>
                <c:pt idx="5">
                  <c:v>4765.3</c:v>
                </c:pt>
                <c:pt idx="6">
                  <c:v>4732</c:v>
                </c:pt>
                <c:pt idx="7">
                  <c:v>4870</c:v>
                </c:pt>
                <c:pt idx="8">
                  <c:v>3743.5999999999995</c:v>
                </c:pt>
                <c:pt idx="9">
                  <c:v>3751</c:v>
                </c:pt>
                <c:pt idx="10">
                  <c:v>4019.7</c:v>
                </c:pt>
                <c:pt idx="11">
                  <c:v>4282</c:v>
                </c:pt>
                <c:pt idx="12">
                  <c:v>4268.2</c:v>
                </c:pt>
                <c:pt idx="13">
                  <c:v>5426</c:v>
                </c:pt>
                <c:pt idx="14">
                  <c:v>5293</c:v>
                </c:pt>
                <c:pt idx="15">
                  <c:v>5778.9</c:v>
                </c:pt>
                <c:pt idx="16">
                  <c:v>5798</c:v>
                </c:pt>
                <c:pt idx="17">
                  <c:v>5778.9</c:v>
                </c:pt>
                <c:pt idx="18">
                  <c:v>5338</c:v>
                </c:pt>
                <c:pt idx="19">
                  <c:v>8752.4</c:v>
                </c:pt>
                <c:pt idx="20">
                  <c:v>8823</c:v>
                </c:pt>
                <c:pt idx="21">
                  <c:v>9272</c:v>
                </c:pt>
                <c:pt idx="22">
                  <c:v>9241.8000000000011</c:v>
                </c:pt>
                <c:pt idx="23">
                  <c:v>8951.1</c:v>
                </c:pt>
                <c:pt idx="24">
                  <c:v>9023</c:v>
                </c:pt>
                <c:pt idx="25">
                  <c:v>9078.7999999999993</c:v>
                </c:pt>
                <c:pt idx="26">
                  <c:v>9182</c:v>
                </c:pt>
                <c:pt idx="27">
                  <c:v>9224</c:v>
                </c:pt>
                <c:pt idx="28">
                  <c:v>7038</c:v>
                </c:pt>
              </c:numCache>
            </c:numRef>
          </c:yVal>
          <c:smooth val="0"/>
          <c:extLst>
            <c:ext xmlns:c16="http://schemas.microsoft.com/office/drawing/2014/chart" uri="{C3380CC4-5D6E-409C-BE32-E72D297353CC}">
              <c16:uniqueId val="{00000001-99CD-430F-ABC9-230C9726FD35}"/>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Summary!$BI$127:$BP$127</c:f>
              <c:numCache>
                <c:formatCode>General</c:formatCode>
                <c:ptCount val="8"/>
                <c:pt idx="0">
                  <c:v>5106</c:v>
                </c:pt>
                <c:pt idx="1">
                  <c:v>6453</c:v>
                </c:pt>
                <c:pt idx="3">
                  <c:v>12072</c:v>
                </c:pt>
                <c:pt idx="4">
                  <c:v>10744</c:v>
                </c:pt>
                <c:pt idx="5">
                  <c:v>10159</c:v>
                </c:pt>
                <c:pt idx="7">
                  <c:v>10964</c:v>
                </c:pt>
              </c:numCache>
            </c:numRef>
          </c:yVal>
          <c:smooth val="0"/>
          <c:extLst>
            <c:ext xmlns:c16="http://schemas.microsoft.com/office/drawing/2014/chart" uri="{C3380CC4-5D6E-409C-BE32-E72D297353CC}">
              <c16:uniqueId val="{00000002-99CD-430F-ABC9-230C9726FD35}"/>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Summary!$BR$127:$CA$127</c:f>
              <c:numCache>
                <c:formatCode>General</c:formatCode>
                <c:ptCount val="10"/>
                <c:pt idx="0">
                  <c:v>1708</c:v>
                </c:pt>
                <c:pt idx="1">
                  <c:v>1268</c:v>
                </c:pt>
                <c:pt idx="2">
                  <c:v>3017</c:v>
                </c:pt>
                <c:pt idx="3">
                  <c:v>3314</c:v>
                </c:pt>
                <c:pt idx="4">
                  <c:v>3546.67</c:v>
                </c:pt>
                <c:pt idx="5">
                  <c:v>3164</c:v>
                </c:pt>
                <c:pt idx="6">
                  <c:v>4046</c:v>
                </c:pt>
                <c:pt idx="7">
                  <c:v>4038</c:v>
                </c:pt>
                <c:pt idx="8">
                  <c:v>4090</c:v>
                </c:pt>
                <c:pt idx="9">
                  <c:v>1946</c:v>
                </c:pt>
              </c:numCache>
            </c:numRef>
          </c:yVal>
          <c:smooth val="0"/>
          <c:extLst>
            <c:ext xmlns:c16="http://schemas.microsoft.com/office/drawing/2014/chart" uri="{C3380CC4-5D6E-409C-BE32-E72D297353CC}">
              <c16:uniqueId val="{00000003-99CD-430F-ABC9-230C9726FD35}"/>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Total Systems &amp; Equipment Group</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Summary!$C$113:$CA$113</c:f>
              <c:numCache>
                <c:formatCode>General</c:formatCode>
                <c:ptCount val="77"/>
                <c:pt idx="0">
                  <c:v>184</c:v>
                </c:pt>
                <c:pt idx="1">
                  <c:v>444</c:v>
                </c:pt>
                <c:pt idx="2">
                  <c:v>431</c:v>
                </c:pt>
                <c:pt idx="3">
                  <c:v>457</c:v>
                </c:pt>
                <c:pt idx="4">
                  <c:v>481</c:v>
                </c:pt>
                <c:pt idx="5">
                  <c:v>680</c:v>
                </c:pt>
                <c:pt idx="6">
                  <c:v>936</c:v>
                </c:pt>
                <c:pt idx="7">
                  <c:v>1094</c:v>
                </c:pt>
                <c:pt idx="8">
                  <c:v>1058</c:v>
                </c:pt>
                <c:pt idx="9">
                  <c:v>1085</c:v>
                </c:pt>
                <c:pt idx="10">
                  <c:v>1050</c:v>
                </c:pt>
                <c:pt idx="12">
                  <c:v>987</c:v>
                </c:pt>
                <c:pt idx="13">
                  <c:v>976.8</c:v>
                </c:pt>
                <c:pt idx="14">
                  <c:v>973.70000000000016</c:v>
                </c:pt>
                <c:pt idx="15">
                  <c:v>883</c:v>
                </c:pt>
                <c:pt idx="16">
                  <c:v>966</c:v>
                </c:pt>
                <c:pt idx="17">
                  <c:v>413</c:v>
                </c:pt>
                <c:pt idx="18">
                  <c:v>674.30000000000007</c:v>
                </c:pt>
                <c:pt idx="19">
                  <c:v>674.1</c:v>
                </c:pt>
                <c:pt idx="20">
                  <c:v>641</c:v>
                </c:pt>
                <c:pt idx="21">
                  <c:v>755.60000000000014</c:v>
                </c:pt>
                <c:pt idx="23">
                  <c:v>721.1</c:v>
                </c:pt>
                <c:pt idx="24">
                  <c:v>739</c:v>
                </c:pt>
                <c:pt idx="25">
                  <c:v>987.69999999999993</c:v>
                </c:pt>
                <c:pt idx="26">
                  <c:v>1036</c:v>
                </c:pt>
                <c:pt idx="28">
                  <c:v>423.21</c:v>
                </c:pt>
                <c:pt idx="29">
                  <c:v>423.4</c:v>
                </c:pt>
                <c:pt idx="30">
                  <c:v>426.3</c:v>
                </c:pt>
                <c:pt idx="32">
                  <c:v>443.9</c:v>
                </c:pt>
                <c:pt idx="33">
                  <c:v>638.70000000000005</c:v>
                </c:pt>
                <c:pt idx="34">
                  <c:v>640</c:v>
                </c:pt>
                <c:pt idx="35">
                  <c:v>683</c:v>
                </c:pt>
                <c:pt idx="36">
                  <c:v>406</c:v>
                </c:pt>
                <c:pt idx="37">
                  <c:v>392.6</c:v>
                </c:pt>
                <c:pt idx="38">
                  <c:v>461.7</c:v>
                </c:pt>
                <c:pt idx="39">
                  <c:v>508.5</c:v>
                </c:pt>
                <c:pt idx="40">
                  <c:v>484</c:v>
                </c:pt>
                <c:pt idx="41">
                  <c:v>769</c:v>
                </c:pt>
                <c:pt idx="42">
                  <c:v>661</c:v>
                </c:pt>
                <c:pt idx="43">
                  <c:v>753.9</c:v>
                </c:pt>
                <c:pt idx="44">
                  <c:v>761</c:v>
                </c:pt>
                <c:pt idx="45">
                  <c:v>724.9</c:v>
                </c:pt>
                <c:pt idx="46">
                  <c:v>693</c:v>
                </c:pt>
                <c:pt idx="47">
                  <c:v>917.6</c:v>
                </c:pt>
                <c:pt idx="48">
                  <c:v>933.59999999999991</c:v>
                </c:pt>
                <c:pt idx="49">
                  <c:v>1016</c:v>
                </c:pt>
                <c:pt idx="50">
                  <c:v>984.59999999999991</c:v>
                </c:pt>
                <c:pt idx="51">
                  <c:v>891.90000000000009</c:v>
                </c:pt>
                <c:pt idx="52">
                  <c:v>964.8</c:v>
                </c:pt>
                <c:pt idx="53">
                  <c:v>911.09999999999991</c:v>
                </c:pt>
                <c:pt idx="54">
                  <c:v>1065</c:v>
                </c:pt>
                <c:pt idx="55">
                  <c:v>1066</c:v>
                </c:pt>
                <c:pt idx="56">
                  <c:v>733</c:v>
                </c:pt>
                <c:pt idx="58">
                  <c:v>973</c:v>
                </c:pt>
                <c:pt idx="59">
                  <c:v>1333</c:v>
                </c:pt>
                <c:pt idx="61">
                  <c:v>2258</c:v>
                </c:pt>
                <c:pt idx="62">
                  <c:v>1687</c:v>
                </c:pt>
                <c:pt idx="63">
                  <c:v>1417</c:v>
                </c:pt>
                <c:pt idx="65">
                  <c:v>2397</c:v>
                </c:pt>
                <c:pt idx="67">
                  <c:v>143</c:v>
                </c:pt>
                <c:pt idx="68">
                  <c:v>122</c:v>
                </c:pt>
                <c:pt idx="69">
                  <c:v>688</c:v>
                </c:pt>
                <c:pt idx="70">
                  <c:v>611</c:v>
                </c:pt>
                <c:pt idx="71">
                  <c:v>576.05000000000007</c:v>
                </c:pt>
                <c:pt idx="72">
                  <c:v>516</c:v>
                </c:pt>
                <c:pt idx="73">
                  <c:v>793</c:v>
                </c:pt>
                <c:pt idx="74">
                  <c:v>710</c:v>
                </c:pt>
                <c:pt idx="75">
                  <c:v>744</c:v>
                </c:pt>
                <c:pt idx="76">
                  <c:v>181</c:v>
                </c:pt>
              </c:numCache>
            </c:numRef>
          </c:yVal>
          <c:smooth val="0"/>
          <c:extLst>
            <c:ext xmlns:c16="http://schemas.microsoft.com/office/drawing/2014/chart" uri="{C3380CC4-5D6E-409C-BE32-E72D297353CC}">
              <c16:uniqueId val="{00000001-7F43-4B11-B761-AD2A8FCFCD7A}"/>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Summary!$C$113:$S$113</c:f>
              <c:numCache>
                <c:formatCode>General</c:formatCode>
                <c:ptCount val="17"/>
                <c:pt idx="0">
                  <c:v>184</c:v>
                </c:pt>
                <c:pt idx="1">
                  <c:v>444</c:v>
                </c:pt>
                <c:pt idx="2">
                  <c:v>431</c:v>
                </c:pt>
                <c:pt idx="3">
                  <c:v>457</c:v>
                </c:pt>
                <c:pt idx="4">
                  <c:v>481</c:v>
                </c:pt>
                <c:pt idx="5">
                  <c:v>680</c:v>
                </c:pt>
                <c:pt idx="6">
                  <c:v>936</c:v>
                </c:pt>
                <c:pt idx="7">
                  <c:v>1094</c:v>
                </c:pt>
                <c:pt idx="8">
                  <c:v>1058</c:v>
                </c:pt>
                <c:pt idx="9">
                  <c:v>1085</c:v>
                </c:pt>
                <c:pt idx="10">
                  <c:v>1050</c:v>
                </c:pt>
                <c:pt idx="12">
                  <c:v>987</c:v>
                </c:pt>
                <c:pt idx="13">
                  <c:v>976.8</c:v>
                </c:pt>
                <c:pt idx="14">
                  <c:v>973.70000000000016</c:v>
                </c:pt>
                <c:pt idx="15">
                  <c:v>883</c:v>
                </c:pt>
                <c:pt idx="16">
                  <c:v>966</c:v>
                </c:pt>
              </c:numCache>
            </c:numRef>
          </c:yVal>
          <c:smooth val="0"/>
          <c:extLst>
            <c:ext xmlns:c16="http://schemas.microsoft.com/office/drawing/2014/chart" uri="{C3380CC4-5D6E-409C-BE32-E72D297353CC}">
              <c16:uniqueId val="{00000000-B83D-41F1-A7F1-265CF9AAB689}"/>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Summary!$AE$113:$BG$113</c:f>
              <c:numCache>
                <c:formatCode>General</c:formatCode>
                <c:ptCount val="29"/>
                <c:pt idx="0">
                  <c:v>423.21</c:v>
                </c:pt>
                <c:pt idx="1">
                  <c:v>423.4</c:v>
                </c:pt>
                <c:pt idx="2">
                  <c:v>426.3</c:v>
                </c:pt>
                <c:pt idx="4">
                  <c:v>443.9</c:v>
                </c:pt>
                <c:pt idx="5">
                  <c:v>638.70000000000005</c:v>
                </c:pt>
                <c:pt idx="6">
                  <c:v>640</c:v>
                </c:pt>
                <c:pt idx="7">
                  <c:v>683</c:v>
                </c:pt>
                <c:pt idx="8">
                  <c:v>406</c:v>
                </c:pt>
                <c:pt idx="9">
                  <c:v>392.6</c:v>
                </c:pt>
                <c:pt idx="10">
                  <c:v>461.7</c:v>
                </c:pt>
                <c:pt idx="11">
                  <c:v>508.5</c:v>
                </c:pt>
                <c:pt idx="12">
                  <c:v>484</c:v>
                </c:pt>
                <c:pt idx="13">
                  <c:v>769</c:v>
                </c:pt>
                <c:pt idx="14">
                  <c:v>661</c:v>
                </c:pt>
                <c:pt idx="15">
                  <c:v>753.9</c:v>
                </c:pt>
                <c:pt idx="16">
                  <c:v>761</c:v>
                </c:pt>
                <c:pt idx="17">
                  <c:v>724.9</c:v>
                </c:pt>
                <c:pt idx="18">
                  <c:v>693</c:v>
                </c:pt>
                <c:pt idx="19">
                  <c:v>917.6</c:v>
                </c:pt>
                <c:pt idx="20">
                  <c:v>933.59999999999991</c:v>
                </c:pt>
                <c:pt idx="21">
                  <c:v>1016</c:v>
                </c:pt>
                <c:pt idx="22">
                  <c:v>984.59999999999991</c:v>
                </c:pt>
                <c:pt idx="23">
                  <c:v>891.90000000000009</c:v>
                </c:pt>
                <c:pt idx="24">
                  <c:v>964.8</c:v>
                </c:pt>
                <c:pt idx="25">
                  <c:v>911.09999999999991</c:v>
                </c:pt>
                <c:pt idx="26">
                  <c:v>1065</c:v>
                </c:pt>
                <c:pt idx="27">
                  <c:v>1066</c:v>
                </c:pt>
                <c:pt idx="28">
                  <c:v>733</c:v>
                </c:pt>
              </c:numCache>
            </c:numRef>
          </c:yVal>
          <c:smooth val="0"/>
          <c:extLst>
            <c:ext xmlns:c16="http://schemas.microsoft.com/office/drawing/2014/chart" uri="{C3380CC4-5D6E-409C-BE32-E72D297353CC}">
              <c16:uniqueId val="{00000001-B83D-41F1-A7F1-265CF9AAB689}"/>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trendline>
            <c:spPr>
              <a:ln w="19050" cap="rnd">
                <a:solidFill>
                  <a:srgbClr val="FF0000"/>
                </a:solidFill>
                <a:prstDash val="sysDot"/>
              </a:ln>
              <a:effectLst/>
            </c:spPr>
            <c:trendlineType val="linear"/>
            <c:dispRSqr val="1"/>
            <c:dispEq val="1"/>
            <c:trendlineLbl>
              <c:layout>
                <c:manualLayout>
                  <c:x val="4.4332491550613647E-2"/>
                  <c:y val="-0.13272772296832736"/>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rgbClr val="FF0000"/>
                      </a:solidFill>
                      <a:latin typeface="+mn-lt"/>
                      <a:ea typeface="+mn-ea"/>
                      <a:cs typeface="+mn-cs"/>
                    </a:defRPr>
                  </a:pPr>
                  <a:endParaRPr lang="en-US"/>
                </a:p>
              </c:txPr>
            </c:trendlineLbl>
          </c:trendline>
          <c:xVal>
            <c:numRef>
              <c:f>Summary!$BI$147:$BP$147</c:f>
              <c:numCache>
                <c:formatCode>General</c:formatCode>
                <c:ptCount val="8"/>
                <c:pt idx="0">
                  <c:v>7543</c:v>
                </c:pt>
                <c:pt idx="1">
                  <c:v>9662</c:v>
                </c:pt>
                <c:pt idx="3">
                  <c:v>17929</c:v>
                </c:pt>
                <c:pt idx="4">
                  <c:v>15447</c:v>
                </c:pt>
                <c:pt idx="5">
                  <c:v>15327</c:v>
                </c:pt>
                <c:pt idx="7">
                  <c:v>16438</c:v>
                </c:pt>
              </c:numCache>
            </c:numRef>
          </c:xVal>
          <c:yVal>
            <c:numRef>
              <c:f>Summary!$BI$113:$BP$113</c:f>
              <c:numCache>
                <c:formatCode>General</c:formatCode>
                <c:ptCount val="8"/>
                <c:pt idx="0">
                  <c:v>973</c:v>
                </c:pt>
                <c:pt idx="1">
                  <c:v>1333</c:v>
                </c:pt>
                <c:pt idx="3">
                  <c:v>2258</c:v>
                </c:pt>
                <c:pt idx="4">
                  <c:v>1687</c:v>
                </c:pt>
                <c:pt idx="5">
                  <c:v>1417</c:v>
                </c:pt>
                <c:pt idx="7">
                  <c:v>2397</c:v>
                </c:pt>
              </c:numCache>
            </c:numRef>
          </c:yVal>
          <c:smooth val="0"/>
          <c:extLst>
            <c:ext xmlns:c16="http://schemas.microsoft.com/office/drawing/2014/chart" uri="{C3380CC4-5D6E-409C-BE32-E72D297353CC}">
              <c16:uniqueId val="{00000002-B83D-41F1-A7F1-265CF9AAB689}"/>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trendline>
            <c:spPr>
              <a:ln w="19050" cap="rnd">
                <a:solidFill>
                  <a:schemeClr val="accent2"/>
                </a:solidFill>
                <a:prstDash val="sysDot"/>
              </a:ln>
              <a:effectLst/>
            </c:spPr>
            <c:trendlineType val="linear"/>
            <c:dispRSqr val="1"/>
            <c:dispEq val="1"/>
            <c:trendlineLbl>
              <c:layout>
                <c:manualLayout>
                  <c:x val="-6.6407235020870606E-2"/>
                  <c:y val="1.2455425737979283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Summary!$BR$113:$CA$113</c:f>
              <c:numCache>
                <c:formatCode>General</c:formatCode>
                <c:ptCount val="10"/>
                <c:pt idx="0">
                  <c:v>143</c:v>
                </c:pt>
                <c:pt idx="1">
                  <c:v>122</c:v>
                </c:pt>
                <c:pt idx="2">
                  <c:v>688</c:v>
                </c:pt>
                <c:pt idx="3">
                  <c:v>611</c:v>
                </c:pt>
                <c:pt idx="4">
                  <c:v>576.05000000000007</c:v>
                </c:pt>
                <c:pt idx="5">
                  <c:v>516</c:v>
                </c:pt>
                <c:pt idx="6">
                  <c:v>793</c:v>
                </c:pt>
                <c:pt idx="7">
                  <c:v>710</c:v>
                </c:pt>
                <c:pt idx="8">
                  <c:v>744</c:v>
                </c:pt>
                <c:pt idx="9">
                  <c:v>181</c:v>
                </c:pt>
              </c:numCache>
            </c:numRef>
          </c:yVal>
          <c:smooth val="0"/>
          <c:extLst>
            <c:ext xmlns:c16="http://schemas.microsoft.com/office/drawing/2014/chart" uri="{C3380CC4-5D6E-409C-BE32-E72D297353CC}">
              <c16:uniqueId val="{00000003-B83D-41F1-A7F1-265CF9AAB689}"/>
            </c:ext>
          </c:extLst>
        </c:ser>
        <c:ser>
          <c:idx val="5"/>
          <c:order val="5"/>
          <c:tx>
            <c:v>All Fighters</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1"/>
            <c:dispEq val="1"/>
            <c:trendlineLbl>
              <c:layout>
                <c:manualLayout>
                  <c:x val="0.17238895719008371"/>
                  <c:y val="6.3718868791471817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Summary!$C$147:$BG$147</c:f>
              <c:numCache>
                <c:formatCode>General</c:formatCode>
                <c:ptCount val="5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numCache>
            </c:numRef>
          </c:xVal>
          <c:yVal>
            <c:numRef>
              <c:f>Summary!$C$113:$BG$113</c:f>
              <c:numCache>
                <c:formatCode>General</c:formatCode>
                <c:ptCount val="57"/>
                <c:pt idx="0">
                  <c:v>184</c:v>
                </c:pt>
                <c:pt idx="1">
                  <c:v>444</c:v>
                </c:pt>
                <c:pt idx="2">
                  <c:v>431</c:v>
                </c:pt>
                <c:pt idx="3">
                  <c:v>457</c:v>
                </c:pt>
                <c:pt idx="4">
                  <c:v>481</c:v>
                </c:pt>
                <c:pt idx="5">
                  <c:v>680</c:v>
                </c:pt>
                <c:pt idx="6">
                  <c:v>936</c:v>
                </c:pt>
                <c:pt idx="7">
                  <c:v>1094</c:v>
                </c:pt>
                <c:pt idx="8">
                  <c:v>1058</c:v>
                </c:pt>
                <c:pt idx="9">
                  <c:v>1085</c:v>
                </c:pt>
                <c:pt idx="10">
                  <c:v>1050</c:v>
                </c:pt>
                <c:pt idx="12">
                  <c:v>987</c:v>
                </c:pt>
                <c:pt idx="13">
                  <c:v>976.8</c:v>
                </c:pt>
                <c:pt idx="14">
                  <c:v>973.70000000000016</c:v>
                </c:pt>
                <c:pt idx="15">
                  <c:v>883</c:v>
                </c:pt>
                <c:pt idx="16">
                  <c:v>966</c:v>
                </c:pt>
                <c:pt idx="17">
                  <c:v>413</c:v>
                </c:pt>
                <c:pt idx="18">
                  <c:v>674.30000000000007</c:v>
                </c:pt>
                <c:pt idx="19">
                  <c:v>674.1</c:v>
                </c:pt>
                <c:pt idx="20">
                  <c:v>641</c:v>
                </c:pt>
                <c:pt idx="21">
                  <c:v>755.60000000000014</c:v>
                </c:pt>
                <c:pt idx="23">
                  <c:v>721.1</c:v>
                </c:pt>
                <c:pt idx="24">
                  <c:v>739</c:v>
                </c:pt>
                <c:pt idx="25">
                  <c:v>987.69999999999993</c:v>
                </c:pt>
                <c:pt idx="26">
                  <c:v>1036</c:v>
                </c:pt>
                <c:pt idx="28">
                  <c:v>423.21</c:v>
                </c:pt>
                <c:pt idx="29">
                  <c:v>423.4</c:v>
                </c:pt>
                <c:pt idx="30">
                  <c:v>426.3</c:v>
                </c:pt>
                <c:pt idx="32">
                  <c:v>443.9</c:v>
                </c:pt>
                <c:pt idx="33">
                  <c:v>638.70000000000005</c:v>
                </c:pt>
                <c:pt idx="34">
                  <c:v>640</c:v>
                </c:pt>
                <c:pt idx="35">
                  <c:v>683</c:v>
                </c:pt>
                <c:pt idx="36">
                  <c:v>406</c:v>
                </c:pt>
                <c:pt idx="37">
                  <c:v>392.6</c:v>
                </c:pt>
                <c:pt idx="38">
                  <c:v>461.7</c:v>
                </c:pt>
                <c:pt idx="39">
                  <c:v>508.5</c:v>
                </c:pt>
                <c:pt idx="40">
                  <c:v>484</c:v>
                </c:pt>
                <c:pt idx="41">
                  <c:v>769</c:v>
                </c:pt>
                <c:pt idx="42">
                  <c:v>661</c:v>
                </c:pt>
                <c:pt idx="43">
                  <c:v>753.9</c:v>
                </c:pt>
                <c:pt idx="44">
                  <c:v>761</c:v>
                </c:pt>
                <c:pt idx="45">
                  <c:v>724.9</c:v>
                </c:pt>
                <c:pt idx="46">
                  <c:v>693</c:v>
                </c:pt>
                <c:pt idx="47">
                  <c:v>917.6</c:v>
                </c:pt>
                <c:pt idx="48">
                  <c:v>933.59999999999991</c:v>
                </c:pt>
                <c:pt idx="49">
                  <c:v>1016</c:v>
                </c:pt>
                <c:pt idx="50">
                  <c:v>984.59999999999991</c:v>
                </c:pt>
                <c:pt idx="51">
                  <c:v>891.90000000000009</c:v>
                </c:pt>
                <c:pt idx="52">
                  <c:v>964.8</c:v>
                </c:pt>
                <c:pt idx="53">
                  <c:v>911.09999999999991</c:v>
                </c:pt>
                <c:pt idx="54">
                  <c:v>1065</c:v>
                </c:pt>
                <c:pt idx="55">
                  <c:v>1066</c:v>
                </c:pt>
                <c:pt idx="56">
                  <c:v>733</c:v>
                </c:pt>
              </c:numCache>
            </c:numRef>
          </c:yVal>
          <c:smooth val="0"/>
          <c:extLst>
            <c:ext xmlns:c16="http://schemas.microsoft.com/office/drawing/2014/chart" uri="{C3380CC4-5D6E-409C-BE32-E72D297353CC}">
              <c16:uniqueId val="{00000001-56CF-4BBE-B65F-A604374E0E91}"/>
            </c:ext>
          </c:extLst>
        </c:ser>
        <c:dLbls>
          <c:showLegendKey val="0"/>
          <c:showVal val="0"/>
          <c:showCatName val="0"/>
          <c:showSerName val="0"/>
          <c:showPercent val="0"/>
          <c:showBubbleSize val="0"/>
        </c:dLbls>
        <c:axId val="642505167"/>
        <c:axId val="649103391"/>
      </c:scatterChart>
      <c:valAx>
        <c:axId val="642505167"/>
        <c:scaling>
          <c:orientation val="minMax"/>
          <c:min val="2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2028918423126056"/>
          <c:h val="0.27268402703059913"/>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Instruments Group</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Summary!$C$114:$S$114</c:f>
              <c:numCache>
                <c:formatCode>General</c:formatCode>
                <c:ptCount val="17"/>
                <c:pt idx="0">
                  <c:v>21</c:v>
                </c:pt>
                <c:pt idx="1">
                  <c:v>45</c:v>
                </c:pt>
                <c:pt idx="2">
                  <c:v>59</c:v>
                </c:pt>
                <c:pt idx="5">
                  <c:v>41</c:v>
                </c:pt>
                <c:pt idx="6">
                  <c:v>40</c:v>
                </c:pt>
                <c:pt idx="7">
                  <c:v>40</c:v>
                </c:pt>
                <c:pt idx="8">
                  <c:v>41</c:v>
                </c:pt>
                <c:pt idx="9">
                  <c:v>41</c:v>
                </c:pt>
                <c:pt idx="10">
                  <c:v>40</c:v>
                </c:pt>
                <c:pt idx="12">
                  <c:v>54</c:v>
                </c:pt>
                <c:pt idx="13">
                  <c:v>53.4</c:v>
                </c:pt>
                <c:pt idx="14">
                  <c:v>52.2</c:v>
                </c:pt>
                <c:pt idx="15">
                  <c:v>48</c:v>
                </c:pt>
                <c:pt idx="16">
                  <c:v>50</c:v>
                </c:pt>
              </c:numCache>
            </c:numRef>
          </c:yVal>
          <c:smooth val="0"/>
          <c:extLst>
            <c:ext xmlns:c16="http://schemas.microsoft.com/office/drawing/2014/chart" uri="{C3380CC4-5D6E-409C-BE32-E72D297353CC}">
              <c16:uniqueId val="{00000000-86C2-4D85-B922-75059C8AE644}"/>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Summary!$AE$114:$BG$114</c:f>
              <c:numCache>
                <c:formatCode>General</c:formatCode>
                <c:ptCount val="29"/>
                <c:pt idx="6">
                  <c:v>55</c:v>
                </c:pt>
                <c:pt idx="7">
                  <c:v>48</c:v>
                </c:pt>
                <c:pt idx="8">
                  <c:v>39.799999999999997</c:v>
                </c:pt>
                <c:pt idx="9">
                  <c:v>39.799999999999997</c:v>
                </c:pt>
                <c:pt idx="13">
                  <c:v>58</c:v>
                </c:pt>
                <c:pt idx="14">
                  <c:v>58</c:v>
                </c:pt>
                <c:pt idx="15">
                  <c:v>61</c:v>
                </c:pt>
                <c:pt idx="16">
                  <c:v>50</c:v>
                </c:pt>
                <c:pt idx="17">
                  <c:v>61</c:v>
                </c:pt>
                <c:pt idx="18">
                  <c:v>52</c:v>
                </c:pt>
                <c:pt idx="19">
                  <c:v>48.6</c:v>
                </c:pt>
                <c:pt idx="20">
                  <c:v>48.3</c:v>
                </c:pt>
                <c:pt idx="21">
                  <c:v>48</c:v>
                </c:pt>
                <c:pt idx="22">
                  <c:v>46.8</c:v>
                </c:pt>
                <c:pt idx="23">
                  <c:v>41</c:v>
                </c:pt>
                <c:pt idx="24">
                  <c:v>49.8</c:v>
                </c:pt>
                <c:pt idx="25">
                  <c:v>45.5</c:v>
                </c:pt>
                <c:pt idx="26">
                  <c:v>46</c:v>
                </c:pt>
                <c:pt idx="27">
                  <c:v>45</c:v>
                </c:pt>
                <c:pt idx="28">
                  <c:v>35</c:v>
                </c:pt>
              </c:numCache>
            </c:numRef>
          </c:yVal>
          <c:smooth val="0"/>
          <c:extLst>
            <c:ext xmlns:c16="http://schemas.microsoft.com/office/drawing/2014/chart" uri="{C3380CC4-5D6E-409C-BE32-E72D297353CC}">
              <c16:uniqueId val="{00000001-86C2-4D85-B922-75059C8AE644}"/>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Summary!$BI$114:$BP$114</c:f>
              <c:numCache>
                <c:formatCode>General</c:formatCode>
                <c:ptCount val="8"/>
                <c:pt idx="0">
                  <c:v>46</c:v>
                </c:pt>
                <c:pt idx="1">
                  <c:v>58</c:v>
                </c:pt>
                <c:pt idx="3">
                  <c:v>152</c:v>
                </c:pt>
                <c:pt idx="4">
                  <c:v>61</c:v>
                </c:pt>
                <c:pt idx="5">
                  <c:v>45</c:v>
                </c:pt>
                <c:pt idx="7">
                  <c:v>48</c:v>
                </c:pt>
              </c:numCache>
            </c:numRef>
          </c:yVal>
          <c:smooth val="0"/>
          <c:extLst>
            <c:ext xmlns:c16="http://schemas.microsoft.com/office/drawing/2014/chart" uri="{C3380CC4-5D6E-409C-BE32-E72D297353CC}">
              <c16:uniqueId val="{00000002-86C2-4D85-B922-75059C8AE644}"/>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Summary!$BR$114:$CA$114</c:f>
              <c:numCache>
                <c:formatCode>General</c:formatCode>
                <c:ptCount val="10"/>
                <c:pt idx="0">
                  <c:v>14</c:v>
                </c:pt>
                <c:pt idx="1">
                  <c:v>18</c:v>
                </c:pt>
                <c:pt idx="2">
                  <c:v>68</c:v>
                </c:pt>
                <c:pt idx="3">
                  <c:v>71</c:v>
                </c:pt>
                <c:pt idx="4">
                  <c:v>62.75</c:v>
                </c:pt>
                <c:pt idx="5">
                  <c:v>69</c:v>
                </c:pt>
                <c:pt idx="6">
                  <c:v>79</c:v>
                </c:pt>
                <c:pt idx="7">
                  <c:v>83</c:v>
                </c:pt>
                <c:pt idx="8">
                  <c:v>86</c:v>
                </c:pt>
                <c:pt idx="9">
                  <c:v>29</c:v>
                </c:pt>
              </c:numCache>
            </c:numRef>
          </c:yVal>
          <c:smooth val="0"/>
          <c:extLst>
            <c:ext xmlns:c16="http://schemas.microsoft.com/office/drawing/2014/chart" uri="{C3380CC4-5D6E-409C-BE32-E72D297353CC}">
              <c16:uniqueId val="{00000003-86C2-4D85-B922-75059C8AE644}"/>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Surface Controls</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Summary!$C$115:$S$115</c:f>
              <c:numCache>
                <c:formatCode>General</c:formatCode>
                <c:ptCount val="17"/>
                <c:pt idx="0">
                  <c:v>37</c:v>
                </c:pt>
                <c:pt idx="1">
                  <c:v>107</c:v>
                </c:pt>
                <c:pt idx="2">
                  <c:v>90</c:v>
                </c:pt>
                <c:pt idx="5">
                  <c:v>101</c:v>
                </c:pt>
                <c:pt idx="6">
                  <c:v>103</c:v>
                </c:pt>
                <c:pt idx="7">
                  <c:v>98</c:v>
                </c:pt>
                <c:pt idx="8">
                  <c:v>97</c:v>
                </c:pt>
                <c:pt idx="9">
                  <c:v>100</c:v>
                </c:pt>
                <c:pt idx="10">
                  <c:v>98</c:v>
                </c:pt>
                <c:pt idx="12">
                  <c:v>122</c:v>
                </c:pt>
                <c:pt idx="13">
                  <c:v>137.1</c:v>
                </c:pt>
                <c:pt idx="14">
                  <c:v>127.4</c:v>
                </c:pt>
                <c:pt idx="15">
                  <c:v>108</c:v>
                </c:pt>
                <c:pt idx="16">
                  <c:v>118</c:v>
                </c:pt>
              </c:numCache>
            </c:numRef>
          </c:yVal>
          <c:smooth val="0"/>
          <c:extLst>
            <c:ext xmlns:c16="http://schemas.microsoft.com/office/drawing/2014/chart" uri="{C3380CC4-5D6E-409C-BE32-E72D297353CC}">
              <c16:uniqueId val="{00000000-C07A-45A4-A2B5-2D9714B6E75A}"/>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Summary!$AE$115:$BG$115</c:f>
              <c:numCache>
                <c:formatCode>General</c:formatCode>
                <c:ptCount val="29"/>
                <c:pt idx="6">
                  <c:v>80</c:v>
                </c:pt>
                <c:pt idx="7">
                  <c:v>74</c:v>
                </c:pt>
                <c:pt idx="8">
                  <c:v>73.7</c:v>
                </c:pt>
                <c:pt idx="9">
                  <c:v>73.7</c:v>
                </c:pt>
                <c:pt idx="13">
                  <c:v>113</c:v>
                </c:pt>
                <c:pt idx="14">
                  <c:v>113</c:v>
                </c:pt>
                <c:pt idx="15">
                  <c:v>161.5</c:v>
                </c:pt>
                <c:pt idx="16">
                  <c:v>130</c:v>
                </c:pt>
                <c:pt idx="17">
                  <c:v>161.5</c:v>
                </c:pt>
                <c:pt idx="18">
                  <c:v>126</c:v>
                </c:pt>
                <c:pt idx="19">
                  <c:v>139.9</c:v>
                </c:pt>
                <c:pt idx="20">
                  <c:v>140.6</c:v>
                </c:pt>
                <c:pt idx="21">
                  <c:v>118</c:v>
                </c:pt>
                <c:pt idx="22">
                  <c:v>117.8</c:v>
                </c:pt>
                <c:pt idx="23">
                  <c:v>171.6</c:v>
                </c:pt>
                <c:pt idx="24">
                  <c:v>155.6</c:v>
                </c:pt>
                <c:pt idx="25">
                  <c:v>147.19999999999999</c:v>
                </c:pt>
                <c:pt idx="26">
                  <c:v>147</c:v>
                </c:pt>
                <c:pt idx="27">
                  <c:v>142</c:v>
                </c:pt>
                <c:pt idx="28">
                  <c:v>78</c:v>
                </c:pt>
              </c:numCache>
            </c:numRef>
          </c:yVal>
          <c:smooth val="0"/>
          <c:extLst>
            <c:ext xmlns:c16="http://schemas.microsoft.com/office/drawing/2014/chart" uri="{C3380CC4-5D6E-409C-BE32-E72D297353CC}">
              <c16:uniqueId val="{00000001-C07A-45A4-A2B5-2D9714B6E75A}"/>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Summary!$BI$115:$BP$115</c:f>
              <c:numCache>
                <c:formatCode>General</c:formatCode>
                <c:ptCount val="8"/>
                <c:pt idx="0">
                  <c:v>112</c:v>
                </c:pt>
                <c:pt idx="1">
                  <c:v>198</c:v>
                </c:pt>
                <c:pt idx="3">
                  <c:v>387</c:v>
                </c:pt>
                <c:pt idx="4">
                  <c:v>256</c:v>
                </c:pt>
                <c:pt idx="5">
                  <c:v>303</c:v>
                </c:pt>
                <c:pt idx="7">
                  <c:v>240</c:v>
                </c:pt>
              </c:numCache>
            </c:numRef>
          </c:yVal>
          <c:smooth val="0"/>
          <c:extLst>
            <c:ext xmlns:c16="http://schemas.microsoft.com/office/drawing/2014/chart" uri="{C3380CC4-5D6E-409C-BE32-E72D297353CC}">
              <c16:uniqueId val="{00000002-C07A-45A4-A2B5-2D9714B6E75A}"/>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Summary!$BR$115:$CA$115</c:f>
              <c:numCache>
                <c:formatCode>General</c:formatCode>
                <c:ptCount val="10"/>
                <c:pt idx="0">
                  <c:v>83</c:v>
                </c:pt>
                <c:pt idx="1">
                  <c:v>55</c:v>
                </c:pt>
                <c:pt idx="2">
                  <c:v>123</c:v>
                </c:pt>
                <c:pt idx="3">
                  <c:v>92</c:v>
                </c:pt>
                <c:pt idx="4">
                  <c:v>104.14</c:v>
                </c:pt>
                <c:pt idx="5">
                  <c:v>104</c:v>
                </c:pt>
                <c:pt idx="6">
                  <c:v>101</c:v>
                </c:pt>
                <c:pt idx="7">
                  <c:v>100</c:v>
                </c:pt>
                <c:pt idx="8">
                  <c:v>110</c:v>
                </c:pt>
                <c:pt idx="9">
                  <c:v>64</c:v>
                </c:pt>
              </c:numCache>
            </c:numRef>
          </c:yVal>
          <c:smooth val="0"/>
          <c:extLst>
            <c:ext xmlns:c16="http://schemas.microsoft.com/office/drawing/2014/chart" uri="{C3380CC4-5D6E-409C-BE32-E72D297353CC}">
              <c16:uniqueId val="{00000003-C07A-45A4-A2B5-2D9714B6E75A}"/>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Body Length vs Overall Length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rgbClr val="0070C0"/>
              </a:solidFill>
              <a:ln w="9525">
                <a:solidFill>
                  <a:srgbClr val="0070C0"/>
                </a:solidFill>
              </a:ln>
              <a:effectLst/>
            </c:spPr>
          </c:marker>
          <c:trendline>
            <c:spPr>
              <a:ln w="19050" cap="rnd">
                <a:solidFill>
                  <a:schemeClr val="accent5"/>
                </a:solidFill>
                <a:prstDash val="sysDot"/>
              </a:ln>
              <a:effectLst/>
            </c:spPr>
            <c:trendlineType val="linear"/>
            <c:intercept val="0"/>
            <c:dispRSqr val="1"/>
            <c:dispEq val="1"/>
            <c:trendlineLbl>
              <c:layout>
                <c:manualLayout>
                  <c:x val="0.15473980785555083"/>
                  <c:y val="1.7489031085443418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Summary!$C$46:$CA$46</c:f>
              <c:numCache>
                <c:formatCode>0.0</c:formatCode>
                <c:ptCount val="77"/>
                <c:pt idx="0" formatCode="0.00">
                  <c:v>23.833333333333332</c:v>
                </c:pt>
                <c:pt idx="1">
                  <c:v>25.33</c:v>
                </c:pt>
                <c:pt idx="2" formatCode="General">
                  <c:v>28.85</c:v>
                </c:pt>
                <c:pt idx="3" formatCode="General">
                  <c:v>28.8</c:v>
                </c:pt>
                <c:pt idx="4" formatCode="General">
                  <c:v>28.8</c:v>
                </c:pt>
                <c:pt idx="5">
                  <c:v>31.729166666666668</c:v>
                </c:pt>
                <c:pt idx="6">
                  <c:v>31.729166666666668</c:v>
                </c:pt>
                <c:pt idx="7">
                  <c:v>31.630208333333332</c:v>
                </c:pt>
                <c:pt idx="8" formatCode="0.00">
                  <c:v>33.309895833333336</c:v>
                </c:pt>
                <c:pt idx="9" formatCode="0.00">
                  <c:v>33.309895833333336</c:v>
                </c:pt>
                <c:pt idx="10" formatCode="0.00">
                  <c:v>33.309895833333336</c:v>
                </c:pt>
                <c:pt idx="11" formatCode="0.00">
                  <c:v>33.309895833333336</c:v>
                </c:pt>
                <c:pt idx="12" formatCode="General">
                  <c:v>35.340000000000003</c:v>
                </c:pt>
                <c:pt idx="13" formatCode="General">
                  <c:v>35.340000000000003</c:v>
                </c:pt>
                <c:pt idx="14" formatCode="General">
                  <c:v>35.340000000000003</c:v>
                </c:pt>
                <c:pt idx="18" formatCode="0.00">
                  <c:v>30.166666666666668</c:v>
                </c:pt>
                <c:pt idx="19" formatCode="General">
                  <c:v>30.13</c:v>
                </c:pt>
                <c:pt idx="20" formatCode="General">
                  <c:v>30.13</c:v>
                </c:pt>
                <c:pt idx="21" formatCode="General">
                  <c:v>30.13</c:v>
                </c:pt>
                <c:pt idx="22" formatCode="General">
                  <c:v>30.13</c:v>
                </c:pt>
                <c:pt idx="23" formatCode="General">
                  <c:v>30.13</c:v>
                </c:pt>
                <c:pt idx="24" formatCode="General">
                  <c:v>31.33</c:v>
                </c:pt>
                <c:pt idx="25" formatCode="General">
                  <c:v>31.33</c:v>
                </c:pt>
                <c:pt idx="26" formatCode="General">
                  <c:v>31.33</c:v>
                </c:pt>
                <c:pt idx="28" formatCode="0.00">
                  <c:v>25.614583333333332</c:v>
                </c:pt>
                <c:pt idx="29" formatCode="0.00">
                  <c:v>25.614583333333332</c:v>
                </c:pt>
                <c:pt idx="30" formatCode="0.00">
                  <c:v>25.614583333333332</c:v>
                </c:pt>
                <c:pt idx="31" formatCode="0.00">
                  <c:v>25.614583333333332</c:v>
                </c:pt>
                <c:pt idx="32" formatCode="0.00">
                  <c:v>25.614583333333332</c:v>
                </c:pt>
                <c:pt idx="33" formatCode="0.00">
                  <c:v>26.364583333333332</c:v>
                </c:pt>
                <c:pt idx="34" formatCode="0.00">
                  <c:v>26.364583333333332</c:v>
                </c:pt>
                <c:pt idx="35" formatCode="0.00">
                  <c:v>26.364583333333332</c:v>
                </c:pt>
                <c:pt idx="36" formatCode="0.00">
                  <c:v>26.005208333333332</c:v>
                </c:pt>
                <c:pt idx="37" formatCode="0.00">
                  <c:v>26.041666666666668</c:v>
                </c:pt>
                <c:pt idx="38" formatCode="0.00">
                  <c:v>26.005208333333332</c:v>
                </c:pt>
                <c:pt idx="39" formatCode="0.00">
                  <c:v>26.005208333333332</c:v>
                </c:pt>
                <c:pt idx="40" formatCode="0.00">
                  <c:v>26.005208333333332</c:v>
                </c:pt>
                <c:pt idx="41" formatCode="0.00">
                  <c:v>28.781666666666666</c:v>
                </c:pt>
                <c:pt idx="42" formatCode="0.00">
                  <c:v>28.781666666666666</c:v>
                </c:pt>
                <c:pt idx="43" formatCode="0.00">
                  <c:v>28.885416666666668</c:v>
                </c:pt>
                <c:pt idx="44" formatCode="0.00">
                  <c:v>28.885416666666668</c:v>
                </c:pt>
                <c:pt idx="45" formatCode="0.00">
                  <c:v>28.885416666666668</c:v>
                </c:pt>
                <c:pt idx="47" formatCode="0.00">
                  <c:v>33.344166666666666</c:v>
                </c:pt>
                <c:pt idx="48" formatCode="0.00">
                  <c:v>33.344166666666666</c:v>
                </c:pt>
                <c:pt idx="49" formatCode="General">
                  <c:v>33.25</c:v>
                </c:pt>
                <c:pt idx="50" formatCode="0.00">
                  <c:v>33.69166666666667</c:v>
                </c:pt>
                <c:pt idx="51" formatCode="0.00">
                  <c:v>33.833333333333336</c:v>
                </c:pt>
                <c:pt idx="52" formatCode="0.00">
                  <c:v>33.833333333333336</c:v>
                </c:pt>
                <c:pt idx="53" formatCode="0.00">
                  <c:v>33.833333333333336</c:v>
                </c:pt>
                <c:pt idx="54" formatCode="0.00">
                  <c:v>33.833333333333336</c:v>
                </c:pt>
                <c:pt idx="55" formatCode="0.00">
                  <c:v>33.833333333333336</c:v>
                </c:pt>
                <c:pt idx="56" formatCode="General">
                  <c:v>27.5</c:v>
                </c:pt>
                <c:pt idx="58" formatCode="General">
                  <c:v>32.1</c:v>
                </c:pt>
                <c:pt idx="59" formatCode="0.00">
                  <c:v>31.00888888888889</c:v>
                </c:pt>
                <c:pt idx="60" formatCode="0.00">
                  <c:v>39.75</c:v>
                </c:pt>
                <c:pt idx="61" formatCode="0.00">
                  <c:v>39.166666666666664</c:v>
                </c:pt>
                <c:pt idx="62" formatCode="General">
                  <c:v>33.61</c:v>
                </c:pt>
                <c:pt idx="63" formatCode="0.00">
                  <c:v>39.666666666666664</c:v>
                </c:pt>
                <c:pt idx="65" formatCode="General">
                  <c:v>39.9</c:v>
                </c:pt>
                <c:pt idx="70" formatCode="General">
                  <c:v>28</c:v>
                </c:pt>
                <c:pt idx="71" formatCode="0.00">
                  <c:v>29.161666666666665</c:v>
                </c:pt>
                <c:pt idx="72" formatCode="General">
                  <c:v>27.8</c:v>
                </c:pt>
                <c:pt idx="74" formatCode="0.00">
                  <c:v>28.989583333333332</c:v>
                </c:pt>
                <c:pt idx="75" formatCode="0.00">
                  <c:v>28.989583333333332</c:v>
                </c:pt>
              </c:numCache>
            </c:numRef>
          </c:xVal>
          <c:yVal>
            <c:numRef>
              <c:f>Summary!$C$48:$CA$48</c:f>
              <c:numCache>
                <c:formatCode>0.0</c:formatCode>
                <c:ptCount val="77"/>
                <c:pt idx="0" formatCode="0.00">
                  <c:v>22.813333333333333</c:v>
                </c:pt>
                <c:pt idx="1">
                  <c:v>24.150000000000002</c:v>
                </c:pt>
                <c:pt idx="2" formatCode="General">
                  <c:v>26.799999999999997</c:v>
                </c:pt>
                <c:pt idx="5">
                  <c:v>31.616666666666664</c:v>
                </c:pt>
                <c:pt idx="6">
                  <c:v>31.616666666666664</c:v>
                </c:pt>
                <c:pt idx="7">
                  <c:v>31.616666666666664</c:v>
                </c:pt>
                <c:pt idx="8" formatCode="0.00">
                  <c:v>33.309895833333336</c:v>
                </c:pt>
                <c:pt idx="9" formatCode="0.00">
                  <c:v>33.309895833333336</c:v>
                </c:pt>
                <c:pt idx="10" formatCode="0.00">
                  <c:v>33.309895833333336</c:v>
                </c:pt>
                <c:pt idx="11" formatCode="0.00">
                  <c:v>33.3125</c:v>
                </c:pt>
                <c:pt idx="12" formatCode="0.00">
                  <c:v>33.43333333333333</c:v>
                </c:pt>
                <c:pt idx="13" formatCode="0.00">
                  <c:v>33.43333333333333</c:v>
                </c:pt>
                <c:pt idx="14" formatCode="0.00">
                  <c:v>33.43333333333333</c:v>
                </c:pt>
                <c:pt idx="17" formatCode="General">
                  <c:v>28.16</c:v>
                </c:pt>
                <c:pt idx="19" formatCode="General">
                  <c:v>30.383333333333336</c:v>
                </c:pt>
                <c:pt idx="20" formatCode="General">
                  <c:v>30.383333333333336</c:v>
                </c:pt>
                <c:pt idx="21" formatCode="General">
                  <c:v>30.383333333333336</c:v>
                </c:pt>
                <c:pt idx="22" formatCode="General">
                  <c:v>30.383333333333336</c:v>
                </c:pt>
                <c:pt idx="23" formatCode="General">
                  <c:v>30.383333333333336</c:v>
                </c:pt>
                <c:pt idx="24" formatCode="General">
                  <c:v>31.600000000000005</c:v>
                </c:pt>
                <c:pt idx="25" formatCode="General">
                  <c:v>31.600000000000005</c:v>
                </c:pt>
                <c:pt idx="26" formatCode="General">
                  <c:v>31.600000000000005</c:v>
                </c:pt>
                <c:pt idx="28" formatCode="0.00">
                  <c:v>24.12</c:v>
                </c:pt>
                <c:pt idx="29" formatCode="0.00">
                  <c:v>24.12</c:v>
                </c:pt>
                <c:pt idx="30" formatCode="0.00">
                  <c:v>24.12</c:v>
                </c:pt>
                <c:pt idx="31" formatCode="0.00">
                  <c:v>24.12</c:v>
                </c:pt>
                <c:pt idx="32" formatCode="0.00">
                  <c:v>24.12</c:v>
                </c:pt>
                <c:pt idx="33" formatCode="0.00">
                  <c:v>24.12</c:v>
                </c:pt>
                <c:pt idx="34" formatCode="0.00">
                  <c:v>24.12</c:v>
                </c:pt>
                <c:pt idx="35" formatCode="0.00">
                  <c:v>24.4</c:v>
                </c:pt>
                <c:pt idx="36" formatCode="0.00">
                  <c:v>24.12</c:v>
                </c:pt>
                <c:pt idx="38" formatCode="0.00">
                  <c:v>24.12</c:v>
                </c:pt>
                <c:pt idx="39" formatCode="0.00">
                  <c:v>24.12</c:v>
                </c:pt>
                <c:pt idx="40" formatCode="0.00">
                  <c:v>24.12</c:v>
                </c:pt>
                <c:pt idx="41" formatCode="0.00">
                  <c:v>25.934999999999999</c:v>
                </c:pt>
                <c:pt idx="42" formatCode="0.00">
                  <c:v>25.934999999999999</c:v>
                </c:pt>
                <c:pt idx="43" formatCode="0.00">
                  <c:v>25.934999999999999</c:v>
                </c:pt>
                <c:pt idx="44" formatCode="0.00">
                  <c:v>25.934999999999999</c:v>
                </c:pt>
                <c:pt idx="45" formatCode="0.00">
                  <c:v>25.934999999999999</c:v>
                </c:pt>
                <c:pt idx="46" formatCode="General">
                  <c:v>25.934999999999999</c:v>
                </c:pt>
                <c:pt idx="47" formatCode="0.00">
                  <c:v>29.833333333333332</c:v>
                </c:pt>
                <c:pt idx="48" formatCode="0.00">
                  <c:v>29.833333333333332</c:v>
                </c:pt>
                <c:pt idx="49" formatCode="0.00">
                  <c:v>29.833333333333332</c:v>
                </c:pt>
                <c:pt idx="50" formatCode="0.00">
                  <c:v>29.833333333333332</c:v>
                </c:pt>
                <c:pt idx="51" formatCode="General">
                  <c:v>33.450000000000003</c:v>
                </c:pt>
                <c:pt idx="52" formatCode="0.00">
                  <c:v>33.450000000000003</c:v>
                </c:pt>
                <c:pt idx="53" formatCode="General">
                  <c:v>33.450000000000003</c:v>
                </c:pt>
                <c:pt idx="54" formatCode="General">
                  <c:v>33.450000000000003</c:v>
                </c:pt>
                <c:pt idx="55" formatCode="General">
                  <c:v>33.450000000000003</c:v>
                </c:pt>
                <c:pt idx="56" formatCode="General">
                  <c:v>27.3</c:v>
                </c:pt>
                <c:pt idx="58" formatCode="0.00">
                  <c:v>30.537499999999998</c:v>
                </c:pt>
                <c:pt idx="59" formatCode="0.00">
                  <c:v>30.916666666666668</c:v>
                </c:pt>
                <c:pt idx="62" formatCode="0.00">
                  <c:v>33.6</c:v>
                </c:pt>
                <c:pt idx="65" formatCode="0.00">
                  <c:v>37.858333333333327</c:v>
                </c:pt>
                <c:pt idx="70" formatCode="0.00">
                  <c:v>26.373333333333335</c:v>
                </c:pt>
                <c:pt idx="72" formatCode="General">
                  <c:v>27.8</c:v>
                </c:pt>
                <c:pt idx="74" formatCode="0.00">
                  <c:v>20.5390625</c:v>
                </c:pt>
                <c:pt idx="75" formatCode="0.00">
                  <c:v>20.5390625</c:v>
                </c:pt>
                <c:pt idx="76" formatCode="General">
                  <c:v>24.75</c:v>
                </c:pt>
              </c:numCache>
            </c:numRef>
          </c:yVal>
          <c:smooth val="0"/>
          <c:extLst>
            <c:ext xmlns:c16="http://schemas.microsoft.com/office/drawing/2014/chart" uri="{C3380CC4-5D6E-409C-BE32-E72D297353CC}">
              <c16:uniqueId val="{00000001-0D05-4C7A-A478-73503CD05420}"/>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Summary!$C$46:$AC$46</c:f>
              <c:numCache>
                <c:formatCode>0.0</c:formatCode>
                <c:ptCount val="27"/>
                <c:pt idx="0" formatCode="0.00">
                  <c:v>23.833333333333332</c:v>
                </c:pt>
                <c:pt idx="1">
                  <c:v>25.33</c:v>
                </c:pt>
                <c:pt idx="2" formatCode="General">
                  <c:v>28.85</c:v>
                </c:pt>
                <c:pt idx="3" formatCode="General">
                  <c:v>28.8</c:v>
                </c:pt>
                <c:pt idx="4" formatCode="General">
                  <c:v>28.8</c:v>
                </c:pt>
                <c:pt idx="5">
                  <c:v>31.729166666666668</c:v>
                </c:pt>
                <c:pt idx="6">
                  <c:v>31.729166666666668</c:v>
                </c:pt>
                <c:pt idx="7">
                  <c:v>31.630208333333332</c:v>
                </c:pt>
                <c:pt idx="8" formatCode="0.00">
                  <c:v>33.309895833333336</c:v>
                </c:pt>
                <c:pt idx="9" formatCode="0.00">
                  <c:v>33.309895833333336</c:v>
                </c:pt>
                <c:pt idx="10" formatCode="0.00">
                  <c:v>33.309895833333336</c:v>
                </c:pt>
                <c:pt idx="11" formatCode="0.00">
                  <c:v>33.309895833333336</c:v>
                </c:pt>
                <c:pt idx="12" formatCode="General">
                  <c:v>35.340000000000003</c:v>
                </c:pt>
                <c:pt idx="13" formatCode="General">
                  <c:v>35.340000000000003</c:v>
                </c:pt>
                <c:pt idx="14" formatCode="General">
                  <c:v>35.340000000000003</c:v>
                </c:pt>
                <c:pt idx="18" formatCode="0.00">
                  <c:v>30.166666666666668</c:v>
                </c:pt>
                <c:pt idx="19" formatCode="General">
                  <c:v>30.13</c:v>
                </c:pt>
                <c:pt idx="20" formatCode="General">
                  <c:v>30.13</c:v>
                </c:pt>
                <c:pt idx="21" formatCode="General">
                  <c:v>30.13</c:v>
                </c:pt>
                <c:pt idx="22" formatCode="General">
                  <c:v>30.13</c:v>
                </c:pt>
                <c:pt idx="23" formatCode="General">
                  <c:v>30.13</c:v>
                </c:pt>
                <c:pt idx="24" formatCode="General">
                  <c:v>31.33</c:v>
                </c:pt>
                <c:pt idx="25" formatCode="General">
                  <c:v>31.33</c:v>
                </c:pt>
                <c:pt idx="26" formatCode="General">
                  <c:v>31.33</c:v>
                </c:pt>
              </c:numCache>
            </c:numRef>
          </c:xVal>
          <c:yVal>
            <c:numRef>
              <c:f>Summary!$C$48:$AC$48</c:f>
              <c:numCache>
                <c:formatCode>0.0</c:formatCode>
                <c:ptCount val="27"/>
                <c:pt idx="0" formatCode="0.00">
                  <c:v>22.813333333333333</c:v>
                </c:pt>
                <c:pt idx="1">
                  <c:v>24.150000000000002</c:v>
                </c:pt>
                <c:pt idx="2" formatCode="General">
                  <c:v>26.799999999999997</c:v>
                </c:pt>
                <c:pt idx="5">
                  <c:v>31.616666666666664</c:v>
                </c:pt>
                <c:pt idx="6">
                  <c:v>31.616666666666664</c:v>
                </c:pt>
                <c:pt idx="7">
                  <c:v>31.616666666666664</c:v>
                </c:pt>
                <c:pt idx="8" formatCode="0.00">
                  <c:v>33.309895833333336</c:v>
                </c:pt>
                <c:pt idx="9" formatCode="0.00">
                  <c:v>33.309895833333336</c:v>
                </c:pt>
                <c:pt idx="10" formatCode="0.00">
                  <c:v>33.309895833333336</c:v>
                </c:pt>
                <c:pt idx="11" formatCode="0.00">
                  <c:v>33.3125</c:v>
                </c:pt>
                <c:pt idx="12" formatCode="0.00">
                  <c:v>33.43333333333333</c:v>
                </c:pt>
                <c:pt idx="13" formatCode="0.00">
                  <c:v>33.43333333333333</c:v>
                </c:pt>
                <c:pt idx="14" formatCode="0.00">
                  <c:v>33.43333333333333</c:v>
                </c:pt>
                <c:pt idx="17" formatCode="General">
                  <c:v>28.16</c:v>
                </c:pt>
                <c:pt idx="19" formatCode="General">
                  <c:v>30.383333333333336</c:v>
                </c:pt>
                <c:pt idx="20" formatCode="General">
                  <c:v>30.383333333333336</c:v>
                </c:pt>
                <c:pt idx="21" formatCode="General">
                  <c:v>30.383333333333336</c:v>
                </c:pt>
                <c:pt idx="22" formatCode="General">
                  <c:v>30.383333333333336</c:v>
                </c:pt>
                <c:pt idx="23" formatCode="General">
                  <c:v>30.383333333333336</c:v>
                </c:pt>
                <c:pt idx="24" formatCode="General">
                  <c:v>31.600000000000005</c:v>
                </c:pt>
                <c:pt idx="25" formatCode="General">
                  <c:v>31.600000000000005</c:v>
                </c:pt>
                <c:pt idx="26" formatCode="General">
                  <c:v>31.600000000000005</c:v>
                </c:pt>
              </c:numCache>
            </c:numRef>
          </c:yVal>
          <c:smooth val="0"/>
          <c:extLst>
            <c:ext xmlns:c16="http://schemas.microsoft.com/office/drawing/2014/chart" uri="{C3380CC4-5D6E-409C-BE32-E72D297353CC}">
              <c16:uniqueId val="{00000002-0D05-4C7A-A478-73503CD05420}"/>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Summary!$AE$46:$BG$46</c:f>
              <c:numCache>
                <c:formatCode>0.00</c:formatCode>
                <c:ptCount val="29"/>
                <c:pt idx="0">
                  <c:v>25.614583333333332</c:v>
                </c:pt>
                <c:pt idx="1">
                  <c:v>25.614583333333332</c:v>
                </c:pt>
                <c:pt idx="2">
                  <c:v>25.614583333333332</c:v>
                </c:pt>
                <c:pt idx="3">
                  <c:v>25.614583333333332</c:v>
                </c:pt>
                <c:pt idx="4">
                  <c:v>25.614583333333332</c:v>
                </c:pt>
                <c:pt idx="5">
                  <c:v>26.364583333333332</c:v>
                </c:pt>
                <c:pt idx="6">
                  <c:v>26.364583333333332</c:v>
                </c:pt>
                <c:pt idx="7">
                  <c:v>26.364583333333332</c:v>
                </c:pt>
                <c:pt idx="8">
                  <c:v>26.005208333333332</c:v>
                </c:pt>
                <c:pt idx="9">
                  <c:v>26.041666666666668</c:v>
                </c:pt>
                <c:pt idx="10">
                  <c:v>26.005208333333332</c:v>
                </c:pt>
                <c:pt idx="11">
                  <c:v>26.005208333333332</c:v>
                </c:pt>
                <c:pt idx="12">
                  <c:v>26.005208333333332</c:v>
                </c:pt>
                <c:pt idx="13">
                  <c:v>28.781666666666666</c:v>
                </c:pt>
                <c:pt idx="14">
                  <c:v>28.781666666666666</c:v>
                </c:pt>
                <c:pt idx="15">
                  <c:v>28.885416666666668</c:v>
                </c:pt>
                <c:pt idx="16">
                  <c:v>28.885416666666668</c:v>
                </c:pt>
                <c:pt idx="17">
                  <c:v>28.885416666666668</c:v>
                </c:pt>
                <c:pt idx="19">
                  <c:v>33.344166666666666</c:v>
                </c:pt>
                <c:pt idx="20">
                  <c:v>33.344166666666666</c:v>
                </c:pt>
                <c:pt idx="21" formatCode="General">
                  <c:v>33.25</c:v>
                </c:pt>
                <c:pt idx="22">
                  <c:v>33.69166666666667</c:v>
                </c:pt>
                <c:pt idx="23">
                  <c:v>33.833333333333336</c:v>
                </c:pt>
                <c:pt idx="24">
                  <c:v>33.833333333333336</c:v>
                </c:pt>
                <c:pt idx="25">
                  <c:v>33.833333333333336</c:v>
                </c:pt>
                <c:pt idx="26">
                  <c:v>33.833333333333336</c:v>
                </c:pt>
                <c:pt idx="27">
                  <c:v>33.833333333333336</c:v>
                </c:pt>
                <c:pt idx="28" formatCode="General">
                  <c:v>27.5</c:v>
                </c:pt>
              </c:numCache>
            </c:numRef>
          </c:xVal>
          <c:yVal>
            <c:numRef>
              <c:f>Summary!$AE$48:$BG$48</c:f>
              <c:numCache>
                <c:formatCode>0.00</c:formatCode>
                <c:ptCount val="29"/>
                <c:pt idx="0">
                  <c:v>24.12</c:v>
                </c:pt>
                <c:pt idx="1">
                  <c:v>24.12</c:v>
                </c:pt>
                <c:pt idx="2">
                  <c:v>24.12</c:v>
                </c:pt>
                <c:pt idx="3">
                  <c:v>24.12</c:v>
                </c:pt>
                <c:pt idx="4">
                  <c:v>24.12</c:v>
                </c:pt>
                <c:pt idx="5">
                  <c:v>24.12</c:v>
                </c:pt>
                <c:pt idx="6">
                  <c:v>24.12</c:v>
                </c:pt>
                <c:pt idx="7">
                  <c:v>24.4</c:v>
                </c:pt>
                <c:pt idx="8">
                  <c:v>24.12</c:v>
                </c:pt>
                <c:pt idx="10">
                  <c:v>24.12</c:v>
                </c:pt>
                <c:pt idx="11">
                  <c:v>24.12</c:v>
                </c:pt>
                <c:pt idx="12">
                  <c:v>24.12</c:v>
                </c:pt>
                <c:pt idx="13">
                  <c:v>25.934999999999999</c:v>
                </c:pt>
                <c:pt idx="14">
                  <c:v>25.934999999999999</c:v>
                </c:pt>
                <c:pt idx="15">
                  <c:v>25.934999999999999</c:v>
                </c:pt>
                <c:pt idx="16">
                  <c:v>25.934999999999999</c:v>
                </c:pt>
                <c:pt idx="17">
                  <c:v>25.934999999999999</c:v>
                </c:pt>
                <c:pt idx="18" formatCode="General">
                  <c:v>25.934999999999999</c:v>
                </c:pt>
                <c:pt idx="19">
                  <c:v>29.833333333333332</c:v>
                </c:pt>
                <c:pt idx="20">
                  <c:v>29.833333333333332</c:v>
                </c:pt>
                <c:pt idx="21">
                  <c:v>29.833333333333332</c:v>
                </c:pt>
                <c:pt idx="22">
                  <c:v>29.833333333333332</c:v>
                </c:pt>
                <c:pt idx="23" formatCode="General">
                  <c:v>33.450000000000003</c:v>
                </c:pt>
                <c:pt idx="24">
                  <c:v>33.450000000000003</c:v>
                </c:pt>
                <c:pt idx="25" formatCode="General">
                  <c:v>33.450000000000003</c:v>
                </c:pt>
                <c:pt idx="26" formatCode="General">
                  <c:v>33.450000000000003</c:v>
                </c:pt>
                <c:pt idx="27" formatCode="General">
                  <c:v>33.450000000000003</c:v>
                </c:pt>
                <c:pt idx="28" formatCode="General">
                  <c:v>27.3</c:v>
                </c:pt>
              </c:numCache>
            </c:numRef>
          </c:yVal>
          <c:smooth val="0"/>
          <c:extLst>
            <c:ext xmlns:c16="http://schemas.microsoft.com/office/drawing/2014/chart" uri="{C3380CC4-5D6E-409C-BE32-E72D297353CC}">
              <c16:uniqueId val="{00000003-0D05-4C7A-A478-73503CD05420}"/>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Summary!$BI$46:$BP$46</c:f>
              <c:numCache>
                <c:formatCode>0.00</c:formatCode>
                <c:ptCount val="8"/>
                <c:pt idx="0" formatCode="General">
                  <c:v>32.1</c:v>
                </c:pt>
                <c:pt idx="1">
                  <c:v>31.00888888888889</c:v>
                </c:pt>
                <c:pt idx="2">
                  <c:v>39.75</c:v>
                </c:pt>
                <c:pt idx="3">
                  <c:v>39.166666666666664</c:v>
                </c:pt>
                <c:pt idx="4" formatCode="General">
                  <c:v>33.61</c:v>
                </c:pt>
                <c:pt idx="5">
                  <c:v>39.666666666666664</c:v>
                </c:pt>
                <c:pt idx="7" formatCode="General">
                  <c:v>39.9</c:v>
                </c:pt>
              </c:numCache>
            </c:numRef>
          </c:xVal>
          <c:yVal>
            <c:numRef>
              <c:f>Summary!$BI$48:$BP$48</c:f>
              <c:numCache>
                <c:formatCode>0.00</c:formatCode>
                <c:ptCount val="8"/>
                <c:pt idx="0">
                  <c:v>30.537499999999998</c:v>
                </c:pt>
                <c:pt idx="1">
                  <c:v>30.916666666666668</c:v>
                </c:pt>
                <c:pt idx="4">
                  <c:v>33.6</c:v>
                </c:pt>
                <c:pt idx="7">
                  <c:v>37.858333333333327</c:v>
                </c:pt>
              </c:numCache>
            </c:numRef>
          </c:yVal>
          <c:smooth val="0"/>
          <c:extLst>
            <c:ext xmlns:c16="http://schemas.microsoft.com/office/drawing/2014/chart" uri="{C3380CC4-5D6E-409C-BE32-E72D297353CC}">
              <c16:uniqueId val="{00000004-0D05-4C7A-A478-73503CD05420}"/>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Summary!$BR$46:$CA$46</c:f>
              <c:numCache>
                <c:formatCode>General</c:formatCode>
                <c:ptCount val="10"/>
                <c:pt idx="3">
                  <c:v>28</c:v>
                </c:pt>
                <c:pt idx="4" formatCode="0.00">
                  <c:v>29.161666666666665</c:v>
                </c:pt>
                <c:pt idx="5">
                  <c:v>27.8</c:v>
                </c:pt>
                <c:pt idx="7" formatCode="0.00">
                  <c:v>28.989583333333332</c:v>
                </c:pt>
                <c:pt idx="8" formatCode="0.00">
                  <c:v>28.989583333333332</c:v>
                </c:pt>
              </c:numCache>
            </c:numRef>
          </c:xVal>
          <c:yVal>
            <c:numRef>
              <c:f>Summary!$BR$48:$CA$48</c:f>
              <c:numCache>
                <c:formatCode>General</c:formatCode>
                <c:ptCount val="10"/>
                <c:pt idx="3" formatCode="0.00">
                  <c:v>26.373333333333335</c:v>
                </c:pt>
                <c:pt idx="5">
                  <c:v>27.8</c:v>
                </c:pt>
                <c:pt idx="7" formatCode="0.00">
                  <c:v>20.5390625</c:v>
                </c:pt>
                <c:pt idx="8" formatCode="0.00">
                  <c:v>20.5390625</c:v>
                </c:pt>
                <c:pt idx="9">
                  <c:v>24.75</c:v>
                </c:pt>
              </c:numCache>
            </c:numRef>
          </c:yVal>
          <c:smooth val="0"/>
          <c:extLst>
            <c:ext xmlns:c16="http://schemas.microsoft.com/office/drawing/2014/chart" uri="{C3380CC4-5D6E-409C-BE32-E72D297353CC}">
              <c16:uniqueId val="{00000005-0D05-4C7A-A478-73503CD05420}"/>
            </c:ext>
          </c:extLst>
        </c:ser>
        <c:dLbls>
          <c:showLegendKey val="0"/>
          <c:showVal val="0"/>
          <c:showCatName val="0"/>
          <c:showSerName val="0"/>
          <c:showPercent val="0"/>
          <c:showBubbleSize val="0"/>
        </c:dLbls>
        <c:axId val="642505167"/>
        <c:axId val="649103391"/>
      </c:scatterChart>
      <c:valAx>
        <c:axId val="642505167"/>
        <c:scaling>
          <c:orientation val="minMax"/>
          <c:min val="20"/>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Overall Length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21259154848917861"/>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Surface Controls</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Summary!$C$44:$S$44</c:f>
              <c:numCache>
                <c:formatCode>General</c:formatCode>
                <c:ptCount val="17"/>
                <c:pt idx="3">
                  <c:v>86.149999999999991</c:v>
                </c:pt>
                <c:pt idx="4">
                  <c:v>86.149999999999991</c:v>
                </c:pt>
                <c:pt idx="7">
                  <c:v>84.38</c:v>
                </c:pt>
                <c:pt idx="11">
                  <c:v>84.279999999999987</c:v>
                </c:pt>
                <c:pt idx="15">
                  <c:v>68.41</c:v>
                </c:pt>
              </c:numCache>
            </c:numRef>
          </c:xVal>
          <c:yVal>
            <c:numRef>
              <c:f>Summary!$C$115:$S$115</c:f>
              <c:numCache>
                <c:formatCode>General</c:formatCode>
                <c:ptCount val="17"/>
                <c:pt idx="0">
                  <c:v>37</c:v>
                </c:pt>
                <c:pt idx="1">
                  <c:v>107</c:v>
                </c:pt>
                <c:pt idx="2">
                  <c:v>90</c:v>
                </c:pt>
                <c:pt idx="5">
                  <c:v>101</c:v>
                </c:pt>
                <c:pt idx="6">
                  <c:v>103</c:v>
                </c:pt>
                <c:pt idx="7">
                  <c:v>98</c:v>
                </c:pt>
                <c:pt idx="8">
                  <c:v>97</c:v>
                </c:pt>
                <c:pt idx="9">
                  <c:v>100</c:v>
                </c:pt>
                <c:pt idx="10">
                  <c:v>98</c:v>
                </c:pt>
                <c:pt idx="12">
                  <c:v>122</c:v>
                </c:pt>
                <c:pt idx="13">
                  <c:v>137.1</c:v>
                </c:pt>
                <c:pt idx="14">
                  <c:v>127.4</c:v>
                </c:pt>
                <c:pt idx="15">
                  <c:v>108</c:v>
                </c:pt>
                <c:pt idx="16">
                  <c:v>118</c:v>
                </c:pt>
              </c:numCache>
            </c:numRef>
          </c:yVal>
          <c:smooth val="0"/>
          <c:extLst>
            <c:ext xmlns:c16="http://schemas.microsoft.com/office/drawing/2014/chart" uri="{C3380CC4-5D6E-409C-BE32-E72D297353CC}">
              <c16:uniqueId val="{00000000-ED4A-40FF-861A-282408C7F7DE}"/>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Summary!$AE$44:$BG$44</c:f>
              <c:numCache>
                <c:formatCode>General</c:formatCode>
                <c:ptCount val="29"/>
                <c:pt idx="0">
                  <c:v>57.54</c:v>
                </c:pt>
                <c:pt idx="1">
                  <c:v>57.54</c:v>
                </c:pt>
                <c:pt idx="2">
                  <c:v>57.54</c:v>
                </c:pt>
                <c:pt idx="3">
                  <c:v>57.54</c:v>
                </c:pt>
                <c:pt idx="4">
                  <c:v>57.54</c:v>
                </c:pt>
                <c:pt idx="5">
                  <c:v>57.54</c:v>
                </c:pt>
                <c:pt idx="6">
                  <c:v>57.54</c:v>
                </c:pt>
                <c:pt idx="7">
                  <c:v>57.54</c:v>
                </c:pt>
                <c:pt idx="8">
                  <c:v>57.54</c:v>
                </c:pt>
                <c:pt idx="9">
                  <c:v>57.4</c:v>
                </c:pt>
                <c:pt idx="10">
                  <c:v>57.54</c:v>
                </c:pt>
                <c:pt idx="11">
                  <c:v>57.54</c:v>
                </c:pt>
                <c:pt idx="12">
                  <c:v>57.54</c:v>
                </c:pt>
                <c:pt idx="13">
                  <c:v>69.180000000000007</c:v>
                </c:pt>
                <c:pt idx="14">
                  <c:v>69.180000000000007</c:v>
                </c:pt>
                <c:pt idx="15">
                  <c:v>70.960000000000008</c:v>
                </c:pt>
                <c:pt idx="16">
                  <c:v>70.960000000000008</c:v>
                </c:pt>
                <c:pt idx="17">
                  <c:v>70.960000000000008</c:v>
                </c:pt>
                <c:pt idx="19">
                  <c:v>89.4</c:v>
                </c:pt>
                <c:pt idx="20">
                  <c:v>89.4</c:v>
                </c:pt>
                <c:pt idx="22">
                  <c:v>89.4</c:v>
                </c:pt>
                <c:pt idx="24">
                  <c:v>90.3</c:v>
                </c:pt>
              </c:numCache>
            </c:numRef>
          </c:xVal>
          <c:yVal>
            <c:numRef>
              <c:f>Summary!$AE$115:$BG$115</c:f>
              <c:numCache>
                <c:formatCode>General</c:formatCode>
                <c:ptCount val="29"/>
                <c:pt idx="6">
                  <c:v>80</c:v>
                </c:pt>
                <c:pt idx="7">
                  <c:v>74</c:v>
                </c:pt>
                <c:pt idx="8">
                  <c:v>73.7</c:v>
                </c:pt>
                <c:pt idx="9">
                  <c:v>73.7</c:v>
                </c:pt>
                <c:pt idx="13">
                  <c:v>113</c:v>
                </c:pt>
                <c:pt idx="14">
                  <c:v>113</c:v>
                </c:pt>
                <c:pt idx="15">
                  <c:v>161.5</c:v>
                </c:pt>
                <c:pt idx="16">
                  <c:v>130</c:v>
                </c:pt>
                <c:pt idx="17">
                  <c:v>161.5</c:v>
                </c:pt>
                <c:pt idx="18">
                  <c:v>126</c:v>
                </c:pt>
                <c:pt idx="19">
                  <c:v>139.9</c:v>
                </c:pt>
                <c:pt idx="20">
                  <c:v>140.6</c:v>
                </c:pt>
                <c:pt idx="21">
                  <c:v>118</c:v>
                </c:pt>
                <c:pt idx="22">
                  <c:v>117.8</c:v>
                </c:pt>
                <c:pt idx="23">
                  <c:v>171.6</c:v>
                </c:pt>
                <c:pt idx="24">
                  <c:v>155.6</c:v>
                </c:pt>
                <c:pt idx="25">
                  <c:v>147.19999999999999</c:v>
                </c:pt>
                <c:pt idx="26">
                  <c:v>147</c:v>
                </c:pt>
                <c:pt idx="27">
                  <c:v>142</c:v>
                </c:pt>
                <c:pt idx="28">
                  <c:v>78</c:v>
                </c:pt>
              </c:numCache>
            </c:numRef>
          </c:yVal>
          <c:smooth val="0"/>
          <c:extLst>
            <c:ext xmlns:c16="http://schemas.microsoft.com/office/drawing/2014/chart" uri="{C3380CC4-5D6E-409C-BE32-E72D297353CC}">
              <c16:uniqueId val="{00000001-ED4A-40FF-861A-282408C7F7DE}"/>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Summary!$BI$44:$BP$44</c:f>
              <c:numCache>
                <c:formatCode>General</c:formatCode>
                <c:ptCount val="8"/>
              </c:numCache>
            </c:numRef>
          </c:xVal>
          <c:yVal>
            <c:numRef>
              <c:f>Summary!$BI$115:$BP$115</c:f>
              <c:numCache>
                <c:formatCode>General</c:formatCode>
                <c:ptCount val="8"/>
                <c:pt idx="0">
                  <c:v>112</c:v>
                </c:pt>
                <c:pt idx="1">
                  <c:v>198</c:v>
                </c:pt>
                <c:pt idx="3">
                  <c:v>387</c:v>
                </c:pt>
                <c:pt idx="4">
                  <c:v>256</c:v>
                </c:pt>
                <c:pt idx="5">
                  <c:v>303</c:v>
                </c:pt>
                <c:pt idx="7">
                  <c:v>240</c:v>
                </c:pt>
              </c:numCache>
            </c:numRef>
          </c:yVal>
          <c:smooth val="0"/>
          <c:extLst>
            <c:ext xmlns:c16="http://schemas.microsoft.com/office/drawing/2014/chart" uri="{C3380CC4-5D6E-409C-BE32-E72D297353CC}">
              <c16:uniqueId val="{00000002-ED4A-40FF-861A-282408C7F7DE}"/>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Summary!$BR$44:$CA$44</c:f>
              <c:numCache>
                <c:formatCode>General</c:formatCode>
                <c:ptCount val="10"/>
              </c:numCache>
            </c:numRef>
          </c:xVal>
          <c:yVal>
            <c:numRef>
              <c:f>Summary!$BR$115:$CA$115</c:f>
              <c:numCache>
                <c:formatCode>General</c:formatCode>
                <c:ptCount val="10"/>
                <c:pt idx="0">
                  <c:v>83</c:v>
                </c:pt>
                <c:pt idx="1">
                  <c:v>55</c:v>
                </c:pt>
                <c:pt idx="2">
                  <c:v>123</c:v>
                </c:pt>
                <c:pt idx="3">
                  <c:v>92</c:v>
                </c:pt>
                <c:pt idx="4">
                  <c:v>104.14</c:v>
                </c:pt>
                <c:pt idx="5">
                  <c:v>104</c:v>
                </c:pt>
                <c:pt idx="6">
                  <c:v>101</c:v>
                </c:pt>
                <c:pt idx="7">
                  <c:v>100</c:v>
                </c:pt>
                <c:pt idx="8">
                  <c:v>110</c:v>
                </c:pt>
                <c:pt idx="9">
                  <c:v>64</c:v>
                </c:pt>
              </c:numCache>
            </c:numRef>
          </c:yVal>
          <c:smooth val="0"/>
          <c:extLst>
            <c:ext xmlns:c16="http://schemas.microsoft.com/office/drawing/2014/chart" uri="{C3380CC4-5D6E-409C-BE32-E72D297353CC}">
              <c16:uniqueId val="{00000003-ED4A-40FF-861A-282408C7F7DE}"/>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r>
                  <a:rPr lang="en-US" baseline="0"/>
                  <a:t> Surface Control Area (sq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Furnishings Group</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Summary!$C$120:$S$120</c:f>
              <c:numCache>
                <c:formatCode>General</c:formatCode>
                <c:ptCount val="17"/>
                <c:pt idx="0">
                  <c:v>68</c:v>
                </c:pt>
                <c:pt idx="1">
                  <c:v>119</c:v>
                </c:pt>
                <c:pt idx="2">
                  <c:v>92</c:v>
                </c:pt>
                <c:pt idx="5">
                  <c:v>235</c:v>
                </c:pt>
                <c:pt idx="6">
                  <c:v>52</c:v>
                </c:pt>
                <c:pt idx="7">
                  <c:v>54</c:v>
                </c:pt>
                <c:pt idx="8">
                  <c:v>74</c:v>
                </c:pt>
                <c:pt idx="9">
                  <c:v>60</c:v>
                </c:pt>
                <c:pt idx="10">
                  <c:v>58</c:v>
                </c:pt>
                <c:pt idx="12">
                  <c:v>83</c:v>
                </c:pt>
                <c:pt idx="13">
                  <c:v>103.2</c:v>
                </c:pt>
                <c:pt idx="14">
                  <c:v>115.2</c:v>
                </c:pt>
                <c:pt idx="15">
                  <c:v>85</c:v>
                </c:pt>
                <c:pt idx="16">
                  <c:v>102</c:v>
                </c:pt>
              </c:numCache>
            </c:numRef>
          </c:yVal>
          <c:smooth val="0"/>
          <c:extLst>
            <c:ext xmlns:c16="http://schemas.microsoft.com/office/drawing/2014/chart" uri="{C3380CC4-5D6E-409C-BE32-E72D297353CC}">
              <c16:uniqueId val="{00000000-B89C-4F02-B9F7-D736EF64BECF}"/>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Summary!$AE$120:$BG$120</c:f>
              <c:numCache>
                <c:formatCode>General</c:formatCode>
                <c:ptCount val="29"/>
                <c:pt idx="6">
                  <c:v>56</c:v>
                </c:pt>
                <c:pt idx="7">
                  <c:v>85</c:v>
                </c:pt>
                <c:pt idx="8">
                  <c:v>143.80000000000001</c:v>
                </c:pt>
                <c:pt idx="9">
                  <c:v>143.80000000000001</c:v>
                </c:pt>
                <c:pt idx="13">
                  <c:v>183</c:v>
                </c:pt>
                <c:pt idx="14">
                  <c:v>172</c:v>
                </c:pt>
                <c:pt idx="15">
                  <c:v>195.9</c:v>
                </c:pt>
                <c:pt idx="16">
                  <c:v>63</c:v>
                </c:pt>
                <c:pt idx="18">
                  <c:v>80</c:v>
                </c:pt>
                <c:pt idx="19">
                  <c:v>83.9</c:v>
                </c:pt>
                <c:pt idx="20">
                  <c:v>95.3</c:v>
                </c:pt>
                <c:pt idx="21">
                  <c:v>61</c:v>
                </c:pt>
                <c:pt idx="22">
                  <c:v>57.5</c:v>
                </c:pt>
                <c:pt idx="23">
                  <c:v>69.2</c:v>
                </c:pt>
                <c:pt idx="24">
                  <c:v>70.900000000000006</c:v>
                </c:pt>
                <c:pt idx="25">
                  <c:v>54.4</c:v>
                </c:pt>
                <c:pt idx="26">
                  <c:v>68</c:v>
                </c:pt>
                <c:pt idx="27">
                  <c:v>60</c:v>
                </c:pt>
                <c:pt idx="28">
                  <c:v>41</c:v>
                </c:pt>
              </c:numCache>
            </c:numRef>
          </c:yVal>
          <c:smooth val="0"/>
          <c:extLst>
            <c:ext xmlns:c16="http://schemas.microsoft.com/office/drawing/2014/chart" uri="{C3380CC4-5D6E-409C-BE32-E72D297353CC}">
              <c16:uniqueId val="{00000001-B89C-4F02-B9F7-D736EF64BECF}"/>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Summary!$BI$120:$BP$120</c:f>
              <c:numCache>
                <c:formatCode>General</c:formatCode>
                <c:ptCount val="8"/>
                <c:pt idx="0">
                  <c:v>591</c:v>
                </c:pt>
                <c:pt idx="1">
                  <c:v>372</c:v>
                </c:pt>
                <c:pt idx="3">
                  <c:v>144</c:v>
                </c:pt>
                <c:pt idx="4">
                  <c:v>127</c:v>
                </c:pt>
                <c:pt idx="5">
                  <c:v>55</c:v>
                </c:pt>
                <c:pt idx="7">
                  <c:v>182</c:v>
                </c:pt>
              </c:numCache>
            </c:numRef>
          </c:yVal>
          <c:smooth val="0"/>
          <c:extLst>
            <c:ext xmlns:c16="http://schemas.microsoft.com/office/drawing/2014/chart" uri="{C3380CC4-5D6E-409C-BE32-E72D297353CC}">
              <c16:uniqueId val="{00000002-B89C-4F02-B9F7-D736EF64BECF}"/>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Summary!$BR$120:$CA$120</c:f>
              <c:numCache>
                <c:formatCode>General</c:formatCode>
                <c:ptCount val="10"/>
                <c:pt idx="0">
                  <c:v>44</c:v>
                </c:pt>
                <c:pt idx="1">
                  <c:v>46</c:v>
                </c:pt>
                <c:pt idx="2">
                  <c:v>332</c:v>
                </c:pt>
                <c:pt idx="3">
                  <c:v>241</c:v>
                </c:pt>
                <c:pt idx="4">
                  <c:v>123.09</c:v>
                </c:pt>
                <c:pt idx="5">
                  <c:v>151</c:v>
                </c:pt>
                <c:pt idx="6">
                  <c:v>384</c:v>
                </c:pt>
                <c:pt idx="7">
                  <c:v>228</c:v>
                </c:pt>
                <c:pt idx="8">
                  <c:v>275</c:v>
                </c:pt>
                <c:pt idx="9">
                  <c:v>77</c:v>
                </c:pt>
              </c:numCache>
            </c:numRef>
          </c:yVal>
          <c:smooth val="0"/>
          <c:extLst>
            <c:ext xmlns:c16="http://schemas.microsoft.com/office/drawing/2014/chart" uri="{C3380CC4-5D6E-409C-BE32-E72D297353CC}">
              <c16:uniqueId val="{00000003-B89C-4F02-B9F7-D736EF64BECF}"/>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Furnishings Group</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Summary!$C$8:$S$8</c:f>
              <c:numCache>
                <c:formatCode>General</c:formatCode>
                <c:ptCount val="1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numCache>
            </c:numRef>
          </c:xVal>
          <c:yVal>
            <c:numRef>
              <c:f>Summary!$C$120:$S$120</c:f>
              <c:numCache>
                <c:formatCode>General</c:formatCode>
                <c:ptCount val="17"/>
                <c:pt idx="0">
                  <c:v>68</c:v>
                </c:pt>
                <c:pt idx="1">
                  <c:v>119</c:v>
                </c:pt>
                <c:pt idx="2">
                  <c:v>92</c:v>
                </c:pt>
                <c:pt idx="5">
                  <c:v>235</c:v>
                </c:pt>
                <c:pt idx="6">
                  <c:v>52</c:v>
                </c:pt>
                <c:pt idx="7">
                  <c:v>54</c:v>
                </c:pt>
                <c:pt idx="8">
                  <c:v>74</c:v>
                </c:pt>
                <c:pt idx="9">
                  <c:v>60</c:v>
                </c:pt>
                <c:pt idx="10">
                  <c:v>58</c:v>
                </c:pt>
                <c:pt idx="12">
                  <c:v>83</c:v>
                </c:pt>
                <c:pt idx="13">
                  <c:v>103.2</c:v>
                </c:pt>
                <c:pt idx="14">
                  <c:v>115.2</c:v>
                </c:pt>
                <c:pt idx="15">
                  <c:v>85</c:v>
                </c:pt>
                <c:pt idx="16">
                  <c:v>102</c:v>
                </c:pt>
              </c:numCache>
            </c:numRef>
          </c:yVal>
          <c:smooth val="0"/>
          <c:extLst>
            <c:ext xmlns:c16="http://schemas.microsoft.com/office/drawing/2014/chart" uri="{C3380CC4-5D6E-409C-BE32-E72D297353CC}">
              <c16:uniqueId val="{00000000-B2FA-4397-A433-0AED7BD6B4E8}"/>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Summary!$AE$8:$BG$8</c:f>
              <c:numCache>
                <c:formatCode>General</c:formatCode>
                <c:ptCount val="2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numCache>
            </c:numRef>
          </c:xVal>
          <c:yVal>
            <c:numRef>
              <c:f>Summary!$AE$120:$BG$120</c:f>
              <c:numCache>
                <c:formatCode>General</c:formatCode>
                <c:ptCount val="29"/>
                <c:pt idx="6">
                  <c:v>56</c:v>
                </c:pt>
                <c:pt idx="7">
                  <c:v>85</c:v>
                </c:pt>
                <c:pt idx="8">
                  <c:v>143.80000000000001</c:v>
                </c:pt>
                <c:pt idx="9">
                  <c:v>143.80000000000001</c:v>
                </c:pt>
                <c:pt idx="13">
                  <c:v>183</c:v>
                </c:pt>
                <c:pt idx="14">
                  <c:v>172</c:v>
                </c:pt>
                <c:pt idx="15">
                  <c:v>195.9</c:v>
                </c:pt>
                <c:pt idx="16">
                  <c:v>63</c:v>
                </c:pt>
                <c:pt idx="18">
                  <c:v>80</c:v>
                </c:pt>
                <c:pt idx="19">
                  <c:v>83.9</c:v>
                </c:pt>
                <c:pt idx="20">
                  <c:v>95.3</c:v>
                </c:pt>
                <c:pt idx="21">
                  <c:v>61</c:v>
                </c:pt>
                <c:pt idx="22">
                  <c:v>57.5</c:v>
                </c:pt>
                <c:pt idx="23">
                  <c:v>69.2</c:v>
                </c:pt>
                <c:pt idx="24">
                  <c:v>70.900000000000006</c:v>
                </c:pt>
                <c:pt idx="25">
                  <c:v>54.4</c:v>
                </c:pt>
                <c:pt idx="26">
                  <c:v>68</c:v>
                </c:pt>
                <c:pt idx="27">
                  <c:v>60</c:v>
                </c:pt>
                <c:pt idx="28">
                  <c:v>41</c:v>
                </c:pt>
              </c:numCache>
            </c:numRef>
          </c:yVal>
          <c:smooth val="0"/>
          <c:extLst>
            <c:ext xmlns:c16="http://schemas.microsoft.com/office/drawing/2014/chart" uri="{C3380CC4-5D6E-409C-BE32-E72D297353CC}">
              <c16:uniqueId val="{00000001-B2FA-4397-A433-0AED7BD6B4E8}"/>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Summary!$BI$8:$BP$8</c:f>
              <c:numCache>
                <c:formatCode>General</c:formatCode>
                <c:ptCount val="8"/>
                <c:pt idx="0">
                  <c:v>2</c:v>
                </c:pt>
                <c:pt idx="1">
                  <c:v>2</c:v>
                </c:pt>
                <c:pt idx="2">
                  <c:v>2</c:v>
                </c:pt>
                <c:pt idx="3">
                  <c:v>1</c:v>
                </c:pt>
                <c:pt idx="4">
                  <c:v>2</c:v>
                </c:pt>
                <c:pt idx="5">
                  <c:v>1</c:v>
                </c:pt>
                <c:pt idx="7">
                  <c:v>3</c:v>
                </c:pt>
              </c:numCache>
            </c:numRef>
          </c:xVal>
          <c:yVal>
            <c:numRef>
              <c:f>Summary!$BI$120:$BP$120</c:f>
              <c:numCache>
                <c:formatCode>General</c:formatCode>
                <c:ptCount val="8"/>
                <c:pt idx="0">
                  <c:v>591</c:v>
                </c:pt>
                <c:pt idx="1">
                  <c:v>372</c:v>
                </c:pt>
                <c:pt idx="3">
                  <c:v>144</c:v>
                </c:pt>
                <c:pt idx="4">
                  <c:v>127</c:v>
                </c:pt>
                <c:pt idx="5">
                  <c:v>55</c:v>
                </c:pt>
                <c:pt idx="7">
                  <c:v>182</c:v>
                </c:pt>
              </c:numCache>
            </c:numRef>
          </c:yVal>
          <c:smooth val="0"/>
          <c:extLst>
            <c:ext xmlns:c16="http://schemas.microsoft.com/office/drawing/2014/chart" uri="{C3380CC4-5D6E-409C-BE32-E72D297353CC}">
              <c16:uniqueId val="{00000002-B2FA-4397-A433-0AED7BD6B4E8}"/>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Summary!$BR$8:$CA$8</c:f>
              <c:numCache>
                <c:formatCode>General</c:formatCode>
                <c:ptCount val="10"/>
                <c:pt idx="0">
                  <c:v>2</c:v>
                </c:pt>
                <c:pt idx="1">
                  <c:v>2</c:v>
                </c:pt>
                <c:pt idx="2">
                  <c:v>2</c:v>
                </c:pt>
                <c:pt idx="3">
                  <c:v>2</c:v>
                </c:pt>
                <c:pt idx="4">
                  <c:v>2</c:v>
                </c:pt>
                <c:pt idx="5">
                  <c:v>2</c:v>
                </c:pt>
                <c:pt idx="6">
                  <c:v>2</c:v>
                </c:pt>
                <c:pt idx="7">
                  <c:v>2</c:v>
                </c:pt>
                <c:pt idx="8">
                  <c:v>2</c:v>
                </c:pt>
              </c:numCache>
            </c:numRef>
          </c:xVal>
          <c:yVal>
            <c:numRef>
              <c:f>Summary!$BR$120:$CA$120</c:f>
              <c:numCache>
                <c:formatCode>General</c:formatCode>
                <c:ptCount val="10"/>
                <c:pt idx="0">
                  <c:v>44</c:v>
                </c:pt>
                <c:pt idx="1">
                  <c:v>46</c:v>
                </c:pt>
                <c:pt idx="2">
                  <c:v>332</c:v>
                </c:pt>
                <c:pt idx="3">
                  <c:v>241</c:v>
                </c:pt>
                <c:pt idx="4">
                  <c:v>123.09</c:v>
                </c:pt>
                <c:pt idx="5">
                  <c:v>151</c:v>
                </c:pt>
                <c:pt idx="6">
                  <c:v>384</c:v>
                </c:pt>
                <c:pt idx="7">
                  <c:v>228</c:v>
                </c:pt>
                <c:pt idx="8">
                  <c:v>275</c:v>
                </c:pt>
                <c:pt idx="9">
                  <c:v>77</c:v>
                </c:pt>
              </c:numCache>
            </c:numRef>
          </c:yVal>
          <c:smooth val="0"/>
          <c:extLst>
            <c:ext xmlns:c16="http://schemas.microsoft.com/office/drawing/2014/chart" uri="{C3380CC4-5D6E-409C-BE32-E72D297353CC}">
              <c16:uniqueId val="{00000003-B2FA-4397-A433-0AED7BD6B4E8}"/>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 of Crew</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Hydraulic 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Summary!$C$116:$S$116</c:f>
              <c:numCache>
                <c:formatCode>General</c:formatCode>
                <c:ptCount val="17"/>
                <c:pt idx="5">
                  <c:v>0</c:v>
                </c:pt>
                <c:pt idx="6">
                  <c:v>156</c:v>
                </c:pt>
                <c:pt idx="7">
                  <c:v>200</c:v>
                </c:pt>
                <c:pt idx="8">
                  <c:v>162</c:v>
                </c:pt>
                <c:pt idx="9">
                  <c:v>169</c:v>
                </c:pt>
                <c:pt idx="10">
                  <c:v>164</c:v>
                </c:pt>
                <c:pt idx="12">
                  <c:v>153</c:v>
                </c:pt>
                <c:pt idx="13">
                  <c:v>110</c:v>
                </c:pt>
                <c:pt idx="14">
                  <c:v>97.5</c:v>
                </c:pt>
                <c:pt idx="15">
                  <c:v>57</c:v>
                </c:pt>
                <c:pt idx="16">
                  <c:v>54</c:v>
                </c:pt>
              </c:numCache>
            </c:numRef>
          </c:yVal>
          <c:smooth val="0"/>
          <c:extLst>
            <c:ext xmlns:c16="http://schemas.microsoft.com/office/drawing/2014/chart" uri="{C3380CC4-5D6E-409C-BE32-E72D297353CC}">
              <c16:uniqueId val="{00000000-C453-4BDF-AD97-98F269448794}"/>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Summary!$AE$116:$BG$116</c:f>
              <c:numCache>
                <c:formatCode>General</c:formatCode>
                <c:ptCount val="29"/>
                <c:pt idx="6">
                  <c:v>36</c:v>
                </c:pt>
                <c:pt idx="7">
                  <c:v>35</c:v>
                </c:pt>
                <c:pt idx="8">
                  <c:v>0</c:v>
                </c:pt>
                <c:pt idx="13">
                  <c:v>0</c:v>
                </c:pt>
                <c:pt idx="15">
                  <c:v>0</c:v>
                </c:pt>
                <c:pt idx="17">
                  <c:v>195.9</c:v>
                </c:pt>
                <c:pt idx="18">
                  <c:v>0</c:v>
                </c:pt>
                <c:pt idx="19">
                  <c:v>121.6</c:v>
                </c:pt>
                <c:pt idx="20">
                  <c:v>120.2</c:v>
                </c:pt>
                <c:pt idx="21">
                  <c:v>114</c:v>
                </c:pt>
                <c:pt idx="22">
                  <c:v>125</c:v>
                </c:pt>
                <c:pt idx="23">
                  <c:v>112.9</c:v>
                </c:pt>
                <c:pt idx="24">
                  <c:v>122.9</c:v>
                </c:pt>
                <c:pt idx="25">
                  <c:v>126.6</c:v>
                </c:pt>
                <c:pt idx="26">
                  <c:v>127</c:v>
                </c:pt>
                <c:pt idx="27">
                  <c:v>128</c:v>
                </c:pt>
                <c:pt idx="28">
                  <c:v>83</c:v>
                </c:pt>
              </c:numCache>
            </c:numRef>
          </c:yVal>
          <c:smooth val="0"/>
          <c:extLst>
            <c:ext xmlns:c16="http://schemas.microsoft.com/office/drawing/2014/chart" uri="{C3380CC4-5D6E-409C-BE32-E72D297353CC}">
              <c16:uniqueId val="{00000001-C453-4BDF-AD97-98F269448794}"/>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Summary!$BI$116:$BP$116</c:f>
              <c:numCache>
                <c:formatCode>General</c:formatCode>
                <c:ptCount val="8"/>
                <c:pt idx="1">
                  <c:v>95</c:v>
                </c:pt>
                <c:pt idx="3">
                  <c:v>140</c:v>
                </c:pt>
                <c:pt idx="4">
                  <c:v>141</c:v>
                </c:pt>
                <c:pt idx="5">
                  <c:v>144</c:v>
                </c:pt>
                <c:pt idx="7">
                  <c:v>149</c:v>
                </c:pt>
              </c:numCache>
            </c:numRef>
          </c:yVal>
          <c:smooth val="0"/>
          <c:extLst>
            <c:ext xmlns:c16="http://schemas.microsoft.com/office/drawing/2014/chart" uri="{C3380CC4-5D6E-409C-BE32-E72D297353CC}">
              <c16:uniqueId val="{00000002-C453-4BDF-AD97-98F269448794}"/>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Summary!$BR$116:$CA$116</c:f>
              <c:numCache>
                <c:formatCode>General</c:formatCode>
                <c:ptCount val="10"/>
                <c:pt idx="7">
                  <c:v>52</c:v>
                </c:pt>
                <c:pt idx="8">
                  <c:v>40</c:v>
                </c:pt>
              </c:numCache>
            </c:numRef>
          </c:yVal>
          <c:smooth val="0"/>
          <c:extLst>
            <c:ext xmlns:c16="http://schemas.microsoft.com/office/drawing/2014/chart" uri="{C3380CC4-5D6E-409C-BE32-E72D297353CC}">
              <c16:uniqueId val="{00000003-C453-4BDF-AD97-98F269448794}"/>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Electrical 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Summary!$C$117:$S$117</c:f>
              <c:numCache>
                <c:formatCode>General</c:formatCode>
                <c:ptCount val="17"/>
                <c:pt idx="0">
                  <c:v>58</c:v>
                </c:pt>
                <c:pt idx="1">
                  <c:v>173</c:v>
                </c:pt>
                <c:pt idx="2">
                  <c:v>124</c:v>
                </c:pt>
                <c:pt idx="5">
                  <c:v>229</c:v>
                </c:pt>
                <c:pt idx="6">
                  <c:v>244</c:v>
                </c:pt>
                <c:pt idx="7">
                  <c:v>240</c:v>
                </c:pt>
                <c:pt idx="8">
                  <c:v>241</c:v>
                </c:pt>
                <c:pt idx="9">
                  <c:v>237</c:v>
                </c:pt>
                <c:pt idx="10">
                  <c:v>236</c:v>
                </c:pt>
                <c:pt idx="12">
                  <c:v>201</c:v>
                </c:pt>
                <c:pt idx="13">
                  <c:v>209.1</c:v>
                </c:pt>
                <c:pt idx="14">
                  <c:v>214.1</c:v>
                </c:pt>
                <c:pt idx="15">
                  <c:v>176</c:v>
                </c:pt>
                <c:pt idx="16">
                  <c:v>189</c:v>
                </c:pt>
              </c:numCache>
            </c:numRef>
          </c:yVal>
          <c:smooth val="0"/>
          <c:extLst>
            <c:ext xmlns:c16="http://schemas.microsoft.com/office/drawing/2014/chart" uri="{C3380CC4-5D6E-409C-BE32-E72D297353CC}">
              <c16:uniqueId val="{00000000-49A2-459C-9AB8-3CC555FAA8C2}"/>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Summary!$AE$117:$BG$117</c:f>
              <c:numCache>
                <c:formatCode>General</c:formatCode>
                <c:ptCount val="29"/>
                <c:pt idx="6">
                  <c:v>157</c:v>
                </c:pt>
                <c:pt idx="7">
                  <c:v>155</c:v>
                </c:pt>
                <c:pt idx="8">
                  <c:v>139</c:v>
                </c:pt>
                <c:pt idx="9">
                  <c:v>127.2</c:v>
                </c:pt>
                <c:pt idx="13">
                  <c:v>140</c:v>
                </c:pt>
                <c:pt idx="14">
                  <c:v>140</c:v>
                </c:pt>
                <c:pt idx="15">
                  <c:v>143</c:v>
                </c:pt>
                <c:pt idx="16">
                  <c:v>168</c:v>
                </c:pt>
                <c:pt idx="17">
                  <c:v>143</c:v>
                </c:pt>
                <c:pt idx="18">
                  <c:v>162</c:v>
                </c:pt>
                <c:pt idx="19">
                  <c:v>187.6</c:v>
                </c:pt>
                <c:pt idx="20">
                  <c:v>199.8</c:v>
                </c:pt>
                <c:pt idx="21">
                  <c:v>176</c:v>
                </c:pt>
                <c:pt idx="22">
                  <c:v>195.5</c:v>
                </c:pt>
                <c:pt idx="23">
                  <c:v>208.4</c:v>
                </c:pt>
                <c:pt idx="24">
                  <c:v>224</c:v>
                </c:pt>
                <c:pt idx="25">
                  <c:v>223.8</c:v>
                </c:pt>
                <c:pt idx="26">
                  <c:v>181</c:v>
                </c:pt>
                <c:pt idx="27">
                  <c:v>225</c:v>
                </c:pt>
                <c:pt idx="28">
                  <c:v>162</c:v>
                </c:pt>
              </c:numCache>
            </c:numRef>
          </c:yVal>
          <c:smooth val="0"/>
          <c:extLst>
            <c:ext xmlns:c16="http://schemas.microsoft.com/office/drawing/2014/chart" uri="{C3380CC4-5D6E-409C-BE32-E72D297353CC}">
              <c16:uniqueId val="{00000001-49A2-459C-9AB8-3CC555FAA8C2}"/>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trendline>
            <c:spPr>
              <a:ln w="19050" cap="rnd">
                <a:solidFill>
                  <a:srgbClr val="FF0000"/>
                </a:solidFill>
                <a:prstDash val="sysDot"/>
              </a:ln>
              <a:effectLst/>
            </c:spPr>
            <c:trendlineType val="poly"/>
            <c:order val="2"/>
            <c:intercept val="0"/>
            <c:dispRSqr val="1"/>
            <c:dispEq val="1"/>
            <c:trendlineLbl>
              <c:layout>
                <c:manualLayout>
                  <c:x val="-4.4474161365498421E-2"/>
                  <c:y val="-0.10751564085228231"/>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rgbClr val="FF0000"/>
                      </a:solidFill>
                      <a:latin typeface="+mn-lt"/>
                      <a:ea typeface="+mn-ea"/>
                      <a:cs typeface="+mn-cs"/>
                    </a:defRPr>
                  </a:pPr>
                  <a:endParaRPr lang="en-US"/>
                </a:p>
              </c:txPr>
            </c:trendlineLbl>
          </c:trendline>
          <c:xVal>
            <c:numRef>
              <c:f>Summary!$BI$147:$BP$147</c:f>
              <c:numCache>
                <c:formatCode>General</c:formatCode>
                <c:ptCount val="8"/>
                <c:pt idx="0">
                  <c:v>7543</c:v>
                </c:pt>
                <c:pt idx="1">
                  <c:v>9662</c:v>
                </c:pt>
                <c:pt idx="3">
                  <c:v>17929</c:v>
                </c:pt>
                <c:pt idx="4">
                  <c:v>15447</c:v>
                </c:pt>
                <c:pt idx="5">
                  <c:v>15327</c:v>
                </c:pt>
                <c:pt idx="7">
                  <c:v>16438</c:v>
                </c:pt>
              </c:numCache>
            </c:numRef>
          </c:xVal>
          <c:yVal>
            <c:numRef>
              <c:f>Summary!$BI$117:$BP$117</c:f>
              <c:numCache>
                <c:formatCode>General</c:formatCode>
                <c:ptCount val="8"/>
                <c:pt idx="0">
                  <c:v>224</c:v>
                </c:pt>
                <c:pt idx="1">
                  <c:v>159</c:v>
                </c:pt>
                <c:pt idx="3">
                  <c:v>441</c:v>
                </c:pt>
                <c:pt idx="4">
                  <c:v>276</c:v>
                </c:pt>
                <c:pt idx="5">
                  <c:v>207</c:v>
                </c:pt>
                <c:pt idx="7">
                  <c:v>305</c:v>
                </c:pt>
              </c:numCache>
            </c:numRef>
          </c:yVal>
          <c:smooth val="0"/>
          <c:extLst>
            <c:ext xmlns:c16="http://schemas.microsoft.com/office/drawing/2014/chart" uri="{C3380CC4-5D6E-409C-BE32-E72D297353CC}">
              <c16:uniqueId val="{00000002-49A2-459C-9AB8-3CC555FAA8C2}"/>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trendline>
            <c:spPr>
              <a:ln w="19050" cap="rnd">
                <a:solidFill>
                  <a:schemeClr val="accent2"/>
                </a:solidFill>
                <a:prstDash val="sysDot"/>
              </a:ln>
              <a:effectLst/>
            </c:spPr>
            <c:trendlineType val="linear"/>
            <c:dispRSqr val="1"/>
            <c:dispEq val="1"/>
            <c:trendlineLbl>
              <c:layout>
                <c:manualLayout>
                  <c:x val="-7.4099201661150749E-2"/>
                  <c:y val="5.0294860900310628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Summary!$BR$117:$CA$117</c:f>
              <c:numCache>
                <c:formatCode>General</c:formatCode>
                <c:ptCount val="10"/>
                <c:pt idx="0">
                  <c:v>2</c:v>
                </c:pt>
                <c:pt idx="1">
                  <c:v>3</c:v>
                </c:pt>
                <c:pt idx="2">
                  <c:v>165</c:v>
                </c:pt>
                <c:pt idx="3">
                  <c:v>207</c:v>
                </c:pt>
                <c:pt idx="4">
                  <c:v>196.62</c:v>
                </c:pt>
                <c:pt idx="5">
                  <c:v>192</c:v>
                </c:pt>
                <c:pt idx="6">
                  <c:v>229</c:v>
                </c:pt>
                <c:pt idx="7">
                  <c:v>223</c:v>
                </c:pt>
                <c:pt idx="8">
                  <c:v>195</c:v>
                </c:pt>
                <c:pt idx="9">
                  <c:v>11</c:v>
                </c:pt>
              </c:numCache>
            </c:numRef>
          </c:yVal>
          <c:smooth val="0"/>
          <c:extLst>
            <c:ext xmlns:c16="http://schemas.microsoft.com/office/drawing/2014/chart" uri="{C3380CC4-5D6E-409C-BE32-E72D297353CC}">
              <c16:uniqueId val="{00000003-49A2-459C-9AB8-3CC555FAA8C2}"/>
            </c:ext>
          </c:extLst>
        </c:ser>
        <c:ser>
          <c:idx val="4"/>
          <c:order val="4"/>
          <c:tx>
            <c:v>All Fighters</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1"/>
            <c:dispEq val="1"/>
            <c:trendlineLbl>
              <c:layout>
                <c:manualLayout>
                  <c:x val="4.7156420101919137E-2"/>
                  <c:y val="0.14648970082262686"/>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Summary!$C$147:$BG$147</c:f>
              <c:numCache>
                <c:formatCode>General</c:formatCode>
                <c:ptCount val="5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numCache>
            </c:numRef>
          </c:xVal>
          <c:yVal>
            <c:numRef>
              <c:f>Summary!$C$117:$BG$117</c:f>
              <c:numCache>
                <c:formatCode>General</c:formatCode>
                <c:ptCount val="57"/>
                <c:pt idx="0">
                  <c:v>58</c:v>
                </c:pt>
                <c:pt idx="1">
                  <c:v>173</c:v>
                </c:pt>
                <c:pt idx="2">
                  <c:v>124</c:v>
                </c:pt>
                <c:pt idx="5">
                  <c:v>229</c:v>
                </c:pt>
                <c:pt idx="6">
                  <c:v>244</c:v>
                </c:pt>
                <c:pt idx="7">
                  <c:v>240</c:v>
                </c:pt>
                <c:pt idx="8">
                  <c:v>241</c:v>
                </c:pt>
                <c:pt idx="9">
                  <c:v>237</c:v>
                </c:pt>
                <c:pt idx="10">
                  <c:v>236</c:v>
                </c:pt>
                <c:pt idx="12">
                  <c:v>201</c:v>
                </c:pt>
                <c:pt idx="13">
                  <c:v>209.1</c:v>
                </c:pt>
                <c:pt idx="14">
                  <c:v>214.1</c:v>
                </c:pt>
                <c:pt idx="15">
                  <c:v>176</c:v>
                </c:pt>
                <c:pt idx="16">
                  <c:v>189</c:v>
                </c:pt>
                <c:pt idx="17">
                  <c:v>75</c:v>
                </c:pt>
                <c:pt idx="18">
                  <c:v>225.2</c:v>
                </c:pt>
                <c:pt idx="19">
                  <c:v>225</c:v>
                </c:pt>
                <c:pt idx="20">
                  <c:v>226</c:v>
                </c:pt>
                <c:pt idx="21">
                  <c:v>274.60000000000002</c:v>
                </c:pt>
                <c:pt idx="23">
                  <c:v>278</c:v>
                </c:pt>
                <c:pt idx="24">
                  <c:v>170</c:v>
                </c:pt>
                <c:pt idx="25">
                  <c:v>200.1</c:v>
                </c:pt>
                <c:pt idx="26">
                  <c:v>202</c:v>
                </c:pt>
                <c:pt idx="34">
                  <c:v>157</c:v>
                </c:pt>
                <c:pt idx="35">
                  <c:v>155</c:v>
                </c:pt>
                <c:pt idx="36">
                  <c:v>139</c:v>
                </c:pt>
                <c:pt idx="37">
                  <c:v>127.2</c:v>
                </c:pt>
                <c:pt idx="41">
                  <c:v>140</c:v>
                </c:pt>
                <c:pt idx="42">
                  <c:v>140</c:v>
                </c:pt>
                <c:pt idx="43">
                  <c:v>143</c:v>
                </c:pt>
                <c:pt idx="44">
                  <c:v>168</c:v>
                </c:pt>
                <c:pt idx="45">
                  <c:v>143</c:v>
                </c:pt>
                <c:pt idx="46">
                  <c:v>162</c:v>
                </c:pt>
                <c:pt idx="47">
                  <c:v>187.6</c:v>
                </c:pt>
                <c:pt idx="48">
                  <c:v>199.8</c:v>
                </c:pt>
                <c:pt idx="49">
                  <c:v>176</c:v>
                </c:pt>
                <c:pt idx="50">
                  <c:v>195.5</c:v>
                </c:pt>
                <c:pt idx="51">
                  <c:v>208.4</c:v>
                </c:pt>
                <c:pt idx="52">
                  <c:v>224</c:v>
                </c:pt>
                <c:pt idx="53">
                  <c:v>223.8</c:v>
                </c:pt>
                <c:pt idx="54">
                  <c:v>181</c:v>
                </c:pt>
                <c:pt idx="55">
                  <c:v>225</c:v>
                </c:pt>
                <c:pt idx="56">
                  <c:v>162</c:v>
                </c:pt>
              </c:numCache>
            </c:numRef>
          </c:yVal>
          <c:smooth val="0"/>
          <c:extLst>
            <c:ext xmlns:c16="http://schemas.microsoft.com/office/drawing/2014/chart" uri="{C3380CC4-5D6E-409C-BE32-E72D297353CC}">
              <c16:uniqueId val="{00000000-2F32-4859-B8A0-E63D7C2A95E0}"/>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9605139554581791"/>
          <c:h val="0.27268402703059913"/>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Electronics &amp; Comms 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intercept val="0"/>
            <c:dispRSqr val="1"/>
            <c:dispEq val="1"/>
            <c:trendlineLbl>
              <c:layout>
                <c:manualLayout>
                  <c:x val="-0.11693359553602685"/>
                  <c:y val="-3.4124946461581721E-2"/>
                </c:manualLayout>
              </c:layout>
              <c:numFmt formatCode="0.0000E+0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Summary!$C$118:$CA$118</c:f>
              <c:numCache>
                <c:formatCode>General</c:formatCode>
                <c:ptCount val="77"/>
                <c:pt idx="2">
                  <c:v>66</c:v>
                </c:pt>
                <c:pt idx="5">
                  <c:v>74</c:v>
                </c:pt>
                <c:pt idx="6">
                  <c:v>74</c:v>
                </c:pt>
                <c:pt idx="7">
                  <c:v>134</c:v>
                </c:pt>
                <c:pt idx="8">
                  <c:v>130</c:v>
                </c:pt>
                <c:pt idx="9">
                  <c:v>157</c:v>
                </c:pt>
                <c:pt idx="10">
                  <c:v>134</c:v>
                </c:pt>
                <c:pt idx="12">
                  <c:v>153</c:v>
                </c:pt>
                <c:pt idx="13">
                  <c:v>146</c:v>
                </c:pt>
                <c:pt idx="14">
                  <c:v>151.1</c:v>
                </c:pt>
                <c:pt idx="15">
                  <c:v>163</c:v>
                </c:pt>
                <c:pt idx="16">
                  <c:v>161</c:v>
                </c:pt>
                <c:pt idx="18">
                  <c:v>62</c:v>
                </c:pt>
                <c:pt idx="19">
                  <c:v>62</c:v>
                </c:pt>
                <c:pt idx="20">
                  <c:v>60</c:v>
                </c:pt>
                <c:pt idx="21">
                  <c:v>80.2</c:v>
                </c:pt>
                <c:pt idx="23">
                  <c:v>35</c:v>
                </c:pt>
                <c:pt idx="24">
                  <c:v>124</c:v>
                </c:pt>
                <c:pt idx="25">
                  <c:v>144.4</c:v>
                </c:pt>
                <c:pt idx="26">
                  <c:v>146</c:v>
                </c:pt>
                <c:pt idx="35">
                  <c:v>61</c:v>
                </c:pt>
                <c:pt idx="44">
                  <c:v>113</c:v>
                </c:pt>
                <c:pt idx="49">
                  <c:v>152</c:v>
                </c:pt>
                <c:pt idx="50">
                  <c:v>131.69999999999999</c:v>
                </c:pt>
                <c:pt idx="54">
                  <c:v>164</c:v>
                </c:pt>
                <c:pt idx="55">
                  <c:v>164</c:v>
                </c:pt>
                <c:pt idx="56">
                  <c:v>118</c:v>
                </c:pt>
                <c:pt idx="59">
                  <c:v>205</c:v>
                </c:pt>
                <c:pt idx="61">
                  <c:v>393</c:v>
                </c:pt>
                <c:pt idx="62">
                  <c:v>355</c:v>
                </c:pt>
                <c:pt idx="63">
                  <c:v>292</c:v>
                </c:pt>
                <c:pt idx="65">
                  <c:v>475</c:v>
                </c:pt>
                <c:pt idx="71">
                  <c:v>72.739999999999995</c:v>
                </c:pt>
              </c:numCache>
            </c:numRef>
          </c:yVal>
          <c:smooth val="0"/>
          <c:extLst>
            <c:ext xmlns:c16="http://schemas.microsoft.com/office/drawing/2014/chart" uri="{C3380CC4-5D6E-409C-BE32-E72D297353CC}">
              <c16:uniqueId val="{00000000-979B-40C0-A947-6AED2EDBB254}"/>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Summary!$C$118:$S$118</c:f>
              <c:numCache>
                <c:formatCode>General</c:formatCode>
                <c:ptCount val="17"/>
                <c:pt idx="2">
                  <c:v>66</c:v>
                </c:pt>
                <c:pt idx="5">
                  <c:v>74</c:v>
                </c:pt>
                <c:pt idx="6">
                  <c:v>74</c:v>
                </c:pt>
                <c:pt idx="7">
                  <c:v>134</c:v>
                </c:pt>
                <c:pt idx="8">
                  <c:v>130</c:v>
                </c:pt>
                <c:pt idx="9">
                  <c:v>157</c:v>
                </c:pt>
                <c:pt idx="10">
                  <c:v>134</c:v>
                </c:pt>
                <c:pt idx="12">
                  <c:v>153</c:v>
                </c:pt>
                <c:pt idx="13">
                  <c:v>146</c:v>
                </c:pt>
                <c:pt idx="14">
                  <c:v>151.1</c:v>
                </c:pt>
                <c:pt idx="15">
                  <c:v>163</c:v>
                </c:pt>
                <c:pt idx="16">
                  <c:v>161</c:v>
                </c:pt>
              </c:numCache>
            </c:numRef>
          </c:yVal>
          <c:smooth val="0"/>
          <c:extLst>
            <c:ext xmlns:c16="http://schemas.microsoft.com/office/drawing/2014/chart" uri="{C3380CC4-5D6E-409C-BE32-E72D297353CC}">
              <c16:uniqueId val="{00000000-2C10-49EE-AAEF-E215B6C48D5E}"/>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Summary!$AE$118:$BG$118</c:f>
              <c:numCache>
                <c:formatCode>General</c:formatCode>
                <c:ptCount val="29"/>
                <c:pt idx="7">
                  <c:v>61</c:v>
                </c:pt>
                <c:pt idx="16">
                  <c:v>113</c:v>
                </c:pt>
                <c:pt idx="21">
                  <c:v>152</c:v>
                </c:pt>
                <c:pt idx="22">
                  <c:v>131.69999999999999</c:v>
                </c:pt>
                <c:pt idx="26">
                  <c:v>164</c:v>
                </c:pt>
                <c:pt idx="27">
                  <c:v>164</c:v>
                </c:pt>
                <c:pt idx="28">
                  <c:v>118</c:v>
                </c:pt>
              </c:numCache>
            </c:numRef>
          </c:yVal>
          <c:smooth val="0"/>
          <c:extLst>
            <c:ext xmlns:c16="http://schemas.microsoft.com/office/drawing/2014/chart" uri="{C3380CC4-5D6E-409C-BE32-E72D297353CC}">
              <c16:uniqueId val="{00000001-2C10-49EE-AAEF-E215B6C48D5E}"/>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Summary!$BI$118:$BP$118</c:f>
              <c:numCache>
                <c:formatCode>General</c:formatCode>
                <c:ptCount val="8"/>
                <c:pt idx="1">
                  <c:v>205</c:v>
                </c:pt>
                <c:pt idx="3">
                  <c:v>393</c:v>
                </c:pt>
                <c:pt idx="4">
                  <c:v>355</c:v>
                </c:pt>
                <c:pt idx="5">
                  <c:v>292</c:v>
                </c:pt>
                <c:pt idx="7">
                  <c:v>475</c:v>
                </c:pt>
              </c:numCache>
            </c:numRef>
          </c:yVal>
          <c:smooth val="0"/>
          <c:extLst>
            <c:ext xmlns:c16="http://schemas.microsoft.com/office/drawing/2014/chart" uri="{C3380CC4-5D6E-409C-BE32-E72D297353CC}">
              <c16:uniqueId val="{00000002-2C10-49EE-AAEF-E215B6C48D5E}"/>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Summary!$BR$118:$CA$118</c:f>
              <c:numCache>
                <c:formatCode>General</c:formatCode>
                <c:ptCount val="10"/>
                <c:pt idx="4">
                  <c:v>72.739999999999995</c:v>
                </c:pt>
              </c:numCache>
            </c:numRef>
          </c:yVal>
          <c:smooth val="0"/>
          <c:extLst>
            <c:ext xmlns:c16="http://schemas.microsoft.com/office/drawing/2014/chart" uri="{C3380CC4-5D6E-409C-BE32-E72D297353CC}">
              <c16:uniqueId val="{00000003-2C10-49EE-AAEF-E215B6C48D5E}"/>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Armament Provisions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Summary!$C$119:$S$119</c:f>
              <c:numCache>
                <c:formatCode>General</c:formatCode>
                <c:ptCount val="17"/>
                <c:pt idx="6">
                  <c:v>267</c:v>
                </c:pt>
                <c:pt idx="7">
                  <c:v>328</c:v>
                </c:pt>
                <c:pt idx="8">
                  <c:v>313</c:v>
                </c:pt>
                <c:pt idx="9">
                  <c:v>321</c:v>
                </c:pt>
                <c:pt idx="10">
                  <c:v>320</c:v>
                </c:pt>
                <c:pt idx="12">
                  <c:v>221</c:v>
                </c:pt>
                <c:pt idx="13">
                  <c:v>183.2</c:v>
                </c:pt>
                <c:pt idx="14">
                  <c:v>203.1</c:v>
                </c:pt>
                <c:pt idx="15">
                  <c:v>246</c:v>
                </c:pt>
                <c:pt idx="16">
                  <c:v>292</c:v>
                </c:pt>
              </c:numCache>
            </c:numRef>
          </c:yVal>
          <c:smooth val="0"/>
          <c:extLst>
            <c:ext xmlns:c16="http://schemas.microsoft.com/office/drawing/2014/chart" uri="{C3380CC4-5D6E-409C-BE32-E72D297353CC}">
              <c16:uniqueId val="{00000000-8EC9-457E-8E26-8E9DDBED1EF1}"/>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Summary!$AE$119:$BG$119</c:f>
              <c:numCache>
                <c:formatCode>General</c:formatCode>
                <c:ptCount val="29"/>
                <c:pt idx="6">
                  <c:v>230</c:v>
                </c:pt>
                <c:pt idx="7">
                  <c:v>225</c:v>
                </c:pt>
                <c:pt idx="8">
                  <c:v>0</c:v>
                </c:pt>
                <c:pt idx="13">
                  <c:v>155</c:v>
                </c:pt>
                <c:pt idx="14">
                  <c:v>155</c:v>
                </c:pt>
                <c:pt idx="15">
                  <c:v>162.5</c:v>
                </c:pt>
                <c:pt idx="16">
                  <c:v>237</c:v>
                </c:pt>
                <c:pt idx="17">
                  <c:v>162.5</c:v>
                </c:pt>
                <c:pt idx="18">
                  <c:v>223</c:v>
                </c:pt>
                <c:pt idx="19">
                  <c:v>336</c:v>
                </c:pt>
                <c:pt idx="20">
                  <c:v>329.4</c:v>
                </c:pt>
                <c:pt idx="21">
                  <c:v>347</c:v>
                </c:pt>
                <c:pt idx="22">
                  <c:v>310.3</c:v>
                </c:pt>
                <c:pt idx="23">
                  <c:v>288.8</c:v>
                </c:pt>
                <c:pt idx="24">
                  <c:v>341.6</c:v>
                </c:pt>
                <c:pt idx="25">
                  <c:v>313.60000000000002</c:v>
                </c:pt>
                <c:pt idx="26">
                  <c:v>332</c:v>
                </c:pt>
                <c:pt idx="27">
                  <c:v>302</c:v>
                </c:pt>
                <c:pt idx="28">
                  <c:v>216</c:v>
                </c:pt>
              </c:numCache>
            </c:numRef>
          </c:yVal>
          <c:smooth val="0"/>
          <c:extLst>
            <c:ext xmlns:c16="http://schemas.microsoft.com/office/drawing/2014/chart" uri="{C3380CC4-5D6E-409C-BE32-E72D297353CC}">
              <c16:uniqueId val="{00000001-8EC9-457E-8E26-8E9DDBED1EF1}"/>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Summary!$BI$119:$BP$119</c:f>
              <c:numCache>
                <c:formatCode>General</c:formatCode>
                <c:ptCount val="8"/>
                <c:pt idx="1">
                  <c:v>246</c:v>
                </c:pt>
                <c:pt idx="3">
                  <c:v>587</c:v>
                </c:pt>
                <c:pt idx="4">
                  <c:v>471</c:v>
                </c:pt>
                <c:pt idx="5">
                  <c:v>363</c:v>
                </c:pt>
                <c:pt idx="7">
                  <c:v>938</c:v>
                </c:pt>
              </c:numCache>
            </c:numRef>
          </c:yVal>
          <c:smooth val="0"/>
          <c:extLst>
            <c:ext xmlns:c16="http://schemas.microsoft.com/office/drawing/2014/chart" uri="{C3380CC4-5D6E-409C-BE32-E72D297353CC}">
              <c16:uniqueId val="{00000002-8EC9-457E-8E26-8E9DDBED1EF1}"/>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Summary!$BR$119:$CA$119</c:f>
              <c:numCache>
                <c:formatCode>General</c:formatCode>
                <c:ptCount val="10"/>
                <c:pt idx="7">
                  <c:v>24</c:v>
                </c:pt>
                <c:pt idx="8">
                  <c:v>38</c:v>
                </c:pt>
              </c:numCache>
            </c:numRef>
          </c:yVal>
          <c:smooth val="0"/>
          <c:extLst>
            <c:ext xmlns:c16="http://schemas.microsoft.com/office/drawing/2014/chart" uri="{C3380CC4-5D6E-409C-BE32-E72D297353CC}">
              <c16:uniqueId val="{00000003-8EC9-457E-8E26-8E9DDBED1EF1}"/>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Armament Provisions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Summary!$C$139:$S$139</c:f>
              <c:numCache>
                <c:formatCode>General</c:formatCode>
                <c:ptCount val="17"/>
                <c:pt idx="0">
                  <c:v>107</c:v>
                </c:pt>
                <c:pt idx="1">
                  <c:v>189</c:v>
                </c:pt>
                <c:pt idx="2">
                  <c:v>189</c:v>
                </c:pt>
                <c:pt idx="3">
                  <c:v>174</c:v>
                </c:pt>
                <c:pt idx="4">
                  <c:v>174</c:v>
                </c:pt>
                <c:pt idx="6">
                  <c:v>956</c:v>
                </c:pt>
                <c:pt idx="12">
                  <c:v>1241</c:v>
                </c:pt>
                <c:pt idx="16">
                  <c:v>1014</c:v>
                </c:pt>
              </c:numCache>
            </c:numRef>
          </c:xVal>
          <c:yVal>
            <c:numRef>
              <c:f>Summary!$C$119:$S$119</c:f>
              <c:numCache>
                <c:formatCode>General</c:formatCode>
                <c:ptCount val="17"/>
                <c:pt idx="6">
                  <c:v>267</c:v>
                </c:pt>
                <c:pt idx="7">
                  <c:v>328</c:v>
                </c:pt>
                <c:pt idx="8">
                  <c:v>313</c:v>
                </c:pt>
                <c:pt idx="9">
                  <c:v>321</c:v>
                </c:pt>
                <c:pt idx="10">
                  <c:v>320</c:v>
                </c:pt>
                <c:pt idx="12">
                  <c:v>221</c:v>
                </c:pt>
                <c:pt idx="13">
                  <c:v>183.2</c:v>
                </c:pt>
                <c:pt idx="14">
                  <c:v>203.1</c:v>
                </c:pt>
                <c:pt idx="15">
                  <c:v>246</c:v>
                </c:pt>
                <c:pt idx="16">
                  <c:v>292</c:v>
                </c:pt>
              </c:numCache>
            </c:numRef>
          </c:yVal>
          <c:smooth val="0"/>
          <c:extLst>
            <c:ext xmlns:c16="http://schemas.microsoft.com/office/drawing/2014/chart" uri="{C3380CC4-5D6E-409C-BE32-E72D297353CC}">
              <c16:uniqueId val="{00000000-B326-4E18-B3D1-146A5F20F1C6}"/>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Summary!$AE$139:$BG$139</c:f>
              <c:numCache>
                <c:formatCode>General</c:formatCode>
                <c:ptCount val="29"/>
                <c:pt idx="0">
                  <c:v>221.3</c:v>
                </c:pt>
                <c:pt idx="1">
                  <c:v>214</c:v>
                </c:pt>
                <c:pt idx="2">
                  <c:v>214</c:v>
                </c:pt>
                <c:pt idx="3">
                  <c:v>221.3</c:v>
                </c:pt>
                <c:pt idx="4">
                  <c:v>214</c:v>
                </c:pt>
                <c:pt idx="5">
                  <c:v>692.5</c:v>
                </c:pt>
                <c:pt idx="7">
                  <c:v>690</c:v>
                </c:pt>
                <c:pt idx="9">
                  <c:v>207.9</c:v>
                </c:pt>
                <c:pt idx="10">
                  <c:v>403</c:v>
                </c:pt>
                <c:pt idx="11">
                  <c:v>794.7</c:v>
                </c:pt>
                <c:pt idx="12">
                  <c:v>755.3</c:v>
                </c:pt>
                <c:pt idx="14">
                  <c:v>546.1</c:v>
                </c:pt>
                <c:pt idx="16">
                  <c:v>882</c:v>
                </c:pt>
                <c:pt idx="17">
                  <c:v>554.20000000000005</c:v>
                </c:pt>
                <c:pt idx="19">
                  <c:v>767.2</c:v>
                </c:pt>
                <c:pt idx="20">
                  <c:v>768.7</c:v>
                </c:pt>
                <c:pt idx="21">
                  <c:v>1170</c:v>
                </c:pt>
                <c:pt idx="22">
                  <c:v>1130.2</c:v>
                </c:pt>
                <c:pt idx="24">
                  <c:v>801.30000000000007</c:v>
                </c:pt>
                <c:pt idx="26">
                  <c:v>1170</c:v>
                </c:pt>
                <c:pt idx="27">
                  <c:v>1170</c:v>
                </c:pt>
                <c:pt idx="28">
                  <c:v>660</c:v>
                </c:pt>
              </c:numCache>
            </c:numRef>
          </c:xVal>
          <c:yVal>
            <c:numRef>
              <c:f>Summary!$AE$119:$BG$119</c:f>
              <c:numCache>
                <c:formatCode>General</c:formatCode>
                <c:ptCount val="29"/>
                <c:pt idx="6">
                  <c:v>230</c:v>
                </c:pt>
                <c:pt idx="7">
                  <c:v>225</c:v>
                </c:pt>
                <c:pt idx="8">
                  <c:v>0</c:v>
                </c:pt>
                <c:pt idx="13">
                  <c:v>155</c:v>
                </c:pt>
                <c:pt idx="14">
                  <c:v>155</c:v>
                </c:pt>
                <c:pt idx="15">
                  <c:v>162.5</c:v>
                </c:pt>
                <c:pt idx="16">
                  <c:v>237</c:v>
                </c:pt>
                <c:pt idx="17">
                  <c:v>162.5</c:v>
                </c:pt>
                <c:pt idx="18">
                  <c:v>223</c:v>
                </c:pt>
                <c:pt idx="19">
                  <c:v>336</c:v>
                </c:pt>
                <c:pt idx="20">
                  <c:v>329.4</c:v>
                </c:pt>
                <c:pt idx="21">
                  <c:v>347</c:v>
                </c:pt>
                <c:pt idx="22">
                  <c:v>310.3</c:v>
                </c:pt>
                <c:pt idx="23">
                  <c:v>288.8</c:v>
                </c:pt>
                <c:pt idx="24">
                  <c:v>341.6</c:v>
                </c:pt>
                <c:pt idx="25">
                  <c:v>313.60000000000002</c:v>
                </c:pt>
                <c:pt idx="26">
                  <c:v>332</c:v>
                </c:pt>
                <c:pt idx="27">
                  <c:v>302</c:v>
                </c:pt>
                <c:pt idx="28">
                  <c:v>216</c:v>
                </c:pt>
              </c:numCache>
            </c:numRef>
          </c:yVal>
          <c:smooth val="0"/>
          <c:extLst>
            <c:ext xmlns:c16="http://schemas.microsoft.com/office/drawing/2014/chart" uri="{C3380CC4-5D6E-409C-BE32-E72D297353CC}">
              <c16:uniqueId val="{00000001-B326-4E18-B3D1-146A5F20F1C6}"/>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Summary!$BI$139:$BP$139</c:f>
              <c:numCache>
                <c:formatCode>General</c:formatCode>
                <c:ptCount val="8"/>
                <c:pt idx="0">
                  <c:v>268</c:v>
                </c:pt>
                <c:pt idx="1">
                  <c:v>400</c:v>
                </c:pt>
                <c:pt idx="3">
                  <c:v>976</c:v>
                </c:pt>
                <c:pt idx="4">
                  <c:v>775</c:v>
                </c:pt>
                <c:pt idx="5">
                  <c:v>508</c:v>
                </c:pt>
                <c:pt idx="7">
                  <c:v>455</c:v>
                </c:pt>
              </c:numCache>
            </c:numRef>
          </c:xVal>
          <c:yVal>
            <c:numRef>
              <c:f>Summary!$BI$119:$BP$119</c:f>
              <c:numCache>
                <c:formatCode>General</c:formatCode>
                <c:ptCount val="8"/>
                <c:pt idx="1">
                  <c:v>246</c:v>
                </c:pt>
                <c:pt idx="3">
                  <c:v>587</c:v>
                </c:pt>
                <c:pt idx="4">
                  <c:v>471</c:v>
                </c:pt>
                <c:pt idx="5">
                  <c:v>363</c:v>
                </c:pt>
                <c:pt idx="7">
                  <c:v>938</c:v>
                </c:pt>
              </c:numCache>
            </c:numRef>
          </c:yVal>
          <c:smooth val="0"/>
          <c:extLst>
            <c:ext xmlns:c16="http://schemas.microsoft.com/office/drawing/2014/chart" uri="{C3380CC4-5D6E-409C-BE32-E72D297353CC}">
              <c16:uniqueId val="{00000002-B326-4E18-B3D1-146A5F20F1C6}"/>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Summary!$BR$139:$CA$139</c:f>
              <c:numCache>
                <c:formatCode>General</c:formatCode>
                <c:ptCount val="10"/>
              </c:numCache>
            </c:numRef>
          </c:xVal>
          <c:yVal>
            <c:numRef>
              <c:f>Summary!$BR$119:$CA$119</c:f>
              <c:numCache>
                <c:formatCode>General</c:formatCode>
                <c:ptCount val="10"/>
                <c:pt idx="7">
                  <c:v>24</c:v>
                </c:pt>
                <c:pt idx="8">
                  <c:v>38</c:v>
                </c:pt>
              </c:numCache>
            </c:numRef>
          </c:yVal>
          <c:smooth val="0"/>
          <c:extLst>
            <c:ext xmlns:c16="http://schemas.microsoft.com/office/drawing/2014/chart" uri="{C3380CC4-5D6E-409C-BE32-E72D297353CC}">
              <c16:uniqueId val="{00000003-B326-4E18-B3D1-146A5F20F1C6}"/>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Armament Weight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Other Systems &amp; Equipment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Summary!$C$122:$S$122</c:f>
              <c:numCache>
                <c:formatCode>General</c:formatCode>
                <c:ptCount val="17"/>
              </c:numCache>
            </c:numRef>
          </c:yVal>
          <c:smooth val="0"/>
          <c:extLst>
            <c:ext xmlns:c16="http://schemas.microsoft.com/office/drawing/2014/chart" uri="{C3380CC4-5D6E-409C-BE32-E72D297353CC}">
              <c16:uniqueId val="{00000000-6514-40A4-B190-1AB1F31C2EDB}"/>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Summary!$AE$122:$BG$122</c:f>
              <c:numCache>
                <c:formatCode>General</c:formatCode>
                <c:ptCount val="29"/>
                <c:pt idx="6">
                  <c:v>26</c:v>
                </c:pt>
                <c:pt idx="8">
                  <c:v>9.6999999999999993</c:v>
                </c:pt>
                <c:pt idx="9">
                  <c:v>8.1</c:v>
                </c:pt>
                <c:pt idx="13">
                  <c:v>30</c:v>
                </c:pt>
                <c:pt idx="14">
                  <c:v>23</c:v>
                </c:pt>
                <c:pt idx="15">
                  <c:v>30</c:v>
                </c:pt>
                <c:pt idx="17">
                  <c:v>1</c:v>
                </c:pt>
                <c:pt idx="18">
                  <c:v>50</c:v>
                </c:pt>
              </c:numCache>
            </c:numRef>
          </c:yVal>
          <c:smooth val="0"/>
          <c:extLst>
            <c:ext xmlns:c16="http://schemas.microsoft.com/office/drawing/2014/chart" uri="{C3380CC4-5D6E-409C-BE32-E72D297353CC}">
              <c16:uniqueId val="{00000001-6514-40A4-B190-1AB1F31C2EDB}"/>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Summary!$BI$122:$BP$122</c:f>
              <c:numCache>
                <c:formatCode>General</c:formatCode>
                <c:ptCount val="8"/>
              </c:numCache>
            </c:numRef>
          </c:yVal>
          <c:smooth val="0"/>
          <c:extLst>
            <c:ext xmlns:c16="http://schemas.microsoft.com/office/drawing/2014/chart" uri="{C3380CC4-5D6E-409C-BE32-E72D297353CC}">
              <c16:uniqueId val="{00000002-6514-40A4-B190-1AB1F31C2EDB}"/>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Summary!$BR$122:$CA$122</c:f>
              <c:numCache>
                <c:formatCode>General</c:formatCode>
                <c:ptCount val="10"/>
                <c:pt idx="4">
                  <c:v>12.75</c:v>
                </c:pt>
              </c:numCache>
            </c:numRef>
          </c:yVal>
          <c:smooth val="0"/>
          <c:extLst>
            <c:ext xmlns:c16="http://schemas.microsoft.com/office/drawing/2014/chart" uri="{C3380CC4-5D6E-409C-BE32-E72D297353CC}">
              <c16:uniqueId val="{00000003-6514-40A4-B190-1AB1F31C2EDB}"/>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Total Propulsion Group</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Summary!$C$92:$S$92</c:f>
              <c:numCache>
                <c:formatCode>General</c:formatCode>
                <c:ptCount val="17"/>
                <c:pt idx="0">
                  <c:v>1012</c:v>
                </c:pt>
                <c:pt idx="1">
                  <c:v>1828</c:v>
                </c:pt>
                <c:pt idx="2">
                  <c:v>2004</c:v>
                </c:pt>
                <c:pt idx="3">
                  <c:v>1985</c:v>
                </c:pt>
                <c:pt idx="4">
                  <c:v>2170</c:v>
                </c:pt>
                <c:pt idx="5">
                  <c:v>2645</c:v>
                </c:pt>
                <c:pt idx="6">
                  <c:v>2641</c:v>
                </c:pt>
                <c:pt idx="7">
                  <c:v>2867</c:v>
                </c:pt>
                <c:pt idx="8">
                  <c:v>2731</c:v>
                </c:pt>
                <c:pt idx="9">
                  <c:v>2786</c:v>
                </c:pt>
                <c:pt idx="10">
                  <c:v>2756</c:v>
                </c:pt>
                <c:pt idx="11">
                  <c:v>1923</c:v>
                </c:pt>
                <c:pt idx="12">
                  <c:v>4037</c:v>
                </c:pt>
                <c:pt idx="13">
                  <c:v>4324.3</c:v>
                </c:pt>
                <c:pt idx="14">
                  <c:v>4593.6000000000004</c:v>
                </c:pt>
                <c:pt idx="15">
                  <c:v>3292</c:v>
                </c:pt>
                <c:pt idx="16">
                  <c:v>3391</c:v>
                </c:pt>
              </c:numCache>
            </c:numRef>
          </c:yVal>
          <c:smooth val="0"/>
          <c:extLst>
            <c:ext xmlns:c16="http://schemas.microsoft.com/office/drawing/2014/chart" uri="{C3380CC4-5D6E-409C-BE32-E72D297353CC}">
              <c16:uniqueId val="{00000000-EBF4-4BCA-844B-41CC1ADB2BCC}"/>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Summary!$AE$92:$BG$92</c:f>
              <c:numCache>
                <c:formatCode>General</c:formatCode>
                <c:ptCount val="29"/>
                <c:pt idx="0">
                  <c:v>1540.5</c:v>
                </c:pt>
                <c:pt idx="1">
                  <c:v>1552.8</c:v>
                </c:pt>
                <c:pt idx="2">
                  <c:v>1555.3</c:v>
                </c:pt>
                <c:pt idx="4">
                  <c:v>1893.6</c:v>
                </c:pt>
                <c:pt idx="5">
                  <c:v>2087.9</c:v>
                </c:pt>
                <c:pt idx="6">
                  <c:v>2138</c:v>
                </c:pt>
                <c:pt idx="7">
                  <c:v>2130</c:v>
                </c:pt>
                <c:pt idx="8">
                  <c:v>1555.3999999999999</c:v>
                </c:pt>
                <c:pt idx="9">
                  <c:v>1555.8999999999999</c:v>
                </c:pt>
                <c:pt idx="10">
                  <c:v>1838.9</c:v>
                </c:pt>
                <c:pt idx="11">
                  <c:v>1819.8</c:v>
                </c:pt>
                <c:pt idx="12">
                  <c:v>1896.4</c:v>
                </c:pt>
                <c:pt idx="13">
                  <c:v>2450</c:v>
                </c:pt>
                <c:pt idx="14">
                  <c:v>2432</c:v>
                </c:pt>
                <c:pt idx="15">
                  <c:v>2493</c:v>
                </c:pt>
                <c:pt idx="16">
                  <c:v>2553</c:v>
                </c:pt>
                <c:pt idx="17">
                  <c:v>2493</c:v>
                </c:pt>
                <c:pt idx="18">
                  <c:v>2176</c:v>
                </c:pt>
                <c:pt idx="19">
                  <c:v>3767.7</c:v>
                </c:pt>
                <c:pt idx="20">
                  <c:v>3747.7</c:v>
                </c:pt>
                <c:pt idx="21">
                  <c:v>4018</c:v>
                </c:pt>
                <c:pt idx="22">
                  <c:v>4024.9</c:v>
                </c:pt>
                <c:pt idx="23">
                  <c:v>3964.5</c:v>
                </c:pt>
                <c:pt idx="24">
                  <c:v>3964.0000000000005</c:v>
                </c:pt>
                <c:pt idx="25">
                  <c:v>3986.1000000000004</c:v>
                </c:pt>
                <c:pt idx="26">
                  <c:v>3975</c:v>
                </c:pt>
                <c:pt idx="27">
                  <c:v>3969</c:v>
                </c:pt>
                <c:pt idx="28">
                  <c:v>3419</c:v>
                </c:pt>
              </c:numCache>
            </c:numRef>
          </c:yVal>
          <c:smooth val="0"/>
          <c:extLst>
            <c:ext xmlns:c16="http://schemas.microsoft.com/office/drawing/2014/chart" uri="{C3380CC4-5D6E-409C-BE32-E72D297353CC}">
              <c16:uniqueId val="{00000001-EBF4-4BCA-844B-41CC1ADB2BCC}"/>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Summary!$BI$92:$BP$92</c:f>
              <c:numCache>
                <c:formatCode>General</c:formatCode>
                <c:ptCount val="8"/>
                <c:pt idx="0">
                  <c:v>1730</c:v>
                </c:pt>
                <c:pt idx="1">
                  <c:v>2288</c:v>
                </c:pt>
                <c:pt idx="2">
                  <c:v>3470.5</c:v>
                </c:pt>
                <c:pt idx="3">
                  <c:v>4173</c:v>
                </c:pt>
                <c:pt idx="4">
                  <c:v>3360</c:v>
                </c:pt>
                <c:pt idx="5">
                  <c:v>3996</c:v>
                </c:pt>
                <c:pt idx="7">
                  <c:v>3214</c:v>
                </c:pt>
              </c:numCache>
            </c:numRef>
          </c:yVal>
          <c:smooth val="0"/>
          <c:extLst>
            <c:ext xmlns:c16="http://schemas.microsoft.com/office/drawing/2014/chart" uri="{C3380CC4-5D6E-409C-BE32-E72D297353CC}">
              <c16:uniqueId val="{00000002-EBF4-4BCA-844B-41CC1ADB2BCC}"/>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Summary!$BR$92:$CA$92</c:f>
              <c:numCache>
                <c:formatCode>General</c:formatCode>
                <c:ptCount val="10"/>
                <c:pt idx="0">
                  <c:v>535</c:v>
                </c:pt>
                <c:pt idx="1">
                  <c:v>451</c:v>
                </c:pt>
                <c:pt idx="2">
                  <c:v>895</c:v>
                </c:pt>
                <c:pt idx="3">
                  <c:v>1082</c:v>
                </c:pt>
                <c:pt idx="4">
                  <c:v>1047.01</c:v>
                </c:pt>
                <c:pt idx="5">
                  <c:v>1018</c:v>
                </c:pt>
                <c:pt idx="6">
                  <c:v>1303</c:v>
                </c:pt>
                <c:pt idx="7">
                  <c:v>1333</c:v>
                </c:pt>
                <c:pt idx="8">
                  <c:v>1386</c:v>
                </c:pt>
                <c:pt idx="9">
                  <c:v>714</c:v>
                </c:pt>
              </c:numCache>
            </c:numRef>
          </c:yVal>
          <c:smooth val="0"/>
          <c:extLst>
            <c:ext xmlns:c16="http://schemas.microsoft.com/office/drawing/2014/chart" uri="{C3380CC4-5D6E-409C-BE32-E72D297353CC}">
              <c16:uniqueId val="{00000003-EBF4-4BCA-844B-41CC1ADB2BCC}"/>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Weight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Fuselage Length vs Overall Length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rgbClr val="0070C0"/>
              </a:solidFill>
              <a:ln w="9525">
                <a:solidFill>
                  <a:srgbClr val="0070C0"/>
                </a:solidFill>
              </a:ln>
              <a:effectLst/>
            </c:spPr>
          </c:marker>
          <c:trendline>
            <c:spPr>
              <a:ln w="19050" cap="rnd">
                <a:solidFill>
                  <a:schemeClr val="accent5"/>
                </a:solidFill>
                <a:prstDash val="sysDot"/>
              </a:ln>
              <a:effectLst/>
            </c:spPr>
            <c:trendlineType val="linear"/>
            <c:intercept val="0"/>
            <c:dispRSqr val="1"/>
            <c:dispEq val="1"/>
            <c:trendlineLbl>
              <c:layout>
                <c:manualLayout>
                  <c:x val="0.12346991981511569"/>
                  <c:y val="-9.1289424593811799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Summary!$C$46:$CA$46</c:f>
              <c:numCache>
                <c:formatCode>0.0</c:formatCode>
                <c:ptCount val="77"/>
                <c:pt idx="0" formatCode="0.00">
                  <c:v>23.833333333333332</c:v>
                </c:pt>
                <c:pt idx="1">
                  <c:v>25.33</c:v>
                </c:pt>
                <c:pt idx="2" formatCode="General">
                  <c:v>28.85</c:v>
                </c:pt>
                <c:pt idx="3" formatCode="General">
                  <c:v>28.8</c:v>
                </c:pt>
                <c:pt idx="4" formatCode="General">
                  <c:v>28.8</c:v>
                </c:pt>
                <c:pt idx="5">
                  <c:v>31.729166666666668</c:v>
                </c:pt>
                <c:pt idx="6">
                  <c:v>31.729166666666668</c:v>
                </c:pt>
                <c:pt idx="7">
                  <c:v>31.630208333333332</c:v>
                </c:pt>
                <c:pt idx="8" formatCode="0.00">
                  <c:v>33.309895833333336</c:v>
                </c:pt>
                <c:pt idx="9" formatCode="0.00">
                  <c:v>33.309895833333336</c:v>
                </c:pt>
                <c:pt idx="10" formatCode="0.00">
                  <c:v>33.309895833333336</c:v>
                </c:pt>
                <c:pt idx="11" formatCode="0.00">
                  <c:v>33.309895833333336</c:v>
                </c:pt>
                <c:pt idx="12" formatCode="General">
                  <c:v>35.340000000000003</c:v>
                </c:pt>
                <c:pt idx="13" formatCode="General">
                  <c:v>35.340000000000003</c:v>
                </c:pt>
                <c:pt idx="14" formatCode="General">
                  <c:v>35.340000000000003</c:v>
                </c:pt>
                <c:pt idx="18" formatCode="0.00">
                  <c:v>30.166666666666668</c:v>
                </c:pt>
                <c:pt idx="19" formatCode="General">
                  <c:v>30.13</c:v>
                </c:pt>
                <c:pt idx="20" formatCode="General">
                  <c:v>30.13</c:v>
                </c:pt>
                <c:pt idx="21" formatCode="General">
                  <c:v>30.13</c:v>
                </c:pt>
                <c:pt idx="22" formatCode="General">
                  <c:v>30.13</c:v>
                </c:pt>
                <c:pt idx="23" formatCode="General">
                  <c:v>30.13</c:v>
                </c:pt>
                <c:pt idx="24" formatCode="General">
                  <c:v>31.33</c:v>
                </c:pt>
                <c:pt idx="25" formatCode="General">
                  <c:v>31.33</c:v>
                </c:pt>
                <c:pt idx="26" formatCode="General">
                  <c:v>31.33</c:v>
                </c:pt>
                <c:pt idx="28" formatCode="0.00">
                  <c:v>25.614583333333332</c:v>
                </c:pt>
                <c:pt idx="29" formatCode="0.00">
                  <c:v>25.614583333333332</c:v>
                </c:pt>
                <c:pt idx="30" formatCode="0.00">
                  <c:v>25.614583333333332</c:v>
                </c:pt>
                <c:pt idx="31" formatCode="0.00">
                  <c:v>25.614583333333332</c:v>
                </c:pt>
                <c:pt idx="32" formatCode="0.00">
                  <c:v>25.614583333333332</c:v>
                </c:pt>
                <c:pt idx="33" formatCode="0.00">
                  <c:v>26.364583333333332</c:v>
                </c:pt>
                <c:pt idx="34" formatCode="0.00">
                  <c:v>26.364583333333332</c:v>
                </c:pt>
                <c:pt idx="35" formatCode="0.00">
                  <c:v>26.364583333333332</c:v>
                </c:pt>
                <c:pt idx="36" formatCode="0.00">
                  <c:v>26.005208333333332</c:v>
                </c:pt>
                <c:pt idx="37" formatCode="0.00">
                  <c:v>26.041666666666668</c:v>
                </c:pt>
                <c:pt idx="38" formatCode="0.00">
                  <c:v>26.005208333333332</c:v>
                </c:pt>
                <c:pt idx="39" formatCode="0.00">
                  <c:v>26.005208333333332</c:v>
                </c:pt>
                <c:pt idx="40" formatCode="0.00">
                  <c:v>26.005208333333332</c:v>
                </c:pt>
                <c:pt idx="41" formatCode="0.00">
                  <c:v>28.781666666666666</c:v>
                </c:pt>
                <c:pt idx="42" formatCode="0.00">
                  <c:v>28.781666666666666</c:v>
                </c:pt>
                <c:pt idx="43" formatCode="0.00">
                  <c:v>28.885416666666668</c:v>
                </c:pt>
                <c:pt idx="44" formatCode="0.00">
                  <c:v>28.885416666666668</c:v>
                </c:pt>
                <c:pt idx="45" formatCode="0.00">
                  <c:v>28.885416666666668</c:v>
                </c:pt>
                <c:pt idx="47" formatCode="0.00">
                  <c:v>33.344166666666666</c:v>
                </c:pt>
                <c:pt idx="48" formatCode="0.00">
                  <c:v>33.344166666666666</c:v>
                </c:pt>
                <c:pt idx="49" formatCode="General">
                  <c:v>33.25</c:v>
                </c:pt>
                <c:pt idx="50" formatCode="0.00">
                  <c:v>33.69166666666667</c:v>
                </c:pt>
                <c:pt idx="51" formatCode="0.00">
                  <c:v>33.833333333333336</c:v>
                </c:pt>
                <c:pt idx="52" formatCode="0.00">
                  <c:v>33.833333333333336</c:v>
                </c:pt>
                <c:pt idx="53" formatCode="0.00">
                  <c:v>33.833333333333336</c:v>
                </c:pt>
                <c:pt idx="54" formatCode="0.00">
                  <c:v>33.833333333333336</c:v>
                </c:pt>
                <c:pt idx="55" formatCode="0.00">
                  <c:v>33.833333333333336</c:v>
                </c:pt>
                <c:pt idx="56" formatCode="General">
                  <c:v>27.5</c:v>
                </c:pt>
                <c:pt idx="58" formatCode="General">
                  <c:v>32.1</c:v>
                </c:pt>
                <c:pt idx="59" formatCode="0.00">
                  <c:v>31.00888888888889</c:v>
                </c:pt>
                <c:pt idx="60" formatCode="0.00">
                  <c:v>39.75</c:v>
                </c:pt>
                <c:pt idx="61" formatCode="0.00">
                  <c:v>39.166666666666664</c:v>
                </c:pt>
                <c:pt idx="62" formatCode="General">
                  <c:v>33.61</c:v>
                </c:pt>
                <c:pt idx="63" formatCode="0.00">
                  <c:v>39.666666666666664</c:v>
                </c:pt>
                <c:pt idx="65" formatCode="General">
                  <c:v>39.9</c:v>
                </c:pt>
                <c:pt idx="70" formatCode="General">
                  <c:v>28</c:v>
                </c:pt>
                <c:pt idx="71" formatCode="0.00">
                  <c:v>29.161666666666665</c:v>
                </c:pt>
                <c:pt idx="72" formatCode="General">
                  <c:v>27.8</c:v>
                </c:pt>
                <c:pt idx="74" formatCode="0.00">
                  <c:v>28.989583333333332</c:v>
                </c:pt>
                <c:pt idx="75" formatCode="0.00">
                  <c:v>28.989583333333332</c:v>
                </c:pt>
              </c:numCache>
            </c:numRef>
          </c:xVal>
          <c:yVal>
            <c:numRef>
              <c:f>Summary!$C$47:$CA$47</c:f>
              <c:numCache>
                <c:formatCode>General</c:formatCode>
                <c:ptCount val="77"/>
                <c:pt idx="0">
                  <c:v>20.9</c:v>
                </c:pt>
                <c:pt idx="1">
                  <c:v>23.2</c:v>
                </c:pt>
                <c:pt idx="2">
                  <c:v>24.4</c:v>
                </c:pt>
                <c:pt idx="3">
                  <c:v>26.799999999999997</c:v>
                </c:pt>
                <c:pt idx="4">
                  <c:v>26.799999999999997</c:v>
                </c:pt>
                <c:pt idx="5">
                  <c:v>27</c:v>
                </c:pt>
                <c:pt idx="6">
                  <c:v>27</c:v>
                </c:pt>
                <c:pt idx="11" formatCode="0.00">
                  <c:v>27.958333333333332</c:v>
                </c:pt>
                <c:pt idx="12">
                  <c:v>31</c:v>
                </c:pt>
                <c:pt idx="16">
                  <c:v>27.8</c:v>
                </c:pt>
                <c:pt idx="17">
                  <c:v>29.5</c:v>
                </c:pt>
                <c:pt idx="19">
                  <c:v>26.3</c:v>
                </c:pt>
                <c:pt idx="20">
                  <c:v>26.3</c:v>
                </c:pt>
                <c:pt idx="28">
                  <c:v>26.1</c:v>
                </c:pt>
                <c:pt idx="41">
                  <c:v>26.92</c:v>
                </c:pt>
                <c:pt idx="42">
                  <c:v>26.92</c:v>
                </c:pt>
                <c:pt idx="43">
                  <c:v>25.2</c:v>
                </c:pt>
                <c:pt idx="44">
                  <c:v>25.2</c:v>
                </c:pt>
                <c:pt idx="45">
                  <c:v>25.2</c:v>
                </c:pt>
                <c:pt idx="46">
                  <c:v>25.2</c:v>
                </c:pt>
                <c:pt idx="50" formatCode="0.00">
                  <c:v>44.69166666666667</c:v>
                </c:pt>
                <c:pt idx="51">
                  <c:v>31.5</c:v>
                </c:pt>
                <c:pt idx="52">
                  <c:v>31.5</c:v>
                </c:pt>
                <c:pt idx="53">
                  <c:v>31.5</c:v>
                </c:pt>
                <c:pt idx="54">
                  <c:v>31.5</c:v>
                </c:pt>
                <c:pt idx="55">
                  <c:v>31.5</c:v>
                </c:pt>
                <c:pt idx="58">
                  <c:v>28.6</c:v>
                </c:pt>
                <c:pt idx="59">
                  <c:v>29.8</c:v>
                </c:pt>
                <c:pt idx="61">
                  <c:v>34.799999999999997</c:v>
                </c:pt>
                <c:pt idx="62">
                  <c:v>32.5</c:v>
                </c:pt>
                <c:pt idx="63">
                  <c:v>34.1</c:v>
                </c:pt>
                <c:pt idx="65">
                  <c:v>35.799999999999997</c:v>
                </c:pt>
                <c:pt idx="67">
                  <c:v>28</c:v>
                </c:pt>
                <c:pt idx="68">
                  <c:v>22.5</c:v>
                </c:pt>
                <c:pt idx="69">
                  <c:v>24.3</c:v>
                </c:pt>
                <c:pt idx="70">
                  <c:v>27.6</c:v>
                </c:pt>
                <c:pt idx="72">
                  <c:v>28.8</c:v>
                </c:pt>
                <c:pt idx="73">
                  <c:v>27.8</c:v>
                </c:pt>
                <c:pt idx="74">
                  <c:v>29</c:v>
                </c:pt>
              </c:numCache>
            </c:numRef>
          </c:yVal>
          <c:smooth val="0"/>
          <c:extLst>
            <c:ext xmlns:c16="http://schemas.microsoft.com/office/drawing/2014/chart" uri="{C3380CC4-5D6E-409C-BE32-E72D297353CC}">
              <c16:uniqueId val="{00000001-D788-483F-A6D1-C75E7F52774C}"/>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Summary!$C$46:$AC$46</c:f>
              <c:numCache>
                <c:formatCode>0.0</c:formatCode>
                <c:ptCount val="27"/>
                <c:pt idx="0" formatCode="0.00">
                  <c:v>23.833333333333332</c:v>
                </c:pt>
                <c:pt idx="1">
                  <c:v>25.33</c:v>
                </c:pt>
                <c:pt idx="2" formatCode="General">
                  <c:v>28.85</c:v>
                </c:pt>
                <c:pt idx="3" formatCode="General">
                  <c:v>28.8</c:v>
                </c:pt>
                <c:pt idx="4" formatCode="General">
                  <c:v>28.8</c:v>
                </c:pt>
                <c:pt idx="5">
                  <c:v>31.729166666666668</c:v>
                </c:pt>
                <c:pt idx="6">
                  <c:v>31.729166666666668</c:v>
                </c:pt>
                <c:pt idx="7">
                  <c:v>31.630208333333332</c:v>
                </c:pt>
                <c:pt idx="8" formatCode="0.00">
                  <c:v>33.309895833333336</c:v>
                </c:pt>
                <c:pt idx="9" formatCode="0.00">
                  <c:v>33.309895833333336</c:v>
                </c:pt>
                <c:pt idx="10" formatCode="0.00">
                  <c:v>33.309895833333336</c:v>
                </c:pt>
                <c:pt idx="11" formatCode="0.00">
                  <c:v>33.309895833333336</c:v>
                </c:pt>
                <c:pt idx="12" formatCode="General">
                  <c:v>35.340000000000003</c:v>
                </c:pt>
                <c:pt idx="13" formatCode="General">
                  <c:v>35.340000000000003</c:v>
                </c:pt>
                <c:pt idx="14" formatCode="General">
                  <c:v>35.340000000000003</c:v>
                </c:pt>
                <c:pt idx="18" formatCode="0.00">
                  <c:v>30.166666666666668</c:v>
                </c:pt>
                <c:pt idx="19" formatCode="General">
                  <c:v>30.13</c:v>
                </c:pt>
                <c:pt idx="20" formatCode="General">
                  <c:v>30.13</c:v>
                </c:pt>
                <c:pt idx="21" formatCode="General">
                  <c:v>30.13</c:v>
                </c:pt>
                <c:pt idx="22" formatCode="General">
                  <c:v>30.13</c:v>
                </c:pt>
                <c:pt idx="23" formatCode="General">
                  <c:v>30.13</c:v>
                </c:pt>
                <c:pt idx="24" formatCode="General">
                  <c:v>31.33</c:v>
                </c:pt>
                <c:pt idx="25" formatCode="General">
                  <c:v>31.33</c:v>
                </c:pt>
                <c:pt idx="26" formatCode="General">
                  <c:v>31.33</c:v>
                </c:pt>
              </c:numCache>
            </c:numRef>
          </c:xVal>
          <c:yVal>
            <c:numRef>
              <c:f>Summary!$C$47:$AC$47</c:f>
              <c:numCache>
                <c:formatCode>General</c:formatCode>
                <c:ptCount val="27"/>
                <c:pt idx="0">
                  <c:v>20.9</c:v>
                </c:pt>
                <c:pt idx="1">
                  <c:v>23.2</c:v>
                </c:pt>
                <c:pt idx="2">
                  <c:v>24.4</c:v>
                </c:pt>
                <c:pt idx="3">
                  <c:v>26.799999999999997</c:v>
                </c:pt>
                <c:pt idx="4">
                  <c:v>26.799999999999997</c:v>
                </c:pt>
                <c:pt idx="5">
                  <c:v>27</c:v>
                </c:pt>
                <c:pt idx="6">
                  <c:v>27</c:v>
                </c:pt>
                <c:pt idx="11" formatCode="0.00">
                  <c:v>27.958333333333332</c:v>
                </c:pt>
                <c:pt idx="12">
                  <c:v>31</c:v>
                </c:pt>
                <c:pt idx="16">
                  <c:v>27.8</c:v>
                </c:pt>
                <c:pt idx="17">
                  <c:v>29.5</c:v>
                </c:pt>
                <c:pt idx="19">
                  <c:v>26.3</c:v>
                </c:pt>
                <c:pt idx="20">
                  <c:v>26.3</c:v>
                </c:pt>
              </c:numCache>
            </c:numRef>
          </c:yVal>
          <c:smooth val="0"/>
          <c:extLst>
            <c:ext xmlns:c16="http://schemas.microsoft.com/office/drawing/2014/chart" uri="{C3380CC4-5D6E-409C-BE32-E72D297353CC}">
              <c16:uniqueId val="{00000002-D788-483F-A6D1-C75E7F52774C}"/>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Summary!$AE$46:$BG$46</c:f>
              <c:numCache>
                <c:formatCode>0.00</c:formatCode>
                <c:ptCount val="29"/>
                <c:pt idx="0">
                  <c:v>25.614583333333332</c:v>
                </c:pt>
                <c:pt idx="1">
                  <c:v>25.614583333333332</c:v>
                </c:pt>
                <c:pt idx="2">
                  <c:v>25.614583333333332</c:v>
                </c:pt>
                <c:pt idx="3">
                  <c:v>25.614583333333332</c:v>
                </c:pt>
                <c:pt idx="4">
                  <c:v>25.614583333333332</c:v>
                </c:pt>
                <c:pt idx="5">
                  <c:v>26.364583333333332</c:v>
                </c:pt>
                <c:pt idx="6">
                  <c:v>26.364583333333332</c:v>
                </c:pt>
                <c:pt idx="7">
                  <c:v>26.364583333333332</c:v>
                </c:pt>
                <c:pt idx="8">
                  <c:v>26.005208333333332</c:v>
                </c:pt>
                <c:pt idx="9">
                  <c:v>26.041666666666668</c:v>
                </c:pt>
                <c:pt idx="10">
                  <c:v>26.005208333333332</c:v>
                </c:pt>
                <c:pt idx="11">
                  <c:v>26.005208333333332</c:v>
                </c:pt>
                <c:pt idx="12">
                  <c:v>26.005208333333332</c:v>
                </c:pt>
                <c:pt idx="13">
                  <c:v>28.781666666666666</c:v>
                </c:pt>
                <c:pt idx="14">
                  <c:v>28.781666666666666</c:v>
                </c:pt>
                <c:pt idx="15">
                  <c:v>28.885416666666668</c:v>
                </c:pt>
                <c:pt idx="16">
                  <c:v>28.885416666666668</c:v>
                </c:pt>
                <c:pt idx="17">
                  <c:v>28.885416666666668</c:v>
                </c:pt>
                <c:pt idx="19">
                  <c:v>33.344166666666666</c:v>
                </c:pt>
                <c:pt idx="20">
                  <c:v>33.344166666666666</c:v>
                </c:pt>
                <c:pt idx="21" formatCode="General">
                  <c:v>33.25</c:v>
                </c:pt>
                <c:pt idx="22">
                  <c:v>33.69166666666667</c:v>
                </c:pt>
                <c:pt idx="23">
                  <c:v>33.833333333333336</c:v>
                </c:pt>
                <c:pt idx="24">
                  <c:v>33.833333333333336</c:v>
                </c:pt>
                <c:pt idx="25">
                  <c:v>33.833333333333336</c:v>
                </c:pt>
                <c:pt idx="26">
                  <c:v>33.833333333333336</c:v>
                </c:pt>
                <c:pt idx="27">
                  <c:v>33.833333333333336</c:v>
                </c:pt>
                <c:pt idx="28" formatCode="General">
                  <c:v>27.5</c:v>
                </c:pt>
              </c:numCache>
            </c:numRef>
          </c:xVal>
          <c:yVal>
            <c:numRef>
              <c:f>Summary!$AE$47:$BG$47</c:f>
              <c:numCache>
                <c:formatCode>General</c:formatCode>
                <c:ptCount val="29"/>
                <c:pt idx="0">
                  <c:v>26.1</c:v>
                </c:pt>
                <c:pt idx="13">
                  <c:v>26.92</c:v>
                </c:pt>
                <c:pt idx="14">
                  <c:v>26.92</c:v>
                </c:pt>
                <c:pt idx="15">
                  <c:v>25.2</c:v>
                </c:pt>
                <c:pt idx="16">
                  <c:v>25.2</c:v>
                </c:pt>
                <c:pt idx="17">
                  <c:v>25.2</c:v>
                </c:pt>
                <c:pt idx="18">
                  <c:v>25.2</c:v>
                </c:pt>
                <c:pt idx="22" formatCode="0.00">
                  <c:v>44.69166666666667</c:v>
                </c:pt>
                <c:pt idx="23">
                  <c:v>31.5</c:v>
                </c:pt>
                <c:pt idx="24">
                  <c:v>31.5</c:v>
                </c:pt>
                <c:pt idx="25">
                  <c:v>31.5</c:v>
                </c:pt>
                <c:pt idx="26">
                  <c:v>31.5</c:v>
                </c:pt>
                <c:pt idx="27">
                  <c:v>31.5</c:v>
                </c:pt>
              </c:numCache>
            </c:numRef>
          </c:yVal>
          <c:smooth val="0"/>
          <c:extLst>
            <c:ext xmlns:c16="http://schemas.microsoft.com/office/drawing/2014/chart" uri="{C3380CC4-5D6E-409C-BE32-E72D297353CC}">
              <c16:uniqueId val="{00000003-D788-483F-A6D1-C75E7F52774C}"/>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Summary!$BI$46:$BP$46</c:f>
              <c:numCache>
                <c:formatCode>0.00</c:formatCode>
                <c:ptCount val="8"/>
                <c:pt idx="0" formatCode="General">
                  <c:v>32.1</c:v>
                </c:pt>
                <c:pt idx="1">
                  <c:v>31.00888888888889</c:v>
                </c:pt>
                <c:pt idx="2">
                  <c:v>39.75</c:v>
                </c:pt>
                <c:pt idx="3">
                  <c:v>39.166666666666664</c:v>
                </c:pt>
                <c:pt idx="4" formatCode="General">
                  <c:v>33.61</c:v>
                </c:pt>
                <c:pt idx="5">
                  <c:v>39.666666666666664</c:v>
                </c:pt>
                <c:pt idx="7" formatCode="General">
                  <c:v>39.9</c:v>
                </c:pt>
              </c:numCache>
            </c:numRef>
          </c:xVal>
          <c:yVal>
            <c:numRef>
              <c:f>Summary!$BI$47:$BP$47</c:f>
              <c:numCache>
                <c:formatCode>General</c:formatCode>
                <c:ptCount val="8"/>
                <c:pt idx="0">
                  <c:v>28.6</c:v>
                </c:pt>
                <c:pt idx="1">
                  <c:v>29.8</c:v>
                </c:pt>
                <c:pt idx="3">
                  <c:v>34.799999999999997</c:v>
                </c:pt>
                <c:pt idx="4">
                  <c:v>32.5</c:v>
                </c:pt>
                <c:pt idx="5">
                  <c:v>34.1</c:v>
                </c:pt>
                <c:pt idx="7">
                  <c:v>35.799999999999997</c:v>
                </c:pt>
              </c:numCache>
            </c:numRef>
          </c:yVal>
          <c:smooth val="0"/>
          <c:extLst>
            <c:ext xmlns:c16="http://schemas.microsoft.com/office/drawing/2014/chart" uri="{C3380CC4-5D6E-409C-BE32-E72D297353CC}">
              <c16:uniqueId val="{00000004-D788-483F-A6D1-C75E7F52774C}"/>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Summary!$BR$46:$CA$46</c:f>
              <c:numCache>
                <c:formatCode>General</c:formatCode>
                <c:ptCount val="10"/>
                <c:pt idx="3">
                  <c:v>28</c:v>
                </c:pt>
                <c:pt idx="4" formatCode="0.00">
                  <c:v>29.161666666666665</c:v>
                </c:pt>
                <c:pt idx="5">
                  <c:v>27.8</c:v>
                </c:pt>
                <c:pt idx="7" formatCode="0.00">
                  <c:v>28.989583333333332</c:v>
                </c:pt>
                <c:pt idx="8" formatCode="0.00">
                  <c:v>28.989583333333332</c:v>
                </c:pt>
              </c:numCache>
            </c:numRef>
          </c:xVal>
          <c:yVal>
            <c:numRef>
              <c:f>Summary!$BR$47:$CA$47</c:f>
              <c:numCache>
                <c:formatCode>General</c:formatCode>
                <c:ptCount val="10"/>
                <c:pt idx="0">
                  <c:v>28</c:v>
                </c:pt>
                <c:pt idx="1">
                  <c:v>22.5</c:v>
                </c:pt>
                <c:pt idx="2">
                  <c:v>24.3</c:v>
                </c:pt>
                <c:pt idx="3">
                  <c:v>27.6</c:v>
                </c:pt>
                <c:pt idx="5">
                  <c:v>28.8</c:v>
                </c:pt>
                <c:pt idx="6">
                  <c:v>27.8</c:v>
                </c:pt>
                <c:pt idx="7">
                  <c:v>29</c:v>
                </c:pt>
              </c:numCache>
            </c:numRef>
          </c:yVal>
          <c:smooth val="0"/>
          <c:extLst>
            <c:ext xmlns:c16="http://schemas.microsoft.com/office/drawing/2014/chart" uri="{C3380CC4-5D6E-409C-BE32-E72D297353CC}">
              <c16:uniqueId val="{00000005-D788-483F-A6D1-C75E7F52774C}"/>
            </c:ext>
          </c:extLst>
        </c:ser>
        <c:dLbls>
          <c:showLegendKey val="0"/>
          <c:showVal val="0"/>
          <c:showCatName val="0"/>
          <c:showSerName val="0"/>
          <c:showPercent val="0"/>
          <c:showBubbleSize val="0"/>
        </c:dLbls>
        <c:axId val="642505167"/>
        <c:axId val="649103391"/>
      </c:scatterChart>
      <c:valAx>
        <c:axId val="642505167"/>
        <c:scaling>
          <c:orientation val="minMax"/>
          <c:min val="20"/>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Overall Length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21259154848917861"/>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Total Propulsion Group</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dispRSqr val="1"/>
            <c:dispEq val="1"/>
            <c:trendlineLbl>
              <c:layout>
                <c:manualLayout>
                  <c:x val="-0.25640966430604184"/>
                  <c:y val="7.3978046425462671E-3"/>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Summary!$C$92:$CA$92</c:f>
              <c:numCache>
                <c:formatCode>General</c:formatCode>
                <c:ptCount val="77"/>
                <c:pt idx="0">
                  <c:v>1012</c:v>
                </c:pt>
                <c:pt idx="1">
                  <c:v>1828</c:v>
                </c:pt>
                <c:pt idx="2">
                  <c:v>2004</c:v>
                </c:pt>
                <c:pt idx="3">
                  <c:v>1985</c:v>
                </c:pt>
                <c:pt idx="4">
                  <c:v>2170</c:v>
                </c:pt>
                <c:pt idx="5">
                  <c:v>2645</c:v>
                </c:pt>
                <c:pt idx="6">
                  <c:v>2641</c:v>
                </c:pt>
                <c:pt idx="7">
                  <c:v>2867</c:v>
                </c:pt>
                <c:pt idx="8">
                  <c:v>2731</c:v>
                </c:pt>
                <c:pt idx="9">
                  <c:v>2786</c:v>
                </c:pt>
                <c:pt idx="10">
                  <c:v>2756</c:v>
                </c:pt>
                <c:pt idx="11">
                  <c:v>1923</c:v>
                </c:pt>
                <c:pt idx="12">
                  <c:v>4037</c:v>
                </c:pt>
                <c:pt idx="13">
                  <c:v>4324.3</c:v>
                </c:pt>
                <c:pt idx="14">
                  <c:v>4593.6000000000004</c:v>
                </c:pt>
                <c:pt idx="15">
                  <c:v>3292</c:v>
                </c:pt>
                <c:pt idx="16">
                  <c:v>3391</c:v>
                </c:pt>
                <c:pt idx="17">
                  <c:v>1917</c:v>
                </c:pt>
                <c:pt idx="18">
                  <c:v>2663.3999999999996</c:v>
                </c:pt>
                <c:pt idx="19">
                  <c:v>2663.3999999999996</c:v>
                </c:pt>
                <c:pt idx="20">
                  <c:v>2565</c:v>
                </c:pt>
                <c:pt idx="21">
                  <c:v>2709.6</c:v>
                </c:pt>
                <c:pt idx="23">
                  <c:v>2647.2000000000003</c:v>
                </c:pt>
                <c:pt idx="24">
                  <c:v>3038</c:v>
                </c:pt>
                <c:pt idx="25">
                  <c:v>3158.5999999999995</c:v>
                </c:pt>
                <c:pt idx="26">
                  <c:v>3207</c:v>
                </c:pt>
                <c:pt idx="28">
                  <c:v>1540.5</c:v>
                </c:pt>
                <c:pt idx="29">
                  <c:v>1552.8</c:v>
                </c:pt>
                <c:pt idx="30">
                  <c:v>1555.3</c:v>
                </c:pt>
                <c:pt idx="32">
                  <c:v>1893.6</c:v>
                </c:pt>
                <c:pt idx="33">
                  <c:v>2087.9</c:v>
                </c:pt>
                <c:pt idx="34">
                  <c:v>2138</c:v>
                </c:pt>
                <c:pt idx="35">
                  <c:v>2130</c:v>
                </c:pt>
                <c:pt idx="36">
                  <c:v>1555.3999999999999</c:v>
                </c:pt>
                <c:pt idx="37">
                  <c:v>1555.8999999999999</c:v>
                </c:pt>
                <c:pt idx="38">
                  <c:v>1838.9</c:v>
                </c:pt>
                <c:pt idx="39">
                  <c:v>1819.8</c:v>
                </c:pt>
                <c:pt idx="40">
                  <c:v>1896.4</c:v>
                </c:pt>
                <c:pt idx="41">
                  <c:v>2450</c:v>
                </c:pt>
                <c:pt idx="42">
                  <c:v>2432</c:v>
                </c:pt>
                <c:pt idx="43">
                  <c:v>2493</c:v>
                </c:pt>
                <c:pt idx="44">
                  <c:v>2553</c:v>
                </c:pt>
                <c:pt idx="45">
                  <c:v>2493</c:v>
                </c:pt>
                <c:pt idx="46">
                  <c:v>2176</c:v>
                </c:pt>
                <c:pt idx="47">
                  <c:v>3767.7</c:v>
                </c:pt>
                <c:pt idx="48">
                  <c:v>3747.7</c:v>
                </c:pt>
                <c:pt idx="49">
                  <c:v>4018</c:v>
                </c:pt>
                <c:pt idx="50">
                  <c:v>4024.9</c:v>
                </c:pt>
                <c:pt idx="51">
                  <c:v>3964.5</c:v>
                </c:pt>
                <c:pt idx="52">
                  <c:v>3964.0000000000005</c:v>
                </c:pt>
                <c:pt idx="53">
                  <c:v>3986.1000000000004</c:v>
                </c:pt>
                <c:pt idx="54">
                  <c:v>3975</c:v>
                </c:pt>
                <c:pt idx="55">
                  <c:v>3969</c:v>
                </c:pt>
                <c:pt idx="56">
                  <c:v>3419</c:v>
                </c:pt>
                <c:pt idx="58">
                  <c:v>1730</c:v>
                </c:pt>
                <c:pt idx="59">
                  <c:v>2288</c:v>
                </c:pt>
                <c:pt idx="60">
                  <c:v>3470.5</c:v>
                </c:pt>
                <c:pt idx="61">
                  <c:v>4173</c:v>
                </c:pt>
                <c:pt idx="62">
                  <c:v>3360</c:v>
                </c:pt>
                <c:pt idx="63">
                  <c:v>3996</c:v>
                </c:pt>
                <c:pt idx="65">
                  <c:v>3214</c:v>
                </c:pt>
                <c:pt idx="67">
                  <c:v>535</c:v>
                </c:pt>
                <c:pt idx="68">
                  <c:v>451</c:v>
                </c:pt>
                <c:pt idx="69">
                  <c:v>895</c:v>
                </c:pt>
                <c:pt idx="70">
                  <c:v>1082</c:v>
                </c:pt>
                <c:pt idx="71">
                  <c:v>1047.01</c:v>
                </c:pt>
                <c:pt idx="72">
                  <c:v>1018</c:v>
                </c:pt>
                <c:pt idx="73">
                  <c:v>1303</c:v>
                </c:pt>
                <c:pt idx="74">
                  <c:v>1333</c:v>
                </c:pt>
                <c:pt idx="75">
                  <c:v>1386</c:v>
                </c:pt>
                <c:pt idx="76">
                  <c:v>714</c:v>
                </c:pt>
              </c:numCache>
            </c:numRef>
          </c:yVal>
          <c:smooth val="0"/>
          <c:extLst>
            <c:ext xmlns:c16="http://schemas.microsoft.com/office/drawing/2014/chart" uri="{C3380CC4-5D6E-409C-BE32-E72D297353CC}">
              <c16:uniqueId val="{00000000-56FD-437A-A056-2EB9159AA366}"/>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Summary!$C$92:$AC$92</c:f>
              <c:numCache>
                <c:formatCode>General</c:formatCode>
                <c:ptCount val="27"/>
                <c:pt idx="0">
                  <c:v>1012</c:v>
                </c:pt>
                <c:pt idx="1">
                  <c:v>1828</c:v>
                </c:pt>
                <c:pt idx="2">
                  <c:v>2004</c:v>
                </c:pt>
                <c:pt idx="3">
                  <c:v>1985</c:v>
                </c:pt>
                <c:pt idx="4">
                  <c:v>2170</c:v>
                </c:pt>
                <c:pt idx="5">
                  <c:v>2645</c:v>
                </c:pt>
                <c:pt idx="6">
                  <c:v>2641</c:v>
                </c:pt>
                <c:pt idx="7">
                  <c:v>2867</c:v>
                </c:pt>
                <c:pt idx="8">
                  <c:v>2731</c:v>
                </c:pt>
                <c:pt idx="9">
                  <c:v>2786</c:v>
                </c:pt>
                <c:pt idx="10">
                  <c:v>2756</c:v>
                </c:pt>
                <c:pt idx="11">
                  <c:v>1923</c:v>
                </c:pt>
                <c:pt idx="12">
                  <c:v>4037</c:v>
                </c:pt>
                <c:pt idx="13">
                  <c:v>4324.3</c:v>
                </c:pt>
                <c:pt idx="14">
                  <c:v>4593.6000000000004</c:v>
                </c:pt>
                <c:pt idx="15">
                  <c:v>3292</c:v>
                </c:pt>
                <c:pt idx="16">
                  <c:v>3391</c:v>
                </c:pt>
                <c:pt idx="17">
                  <c:v>1917</c:v>
                </c:pt>
                <c:pt idx="18">
                  <c:v>2663.3999999999996</c:v>
                </c:pt>
                <c:pt idx="19">
                  <c:v>2663.3999999999996</c:v>
                </c:pt>
                <c:pt idx="20">
                  <c:v>2565</c:v>
                </c:pt>
                <c:pt idx="21">
                  <c:v>2709.6</c:v>
                </c:pt>
                <c:pt idx="23">
                  <c:v>2647.2000000000003</c:v>
                </c:pt>
                <c:pt idx="24">
                  <c:v>3038</c:v>
                </c:pt>
                <c:pt idx="25">
                  <c:v>3158.5999999999995</c:v>
                </c:pt>
                <c:pt idx="26">
                  <c:v>3207</c:v>
                </c:pt>
              </c:numCache>
            </c:numRef>
          </c:yVal>
          <c:smooth val="0"/>
          <c:extLst>
            <c:ext xmlns:c16="http://schemas.microsoft.com/office/drawing/2014/chart" uri="{C3380CC4-5D6E-409C-BE32-E72D297353CC}">
              <c16:uniqueId val="{00000000-AF28-491C-B6CA-1315FC1B38F1}"/>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Summary!$AE$92:$BG$92</c:f>
              <c:numCache>
                <c:formatCode>General</c:formatCode>
                <c:ptCount val="29"/>
                <c:pt idx="0">
                  <c:v>1540.5</c:v>
                </c:pt>
                <c:pt idx="1">
                  <c:v>1552.8</c:v>
                </c:pt>
                <c:pt idx="2">
                  <c:v>1555.3</c:v>
                </c:pt>
                <c:pt idx="4">
                  <c:v>1893.6</c:v>
                </c:pt>
                <c:pt idx="5">
                  <c:v>2087.9</c:v>
                </c:pt>
                <c:pt idx="6">
                  <c:v>2138</c:v>
                </c:pt>
                <c:pt idx="7">
                  <c:v>2130</c:v>
                </c:pt>
                <c:pt idx="8">
                  <c:v>1555.3999999999999</c:v>
                </c:pt>
                <c:pt idx="9">
                  <c:v>1555.8999999999999</c:v>
                </c:pt>
                <c:pt idx="10">
                  <c:v>1838.9</c:v>
                </c:pt>
                <c:pt idx="11">
                  <c:v>1819.8</c:v>
                </c:pt>
                <c:pt idx="12">
                  <c:v>1896.4</c:v>
                </c:pt>
                <c:pt idx="13">
                  <c:v>2450</c:v>
                </c:pt>
                <c:pt idx="14">
                  <c:v>2432</c:v>
                </c:pt>
                <c:pt idx="15">
                  <c:v>2493</c:v>
                </c:pt>
                <c:pt idx="16">
                  <c:v>2553</c:v>
                </c:pt>
                <c:pt idx="17">
                  <c:v>2493</c:v>
                </c:pt>
                <c:pt idx="18">
                  <c:v>2176</c:v>
                </c:pt>
                <c:pt idx="19">
                  <c:v>3767.7</c:v>
                </c:pt>
                <c:pt idx="20">
                  <c:v>3747.7</c:v>
                </c:pt>
                <c:pt idx="21">
                  <c:v>4018</c:v>
                </c:pt>
                <c:pt idx="22">
                  <c:v>4024.9</c:v>
                </c:pt>
                <c:pt idx="23">
                  <c:v>3964.5</c:v>
                </c:pt>
                <c:pt idx="24">
                  <c:v>3964.0000000000005</c:v>
                </c:pt>
                <c:pt idx="25">
                  <c:v>3986.1000000000004</c:v>
                </c:pt>
                <c:pt idx="26">
                  <c:v>3975</c:v>
                </c:pt>
                <c:pt idx="27">
                  <c:v>3969</c:v>
                </c:pt>
                <c:pt idx="28">
                  <c:v>3419</c:v>
                </c:pt>
              </c:numCache>
            </c:numRef>
          </c:yVal>
          <c:smooth val="0"/>
          <c:extLst>
            <c:ext xmlns:c16="http://schemas.microsoft.com/office/drawing/2014/chart" uri="{C3380CC4-5D6E-409C-BE32-E72D297353CC}">
              <c16:uniqueId val="{00000001-AF28-491C-B6CA-1315FC1B38F1}"/>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Summary!$BI$92:$BP$92</c:f>
              <c:numCache>
                <c:formatCode>General</c:formatCode>
                <c:ptCount val="8"/>
                <c:pt idx="0">
                  <c:v>1730</c:v>
                </c:pt>
                <c:pt idx="1">
                  <c:v>2288</c:v>
                </c:pt>
                <c:pt idx="2">
                  <c:v>3470.5</c:v>
                </c:pt>
                <c:pt idx="3">
                  <c:v>4173</c:v>
                </c:pt>
                <c:pt idx="4">
                  <c:v>3360</c:v>
                </c:pt>
                <c:pt idx="5">
                  <c:v>3996</c:v>
                </c:pt>
                <c:pt idx="7">
                  <c:v>3214</c:v>
                </c:pt>
              </c:numCache>
            </c:numRef>
          </c:yVal>
          <c:smooth val="0"/>
          <c:extLst>
            <c:ext xmlns:c16="http://schemas.microsoft.com/office/drawing/2014/chart" uri="{C3380CC4-5D6E-409C-BE32-E72D297353CC}">
              <c16:uniqueId val="{00000002-AF28-491C-B6CA-1315FC1B38F1}"/>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Summary!$BR$92:$CA$92</c:f>
              <c:numCache>
                <c:formatCode>General</c:formatCode>
                <c:ptCount val="10"/>
                <c:pt idx="0">
                  <c:v>535</c:v>
                </c:pt>
                <c:pt idx="1">
                  <c:v>451</c:v>
                </c:pt>
                <c:pt idx="2">
                  <c:v>895</c:v>
                </c:pt>
                <c:pt idx="3">
                  <c:v>1082</c:v>
                </c:pt>
                <c:pt idx="4">
                  <c:v>1047.01</c:v>
                </c:pt>
                <c:pt idx="5">
                  <c:v>1018</c:v>
                </c:pt>
                <c:pt idx="6">
                  <c:v>1303</c:v>
                </c:pt>
                <c:pt idx="7">
                  <c:v>1333</c:v>
                </c:pt>
                <c:pt idx="8">
                  <c:v>1386</c:v>
                </c:pt>
                <c:pt idx="9">
                  <c:v>714</c:v>
                </c:pt>
              </c:numCache>
            </c:numRef>
          </c:yVal>
          <c:smooth val="0"/>
          <c:extLst>
            <c:ext xmlns:c16="http://schemas.microsoft.com/office/drawing/2014/chart" uri="{C3380CC4-5D6E-409C-BE32-E72D297353CC}">
              <c16:uniqueId val="{00000003-AF28-491C-B6CA-1315FC1B38F1}"/>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 Off Power</a:t>
                </a:r>
                <a:r>
                  <a:rPr lang="en-US" baseline="0"/>
                  <a:t> (HP)</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Engine with Accessories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1"/>
            <c:dispEq val="1"/>
            <c:trendlineLbl>
              <c:layout>
                <c:manualLayout>
                  <c:x val="-5.2391275633346052E-3"/>
                  <c:y val="-6.7022704106422526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Summary!$C$93:$CA$93</c:f>
              <c:numCache>
                <c:formatCode>General</c:formatCode>
                <c:ptCount val="77"/>
                <c:pt idx="0">
                  <c:v>770</c:v>
                </c:pt>
                <c:pt idx="1">
                  <c:v>1384</c:v>
                </c:pt>
                <c:pt idx="2">
                  <c:v>1458</c:v>
                </c:pt>
                <c:pt idx="5">
                  <c:v>1413</c:v>
                </c:pt>
                <c:pt idx="6">
                  <c:v>1416</c:v>
                </c:pt>
                <c:pt idx="7">
                  <c:v>1632</c:v>
                </c:pt>
                <c:pt idx="8">
                  <c:v>1397</c:v>
                </c:pt>
                <c:pt idx="9">
                  <c:v>1583</c:v>
                </c:pt>
                <c:pt idx="10">
                  <c:v>1418</c:v>
                </c:pt>
                <c:pt idx="11">
                  <c:v>1432</c:v>
                </c:pt>
                <c:pt idx="12">
                  <c:v>2680</c:v>
                </c:pt>
                <c:pt idx="13">
                  <c:v>3219</c:v>
                </c:pt>
                <c:pt idx="14">
                  <c:v>3260.2</c:v>
                </c:pt>
                <c:pt idx="15">
                  <c:v>1670</c:v>
                </c:pt>
                <c:pt idx="16">
                  <c:v>1780</c:v>
                </c:pt>
                <c:pt idx="17">
                  <c:v>1247</c:v>
                </c:pt>
                <c:pt idx="18">
                  <c:v>1524.1</c:v>
                </c:pt>
                <c:pt idx="19">
                  <c:v>1524.1</c:v>
                </c:pt>
                <c:pt idx="20">
                  <c:v>1514</c:v>
                </c:pt>
                <c:pt idx="21">
                  <c:v>1554.2</c:v>
                </c:pt>
                <c:pt idx="23">
                  <c:v>1516.2</c:v>
                </c:pt>
                <c:pt idx="24">
                  <c:v>1681</c:v>
                </c:pt>
                <c:pt idx="25">
                  <c:v>1725.3</c:v>
                </c:pt>
                <c:pt idx="26">
                  <c:v>1824</c:v>
                </c:pt>
                <c:pt idx="34">
                  <c:v>1370</c:v>
                </c:pt>
                <c:pt idx="35">
                  <c:v>1381</c:v>
                </c:pt>
                <c:pt idx="36">
                  <c:v>1186.2</c:v>
                </c:pt>
                <c:pt idx="37">
                  <c:v>1186.2</c:v>
                </c:pt>
                <c:pt idx="41">
                  <c:v>1807</c:v>
                </c:pt>
                <c:pt idx="42">
                  <c:v>1782</c:v>
                </c:pt>
                <c:pt idx="43">
                  <c:v>1810</c:v>
                </c:pt>
                <c:pt idx="44">
                  <c:v>1789</c:v>
                </c:pt>
                <c:pt idx="45">
                  <c:v>1810</c:v>
                </c:pt>
                <c:pt idx="46">
                  <c:v>1401</c:v>
                </c:pt>
                <c:pt idx="47">
                  <c:v>2738.1</c:v>
                </c:pt>
                <c:pt idx="48">
                  <c:v>2735.5</c:v>
                </c:pt>
                <c:pt idx="49">
                  <c:v>2825</c:v>
                </c:pt>
                <c:pt idx="50">
                  <c:v>2822.5</c:v>
                </c:pt>
                <c:pt idx="51">
                  <c:v>2783</c:v>
                </c:pt>
                <c:pt idx="52">
                  <c:v>2762.3</c:v>
                </c:pt>
                <c:pt idx="53">
                  <c:v>2773</c:v>
                </c:pt>
                <c:pt idx="54">
                  <c:v>2763</c:v>
                </c:pt>
                <c:pt idx="55">
                  <c:v>2791</c:v>
                </c:pt>
                <c:pt idx="56">
                  <c:v>2452</c:v>
                </c:pt>
                <c:pt idx="58">
                  <c:v>1198</c:v>
                </c:pt>
                <c:pt idx="59">
                  <c:v>1396</c:v>
                </c:pt>
                <c:pt idx="60">
                  <c:v>2180</c:v>
                </c:pt>
                <c:pt idx="61">
                  <c:v>3072</c:v>
                </c:pt>
                <c:pt idx="62">
                  <c:v>2158</c:v>
                </c:pt>
                <c:pt idx="63">
                  <c:v>2921</c:v>
                </c:pt>
                <c:pt idx="65">
                  <c:v>2133</c:v>
                </c:pt>
                <c:pt idx="67">
                  <c:v>407</c:v>
                </c:pt>
                <c:pt idx="68">
                  <c:v>349</c:v>
                </c:pt>
                <c:pt idx="69">
                  <c:v>691</c:v>
                </c:pt>
                <c:pt idx="70">
                  <c:v>740</c:v>
                </c:pt>
                <c:pt idx="71">
                  <c:v>735.16</c:v>
                </c:pt>
                <c:pt idx="72">
                  <c:v>750</c:v>
                </c:pt>
                <c:pt idx="73">
                  <c:v>919</c:v>
                </c:pt>
                <c:pt idx="74">
                  <c:v>939</c:v>
                </c:pt>
                <c:pt idx="75">
                  <c:v>945</c:v>
                </c:pt>
                <c:pt idx="76">
                  <c:v>524</c:v>
                </c:pt>
              </c:numCache>
            </c:numRef>
          </c:yVal>
          <c:smooth val="0"/>
          <c:extLst>
            <c:ext xmlns:c16="http://schemas.microsoft.com/office/drawing/2014/chart" uri="{C3380CC4-5D6E-409C-BE32-E72D297353CC}">
              <c16:uniqueId val="{00000000-B26C-4F7B-86CD-1DA8ACB26CD4}"/>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Summary!$C$93:$AC$93</c:f>
              <c:numCache>
                <c:formatCode>General</c:formatCode>
                <c:ptCount val="27"/>
                <c:pt idx="0">
                  <c:v>770</c:v>
                </c:pt>
                <c:pt idx="1">
                  <c:v>1384</c:v>
                </c:pt>
                <c:pt idx="2">
                  <c:v>1458</c:v>
                </c:pt>
                <c:pt idx="5">
                  <c:v>1413</c:v>
                </c:pt>
                <c:pt idx="6">
                  <c:v>1416</c:v>
                </c:pt>
                <c:pt idx="7">
                  <c:v>1632</c:v>
                </c:pt>
                <c:pt idx="8">
                  <c:v>1397</c:v>
                </c:pt>
                <c:pt idx="9">
                  <c:v>1583</c:v>
                </c:pt>
                <c:pt idx="10">
                  <c:v>1418</c:v>
                </c:pt>
                <c:pt idx="11">
                  <c:v>1432</c:v>
                </c:pt>
                <c:pt idx="12">
                  <c:v>2680</c:v>
                </c:pt>
                <c:pt idx="13">
                  <c:v>3219</c:v>
                </c:pt>
                <c:pt idx="14">
                  <c:v>3260.2</c:v>
                </c:pt>
                <c:pt idx="15">
                  <c:v>1670</c:v>
                </c:pt>
                <c:pt idx="16">
                  <c:v>1780</c:v>
                </c:pt>
                <c:pt idx="17">
                  <c:v>1247</c:v>
                </c:pt>
                <c:pt idx="18">
                  <c:v>1524.1</c:v>
                </c:pt>
                <c:pt idx="19">
                  <c:v>1524.1</c:v>
                </c:pt>
                <c:pt idx="20">
                  <c:v>1514</c:v>
                </c:pt>
                <c:pt idx="21">
                  <c:v>1554.2</c:v>
                </c:pt>
                <c:pt idx="23">
                  <c:v>1516.2</c:v>
                </c:pt>
                <c:pt idx="24">
                  <c:v>1681</c:v>
                </c:pt>
                <c:pt idx="25">
                  <c:v>1725.3</c:v>
                </c:pt>
                <c:pt idx="26">
                  <c:v>1824</c:v>
                </c:pt>
              </c:numCache>
            </c:numRef>
          </c:yVal>
          <c:smooth val="0"/>
          <c:extLst>
            <c:ext xmlns:c16="http://schemas.microsoft.com/office/drawing/2014/chart" uri="{C3380CC4-5D6E-409C-BE32-E72D297353CC}">
              <c16:uniqueId val="{00000000-743E-4B9C-960A-F7512B36023A}"/>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Summary!$AE$93:$BG$93</c:f>
              <c:numCache>
                <c:formatCode>General</c:formatCode>
                <c:ptCount val="29"/>
                <c:pt idx="6">
                  <c:v>1370</c:v>
                </c:pt>
                <c:pt idx="7">
                  <c:v>1381</c:v>
                </c:pt>
                <c:pt idx="8">
                  <c:v>1186.2</c:v>
                </c:pt>
                <c:pt idx="9">
                  <c:v>1186.2</c:v>
                </c:pt>
                <c:pt idx="13">
                  <c:v>1807</c:v>
                </c:pt>
                <c:pt idx="14">
                  <c:v>1782</c:v>
                </c:pt>
                <c:pt idx="15">
                  <c:v>1810</c:v>
                </c:pt>
                <c:pt idx="16">
                  <c:v>1789</c:v>
                </c:pt>
                <c:pt idx="17">
                  <c:v>1810</c:v>
                </c:pt>
                <c:pt idx="18">
                  <c:v>1401</c:v>
                </c:pt>
                <c:pt idx="19">
                  <c:v>2738.1</c:v>
                </c:pt>
                <c:pt idx="20">
                  <c:v>2735.5</c:v>
                </c:pt>
                <c:pt idx="21">
                  <c:v>2825</c:v>
                </c:pt>
                <c:pt idx="22">
                  <c:v>2822.5</c:v>
                </c:pt>
                <c:pt idx="23">
                  <c:v>2783</c:v>
                </c:pt>
                <c:pt idx="24">
                  <c:v>2762.3</c:v>
                </c:pt>
                <c:pt idx="25">
                  <c:v>2773</c:v>
                </c:pt>
                <c:pt idx="26">
                  <c:v>2763</c:v>
                </c:pt>
                <c:pt idx="27">
                  <c:v>2791</c:v>
                </c:pt>
                <c:pt idx="28">
                  <c:v>2452</c:v>
                </c:pt>
              </c:numCache>
            </c:numRef>
          </c:yVal>
          <c:smooth val="0"/>
          <c:extLst>
            <c:ext xmlns:c16="http://schemas.microsoft.com/office/drawing/2014/chart" uri="{C3380CC4-5D6E-409C-BE32-E72D297353CC}">
              <c16:uniqueId val="{00000001-743E-4B9C-960A-F7512B36023A}"/>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Summary!$BI$93:$BP$93</c:f>
              <c:numCache>
                <c:formatCode>General</c:formatCode>
                <c:ptCount val="8"/>
                <c:pt idx="0">
                  <c:v>1198</c:v>
                </c:pt>
                <c:pt idx="1">
                  <c:v>1396</c:v>
                </c:pt>
                <c:pt idx="2">
                  <c:v>2180</c:v>
                </c:pt>
                <c:pt idx="3">
                  <c:v>3072</c:v>
                </c:pt>
                <c:pt idx="4">
                  <c:v>2158</c:v>
                </c:pt>
                <c:pt idx="5">
                  <c:v>2921</c:v>
                </c:pt>
                <c:pt idx="7">
                  <c:v>2133</c:v>
                </c:pt>
              </c:numCache>
            </c:numRef>
          </c:yVal>
          <c:smooth val="0"/>
          <c:extLst>
            <c:ext xmlns:c16="http://schemas.microsoft.com/office/drawing/2014/chart" uri="{C3380CC4-5D6E-409C-BE32-E72D297353CC}">
              <c16:uniqueId val="{00000002-743E-4B9C-960A-F7512B36023A}"/>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Summary!$BR$93:$CA$93</c:f>
              <c:numCache>
                <c:formatCode>General</c:formatCode>
                <c:ptCount val="10"/>
                <c:pt idx="0">
                  <c:v>407</c:v>
                </c:pt>
                <c:pt idx="1">
                  <c:v>349</c:v>
                </c:pt>
                <c:pt idx="2">
                  <c:v>691</c:v>
                </c:pt>
                <c:pt idx="3">
                  <c:v>740</c:v>
                </c:pt>
                <c:pt idx="4">
                  <c:v>735.16</c:v>
                </c:pt>
                <c:pt idx="5">
                  <c:v>750</c:v>
                </c:pt>
                <c:pt idx="6">
                  <c:v>919</c:v>
                </c:pt>
                <c:pt idx="7">
                  <c:v>939</c:v>
                </c:pt>
                <c:pt idx="8">
                  <c:v>945</c:v>
                </c:pt>
                <c:pt idx="9">
                  <c:v>524</c:v>
                </c:pt>
              </c:numCache>
            </c:numRef>
          </c:yVal>
          <c:smooth val="0"/>
          <c:extLst>
            <c:ext xmlns:c16="http://schemas.microsoft.com/office/drawing/2014/chart" uri="{C3380CC4-5D6E-409C-BE32-E72D297353CC}">
              <c16:uniqueId val="{00000003-743E-4B9C-960A-F7512B36023A}"/>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 Off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As Installed Engine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1"/>
            <c:dispEq val="1"/>
            <c:trendlineLbl>
              <c:layout>
                <c:manualLayout>
                  <c:x val="-3.7498741482492055E-2"/>
                  <c:y val="-2.7551470439715623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Summary!$C$94:$CA$94</c:f>
              <c:numCache>
                <c:formatCode>General</c:formatCode>
                <c:ptCount val="77"/>
                <c:pt idx="0">
                  <c:v>732</c:v>
                </c:pt>
                <c:pt idx="1">
                  <c:v>1291</c:v>
                </c:pt>
                <c:pt idx="2">
                  <c:v>1352</c:v>
                </c:pt>
                <c:pt idx="5">
                  <c:v>1307</c:v>
                </c:pt>
                <c:pt idx="6">
                  <c:v>1311</c:v>
                </c:pt>
                <c:pt idx="7">
                  <c:v>1518</c:v>
                </c:pt>
                <c:pt idx="8">
                  <c:v>1324</c:v>
                </c:pt>
                <c:pt idx="9">
                  <c:v>1523</c:v>
                </c:pt>
                <c:pt idx="10">
                  <c:v>1337</c:v>
                </c:pt>
                <c:pt idx="11">
                  <c:v>1340</c:v>
                </c:pt>
                <c:pt idx="12">
                  <c:v>2223</c:v>
                </c:pt>
                <c:pt idx="13">
                  <c:v>2265</c:v>
                </c:pt>
                <c:pt idx="14">
                  <c:v>2283.1999999999998</c:v>
                </c:pt>
                <c:pt idx="16">
                  <c:v>1692</c:v>
                </c:pt>
                <c:pt idx="17">
                  <c:v>1032</c:v>
                </c:pt>
                <c:pt idx="18">
                  <c:v>1408.5</c:v>
                </c:pt>
                <c:pt idx="19">
                  <c:v>1408.5</c:v>
                </c:pt>
                <c:pt idx="20">
                  <c:v>1399</c:v>
                </c:pt>
                <c:pt idx="21">
                  <c:v>1435</c:v>
                </c:pt>
                <c:pt idx="23">
                  <c:v>1397</c:v>
                </c:pt>
                <c:pt idx="25">
                  <c:v>1620</c:v>
                </c:pt>
                <c:pt idx="26">
                  <c:v>1710</c:v>
                </c:pt>
                <c:pt idx="35">
                  <c:v>1300</c:v>
                </c:pt>
                <c:pt idx="36">
                  <c:v>1100</c:v>
                </c:pt>
                <c:pt idx="37">
                  <c:v>1100</c:v>
                </c:pt>
                <c:pt idx="41">
                  <c:v>1565</c:v>
                </c:pt>
                <c:pt idx="42">
                  <c:v>1540</c:v>
                </c:pt>
                <c:pt idx="43">
                  <c:v>1568</c:v>
                </c:pt>
                <c:pt idx="44">
                  <c:v>1568</c:v>
                </c:pt>
                <c:pt idx="45">
                  <c:v>1568</c:v>
                </c:pt>
                <c:pt idx="47">
                  <c:v>2459.1999999999998</c:v>
                </c:pt>
                <c:pt idx="48">
                  <c:v>2476.5</c:v>
                </c:pt>
                <c:pt idx="49">
                  <c:v>2545</c:v>
                </c:pt>
                <c:pt idx="50">
                  <c:v>2537</c:v>
                </c:pt>
                <c:pt idx="51">
                  <c:v>2469</c:v>
                </c:pt>
                <c:pt idx="52">
                  <c:v>2444</c:v>
                </c:pt>
                <c:pt idx="53">
                  <c:v>2455</c:v>
                </c:pt>
                <c:pt idx="54">
                  <c:v>2445</c:v>
                </c:pt>
                <c:pt idx="55">
                  <c:v>2476</c:v>
                </c:pt>
                <c:pt idx="56">
                  <c:v>2325</c:v>
                </c:pt>
                <c:pt idx="58">
                  <c:v>1090</c:v>
                </c:pt>
                <c:pt idx="59">
                  <c:v>1320</c:v>
                </c:pt>
                <c:pt idx="60">
                  <c:v>2027.2</c:v>
                </c:pt>
                <c:pt idx="61">
                  <c:v>2949</c:v>
                </c:pt>
                <c:pt idx="62">
                  <c:v>2010</c:v>
                </c:pt>
                <c:pt idx="63">
                  <c:v>2812</c:v>
                </c:pt>
                <c:pt idx="65">
                  <c:v>2017</c:v>
                </c:pt>
                <c:pt idx="67">
                  <c:v>377</c:v>
                </c:pt>
                <c:pt idx="68">
                  <c:v>330</c:v>
                </c:pt>
                <c:pt idx="69">
                  <c:v>628</c:v>
                </c:pt>
                <c:pt idx="70">
                  <c:v>690</c:v>
                </c:pt>
                <c:pt idx="71">
                  <c:v>659.43</c:v>
                </c:pt>
                <c:pt idx="72">
                  <c:v>689</c:v>
                </c:pt>
                <c:pt idx="73">
                  <c:v>846</c:v>
                </c:pt>
                <c:pt idx="74">
                  <c:v>851</c:v>
                </c:pt>
                <c:pt idx="75">
                  <c:v>871</c:v>
                </c:pt>
                <c:pt idx="76">
                  <c:v>500</c:v>
                </c:pt>
              </c:numCache>
            </c:numRef>
          </c:yVal>
          <c:smooth val="0"/>
          <c:extLst>
            <c:ext xmlns:c16="http://schemas.microsoft.com/office/drawing/2014/chart" uri="{C3380CC4-5D6E-409C-BE32-E72D297353CC}">
              <c16:uniqueId val="{00000000-9903-4B0D-8FBD-F0A1B457911D}"/>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Summary!$C$94:$AC$94</c:f>
              <c:numCache>
                <c:formatCode>General</c:formatCode>
                <c:ptCount val="27"/>
                <c:pt idx="0">
                  <c:v>732</c:v>
                </c:pt>
                <c:pt idx="1">
                  <c:v>1291</c:v>
                </c:pt>
                <c:pt idx="2">
                  <c:v>1352</c:v>
                </c:pt>
                <c:pt idx="5">
                  <c:v>1307</c:v>
                </c:pt>
                <c:pt idx="6">
                  <c:v>1311</c:v>
                </c:pt>
                <c:pt idx="7">
                  <c:v>1518</c:v>
                </c:pt>
                <c:pt idx="8">
                  <c:v>1324</c:v>
                </c:pt>
                <c:pt idx="9">
                  <c:v>1523</c:v>
                </c:pt>
                <c:pt idx="10">
                  <c:v>1337</c:v>
                </c:pt>
                <c:pt idx="11">
                  <c:v>1340</c:v>
                </c:pt>
                <c:pt idx="12">
                  <c:v>2223</c:v>
                </c:pt>
                <c:pt idx="13">
                  <c:v>2265</c:v>
                </c:pt>
                <c:pt idx="14">
                  <c:v>2283.1999999999998</c:v>
                </c:pt>
                <c:pt idx="16">
                  <c:v>1692</c:v>
                </c:pt>
                <c:pt idx="17">
                  <c:v>1032</c:v>
                </c:pt>
                <c:pt idx="18">
                  <c:v>1408.5</c:v>
                </c:pt>
                <c:pt idx="19">
                  <c:v>1408.5</c:v>
                </c:pt>
                <c:pt idx="20">
                  <c:v>1399</c:v>
                </c:pt>
                <c:pt idx="21">
                  <c:v>1435</c:v>
                </c:pt>
                <c:pt idx="23">
                  <c:v>1397</c:v>
                </c:pt>
                <c:pt idx="25">
                  <c:v>1620</c:v>
                </c:pt>
                <c:pt idx="26">
                  <c:v>1710</c:v>
                </c:pt>
              </c:numCache>
            </c:numRef>
          </c:yVal>
          <c:smooth val="0"/>
          <c:extLst>
            <c:ext xmlns:c16="http://schemas.microsoft.com/office/drawing/2014/chart" uri="{C3380CC4-5D6E-409C-BE32-E72D297353CC}">
              <c16:uniqueId val="{00000000-47EC-4714-80AC-59082D8D113E}"/>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Summary!$AE$94:$BG$94</c:f>
              <c:numCache>
                <c:formatCode>General</c:formatCode>
                <c:ptCount val="29"/>
                <c:pt idx="7">
                  <c:v>1300</c:v>
                </c:pt>
                <c:pt idx="8">
                  <c:v>1100</c:v>
                </c:pt>
                <c:pt idx="9">
                  <c:v>1100</c:v>
                </c:pt>
                <c:pt idx="13">
                  <c:v>1565</c:v>
                </c:pt>
                <c:pt idx="14">
                  <c:v>1540</c:v>
                </c:pt>
                <c:pt idx="15">
                  <c:v>1568</c:v>
                </c:pt>
                <c:pt idx="16">
                  <c:v>1568</c:v>
                </c:pt>
                <c:pt idx="17">
                  <c:v>1568</c:v>
                </c:pt>
                <c:pt idx="19">
                  <c:v>2459.1999999999998</c:v>
                </c:pt>
                <c:pt idx="20">
                  <c:v>2476.5</c:v>
                </c:pt>
                <c:pt idx="21">
                  <c:v>2545</c:v>
                </c:pt>
                <c:pt idx="22">
                  <c:v>2537</c:v>
                </c:pt>
                <c:pt idx="23">
                  <c:v>2469</c:v>
                </c:pt>
                <c:pt idx="24">
                  <c:v>2444</c:v>
                </c:pt>
                <c:pt idx="25">
                  <c:v>2455</c:v>
                </c:pt>
                <c:pt idx="26">
                  <c:v>2445</c:v>
                </c:pt>
                <c:pt idx="27">
                  <c:v>2476</c:v>
                </c:pt>
                <c:pt idx="28">
                  <c:v>2325</c:v>
                </c:pt>
              </c:numCache>
            </c:numRef>
          </c:yVal>
          <c:smooth val="0"/>
          <c:extLst>
            <c:ext xmlns:c16="http://schemas.microsoft.com/office/drawing/2014/chart" uri="{C3380CC4-5D6E-409C-BE32-E72D297353CC}">
              <c16:uniqueId val="{00000001-47EC-4714-80AC-59082D8D113E}"/>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Summary!$BI$94:$BP$94</c:f>
              <c:numCache>
                <c:formatCode>General</c:formatCode>
                <c:ptCount val="8"/>
                <c:pt idx="0">
                  <c:v>1090</c:v>
                </c:pt>
                <c:pt idx="1">
                  <c:v>1320</c:v>
                </c:pt>
                <c:pt idx="2">
                  <c:v>2027.2</c:v>
                </c:pt>
                <c:pt idx="3">
                  <c:v>2949</c:v>
                </c:pt>
                <c:pt idx="4">
                  <c:v>2010</c:v>
                </c:pt>
                <c:pt idx="5">
                  <c:v>2812</c:v>
                </c:pt>
                <c:pt idx="7">
                  <c:v>2017</c:v>
                </c:pt>
              </c:numCache>
            </c:numRef>
          </c:yVal>
          <c:smooth val="0"/>
          <c:extLst>
            <c:ext xmlns:c16="http://schemas.microsoft.com/office/drawing/2014/chart" uri="{C3380CC4-5D6E-409C-BE32-E72D297353CC}">
              <c16:uniqueId val="{00000002-47EC-4714-80AC-59082D8D113E}"/>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Summary!$BR$94:$CA$94</c:f>
              <c:numCache>
                <c:formatCode>General</c:formatCode>
                <c:ptCount val="10"/>
                <c:pt idx="0">
                  <c:v>377</c:v>
                </c:pt>
                <c:pt idx="1">
                  <c:v>330</c:v>
                </c:pt>
                <c:pt idx="2">
                  <c:v>628</c:v>
                </c:pt>
                <c:pt idx="3">
                  <c:v>690</c:v>
                </c:pt>
                <c:pt idx="4">
                  <c:v>659.43</c:v>
                </c:pt>
                <c:pt idx="5">
                  <c:v>689</c:v>
                </c:pt>
                <c:pt idx="6">
                  <c:v>846</c:v>
                </c:pt>
                <c:pt idx="7">
                  <c:v>851</c:v>
                </c:pt>
                <c:pt idx="8">
                  <c:v>871</c:v>
                </c:pt>
                <c:pt idx="9">
                  <c:v>500</c:v>
                </c:pt>
              </c:numCache>
            </c:numRef>
          </c:yVal>
          <c:smooth val="0"/>
          <c:extLst>
            <c:ext xmlns:c16="http://schemas.microsoft.com/office/drawing/2014/chart" uri="{C3380CC4-5D6E-409C-BE32-E72D297353CC}">
              <c16:uniqueId val="{00000003-47EC-4714-80AC-59082D8D113E}"/>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a:t>
                </a:r>
                <a:r>
                  <a:rPr lang="en-US" baseline="0"/>
                  <a:t> Off Power (HP)</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Base Engine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1"/>
            <c:dispEq val="1"/>
            <c:trendlineLbl>
              <c:layout>
                <c:manualLayout>
                  <c:x val="-2.430162669738219E-2"/>
                  <c:y val="-5.3449671342103378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Summary!$C$23:$CA$23</c:f>
              <c:numCache>
                <c:formatCode>General</c:formatCode>
                <c:ptCount val="77"/>
                <c:pt idx="0" formatCode="0">
                  <c:v>715</c:v>
                </c:pt>
                <c:pt idx="1">
                  <c:v>1292</c:v>
                </c:pt>
                <c:pt idx="2">
                  <c:v>1292</c:v>
                </c:pt>
                <c:pt idx="3">
                  <c:v>1287</c:v>
                </c:pt>
                <c:pt idx="4">
                  <c:v>1463</c:v>
                </c:pt>
                <c:pt idx="5">
                  <c:v>1310</c:v>
                </c:pt>
                <c:pt idx="6">
                  <c:v>1310</c:v>
                </c:pt>
                <c:pt idx="8">
                  <c:v>1345</c:v>
                </c:pt>
                <c:pt idx="9">
                  <c:v>1510</c:v>
                </c:pt>
                <c:pt idx="11">
                  <c:v>1355</c:v>
                </c:pt>
                <c:pt idx="12">
                  <c:v>2265</c:v>
                </c:pt>
                <c:pt idx="14">
                  <c:v>2290</c:v>
                </c:pt>
                <c:pt idx="15">
                  <c:v>1700</c:v>
                </c:pt>
                <c:pt idx="16">
                  <c:v>1715</c:v>
                </c:pt>
                <c:pt idx="17">
                  <c:v>1040.76</c:v>
                </c:pt>
                <c:pt idx="19">
                  <c:v>1375</c:v>
                </c:pt>
                <c:pt idx="20">
                  <c:v>1375</c:v>
                </c:pt>
                <c:pt idx="21">
                  <c:v>1435</c:v>
                </c:pt>
                <c:pt idx="22">
                  <c:v>1452</c:v>
                </c:pt>
                <c:pt idx="23">
                  <c:v>1375</c:v>
                </c:pt>
                <c:pt idx="24">
                  <c:v>1613</c:v>
                </c:pt>
                <c:pt idx="25">
                  <c:v>1613</c:v>
                </c:pt>
                <c:pt idx="26">
                  <c:v>1660</c:v>
                </c:pt>
                <c:pt idx="28">
                  <c:v>1105</c:v>
                </c:pt>
                <c:pt idx="29">
                  <c:v>1114</c:v>
                </c:pt>
                <c:pt idx="30">
                  <c:v>1114</c:v>
                </c:pt>
                <c:pt idx="31">
                  <c:v>1315</c:v>
                </c:pt>
                <c:pt idx="32">
                  <c:v>1315</c:v>
                </c:pt>
                <c:pt idx="33">
                  <c:v>1315</c:v>
                </c:pt>
                <c:pt idx="34">
                  <c:v>1315</c:v>
                </c:pt>
                <c:pt idx="35">
                  <c:v>1315</c:v>
                </c:pt>
                <c:pt idx="36">
                  <c:v>1114</c:v>
                </c:pt>
                <c:pt idx="37">
                  <c:v>1115</c:v>
                </c:pt>
                <c:pt idx="38">
                  <c:v>1272</c:v>
                </c:pt>
                <c:pt idx="39">
                  <c:v>1302</c:v>
                </c:pt>
                <c:pt idx="40">
                  <c:v>1272</c:v>
                </c:pt>
                <c:pt idx="41">
                  <c:v>1560</c:v>
                </c:pt>
                <c:pt idx="42">
                  <c:v>1550</c:v>
                </c:pt>
                <c:pt idx="43">
                  <c:v>1560</c:v>
                </c:pt>
                <c:pt idx="44">
                  <c:v>1560</c:v>
                </c:pt>
                <c:pt idx="45">
                  <c:v>1560</c:v>
                </c:pt>
                <c:pt idx="46">
                  <c:v>1333</c:v>
                </c:pt>
                <c:pt idx="47">
                  <c:v>2560</c:v>
                </c:pt>
                <c:pt idx="48">
                  <c:v>2560</c:v>
                </c:pt>
                <c:pt idx="49">
                  <c:v>2560</c:v>
                </c:pt>
                <c:pt idx="50">
                  <c:v>2560</c:v>
                </c:pt>
                <c:pt idx="51">
                  <c:v>2460</c:v>
                </c:pt>
                <c:pt idx="52">
                  <c:v>2460</c:v>
                </c:pt>
                <c:pt idx="53">
                  <c:v>2460</c:v>
                </c:pt>
                <c:pt idx="54">
                  <c:v>2460</c:v>
                </c:pt>
                <c:pt idx="55">
                  <c:v>2460</c:v>
                </c:pt>
                <c:pt idx="56">
                  <c:v>2359</c:v>
                </c:pt>
                <c:pt idx="58">
                  <c:v>1130</c:v>
                </c:pt>
                <c:pt idx="59">
                  <c:v>1333</c:v>
                </c:pt>
                <c:pt idx="60">
                  <c:v>1978.5</c:v>
                </c:pt>
                <c:pt idx="61">
                  <c:v>2822</c:v>
                </c:pt>
                <c:pt idx="62">
                  <c:v>2045</c:v>
                </c:pt>
                <c:pt idx="63">
                  <c:v>2822</c:v>
                </c:pt>
                <c:pt idx="65">
                  <c:v>2045</c:v>
                </c:pt>
                <c:pt idx="67">
                  <c:v>376</c:v>
                </c:pt>
                <c:pt idx="70">
                  <c:v>695</c:v>
                </c:pt>
                <c:pt idx="71">
                  <c:v>674</c:v>
                </c:pt>
                <c:pt idx="72">
                  <c:v>665</c:v>
                </c:pt>
                <c:pt idx="73">
                  <c:v>854</c:v>
                </c:pt>
                <c:pt idx="74">
                  <c:v>854</c:v>
                </c:pt>
                <c:pt idx="75">
                  <c:v>865</c:v>
                </c:pt>
              </c:numCache>
            </c:numRef>
          </c:yVal>
          <c:smooth val="0"/>
          <c:extLst>
            <c:ext xmlns:c16="http://schemas.microsoft.com/office/drawing/2014/chart" uri="{C3380CC4-5D6E-409C-BE32-E72D297353CC}">
              <c16:uniqueId val="{00000000-39A2-4010-B578-D3C344587101}"/>
            </c:ext>
          </c:extLst>
        </c:ser>
        <c:ser>
          <c:idx val="0"/>
          <c:order val="1"/>
          <c:tx>
            <c:v>Fighter (USAAC)</c:v>
          </c:tx>
          <c:spPr>
            <a:ln w="1905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Summary!$C$23:$AC$23</c:f>
              <c:numCache>
                <c:formatCode>General</c:formatCode>
                <c:ptCount val="27"/>
                <c:pt idx="0" formatCode="0">
                  <c:v>715</c:v>
                </c:pt>
                <c:pt idx="1">
                  <c:v>1292</c:v>
                </c:pt>
                <c:pt idx="2">
                  <c:v>1292</c:v>
                </c:pt>
                <c:pt idx="3">
                  <c:v>1287</c:v>
                </c:pt>
                <c:pt idx="4">
                  <c:v>1463</c:v>
                </c:pt>
                <c:pt idx="5">
                  <c:v>1310</c:v>
                </c:pt>
                <c:pt idx="6">
                  <c:v>1310</c:v>
                </c:pt>
                <c:pt idx="8">
                  <c:v>1345</c:v>
                </c:pt>
                <c:pt idx="9">
                  <c:v>1510</c:v>
                </c:pt>
                <c:pt idx="11">
                  <c:v>1355</c:v>
                </c:pt>
                <c:pt idx="12">
                  <c:v>2265</c:v>
                </c:pt>
                <c:pt idx="14">
                  <c:v>2290</c:v>
                </c:pt>
                <c:pt idx="15">
                  <c:v>1700</c:v>
                </c:pt>
                <c:pt idx="16">
                  <c:v>1715</c:v>
                </c:pt>
                <c:pt idx="17">
                  <c:v>1040.76</c:v>
                </c:pt>
                <c:pt idx="19">
                  <c:v>1375</c:v>
                </c:pt>
                <c:pt idx="20">
                  <c:v>1375</c:v>
                </c:pt>
                <c:pt idx="21">
                  <c:v>1435</c:v>
                </c:pt>
                <c:pt idx="22">
                  <c:v>1452</c:v>
                </c:pt>
                <c:pt idx="23">
                  <c:v>1375</c:v>
                </c:pt>
                <c:pt idx="24">
                  <c:v>1613</c:v>
                </c:pt>
                <c:pt idx="25">
                  <c:v>1613</c:v>
                </c:pt>
                <c:pt idx="26">
                  <c:v>1660</c:v>
                </c:pt>
              </c:numCache>
            </c:numRef>
          </c:yVal>
          <c:smooth val="0"/>
          <c:extLst>
            <c:ext xmlns:c16="http://schemas.microsoft.com/office/drawing/2014/chart" uri="{C3380CC4-5D6E-409C-BE32-E72D297353CC}">
              <c16:uniqueId val="{00000000-B43C-407C-9042-3571B19B62F4}"/>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Summary!$AE$23:$BG$23</c:f>
              <c:numCache>
                <c:formatCode>General</c:formatCode>
                <c:ptCount val="29"/>
                <c:pt idx="0">
                  <c:v>1105</c:v>
                </c:pt>
                <c:pt idx="1">
                  <c:v>1114</c:v>
                </c:pt>
                <c:pt idx="2">
                  <c:v>1114</c:v>
                </c:pt>
                <c:pt idx="3">
                  <c:v>1315</c:v>
                </c:pt>
                <c:pt idx="4">
                  <c:v>1315</c:v>
                </c:pt>
                <c:pt idx="5">
                  <c:v>1315</c:v>
                </c:pt>
                <c:pt idx="6">
                  <c:v>1315</c:v>
                </c:pt>
                <c:pt idx="7">
                  <c:v>1315</c:v>
                </c:pt>
                <c:pt idx="8">
                  <c:v>1114</c:v>
                </c:pt>
                <c:pt idx="9">
                  <c:v>1115</c:v>
                </c:pt>
                <c:pt idx="10">
                  <c:v>1272</c:v>
                </c:pt>
                <c:pt idx="11">
                  <c:v>1302</c:v>
                </c:pt>
                <c:pt idx="12">
                  <c:v>1272</c:v>
                </c:pt>
                <c:pt idx="13">
                  <c:v>1560</c:v>
                </c:pt>
                <c:pt idx="14">
                  <c:v>1550</c:v>
                </c:pt>
                <c:pt idx="15">
                  <c:v>1560</c:v>
                </c:pt>
                <c:pt idx="16">
                  <c:v>1560</c:v>
                </c:pt>
                <c:pt idx="17">
                  <c:v>1560</c:v>
                </c:pt>
                <c:pt idx="18">
                  <c:v>1333</c:v>
                </c:pt>
                <c:pt idx="19">
                  <c:v>2560</c:v>
                </c:pt>
                <c:pt idx="20">
                  <c:v>2560</c:v>
                </c:pt>
                <c:pt idx="21">
                  <c:v>2560</c:v>
                </c:pt>
                <c:pt idx="22">
                  <c:v>2560</c:v>
                </c:pt>
                <c:pt idx="23">
                  <c:v>2460</c:v>
                </c:pt>
                <c:pt idx="24">
                  <c:v>2460</c:v>
                </c:pt>
                <c:pt idx="25">
                  <c:v>2460</c:v>
                </c:pt>
                <c:pt idx="26">
                  <c:v>2460</c:v>
                </c:pt>
                <c:pt idx="27">
                  <c:v>2460</c:v>
                </c:pt>
                <c:pt idx="28">
                  <c:v>2359</c:v>
                </c:pt>
              </c:numCache>
            </c:numRef>
          </c:yVal>
          <c:smooth val="0"/>
          <c:extLst>
            <c:ext xmlns:c16="http://schemas.microsoft.com/office/drawing/2014/chart" uri="{C3380CC4-5D6E-409C-BE32-E72D297353CC}">
              <c16:uniqueId val="{00000001-B43C-407C-9042-3571B19B62F4}"/>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Summary!$BI$23:$BP$23</c:f>
              <c:numCache>
                <c:formatCode>General</c:formatCode>
                <c:ptCount val="8"/>
                <c:pt idx="0">
                  <c:v>1130</c:v>
                </c:pt>
                <c:pt idx="1">
                  <c:v>1333</c:v>
                </c:pt>
                <c:pt idx="2">
                  <c:v>1978.5</c:v>
                </c:pt>
                <c:pt idx="3">
                  <c:v>2822</c:v>
                </c:pt>
                <c:pt idx="4">
                  <c:v>2045</c:v>
                </c:pt>
                <c:pt idx="5">
                  <c:v>2822</c:v>
                </c:pt>
                <c:pt idx="7">
                  <c:v>2045</c:v>
                </c:pt>
              </c:numCache>
            </c:numRef>
          </c:yVal>
          <c:smooth val="0"/>
          <c:extLst>
            <c:ext xmlns:c16="http://schemas.microsoft.com/office/drawing/2014/chart" uri="{C3380CC4-5D6E-409C-BE32-E72D297353CC}">
              <c16:uniqueId val="{00000002-B43C-407C-9042-3571B19B62F4}"/>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Summary!$BR$23:$CA$23</c:f>
              <c:numCache>
                <c:formatCode>General</c:formatCode>
                <c:ptCount val="10"/>
                <c:pt idx="0">
                  <c:v>376</c:v>
                </c:pt>
                <c:pt idx="3">
                  <c:v>695</c:v>
                </c:pt>
                <c:pt idx="4">
                  <c:v>674</c:v>
                </c:pt>
                <c:pt idx="5">
                  <c:v>665</c:v>
                </c:pt>
                <c:pt idx="6">
                  <c:v>854</c:v>
                </c:pt>
                <c:pt idx="7">
                  <c:v>854</c:v>
                </c:pt>
                <c:pt idx="8">
                  <c:v>865</c:v>
                </c:pt>
              </c:numCache>
            </c:numRef>
          </c:yVal>
          <c:smooth val="0"/>
          <c:extLst>
            <c:ext xmlns:c16="http://schemas.microsoft.com/office/drawing/2014/chart" uri="{C3380CC4-5D6E-409C-BE32-E72D297353CC}">
              <c16:uniqueId val="{00000003-B43C-407C-9042-3571B19B62F4}"/>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a:t>
                </a:r>
                <a:r>
                  <a:rPr lang="en-US" baseline="0"/>
                  <a:t> Off Power (HP)</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As Installed Engine </a:t>
            </a:r>
            <a:r>
              <a:rPr lang="en-US"/>
              <a:t>Wt vs Base Engine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Summary!$C$23:$AC$23</c:f>
              <c:numCache>
                <c:formatCode>General</c:formatCode>
                <c:ptCount val="27"/>
                <c:pt idx="0" formatCode="0">
                  <c:v>715</c:v>
                </c:pt>
                <c:pt idx="1">
                  <c:v>1292</c:v>
                </c:pt>
                <c:pt idx="2">
                  <c:v>1292</c:v>
                </c:pt>
                <c:pt idx="3">
                  <c:v>1287</c:v>
                </c:pt>
                <c:pt idx="4">
                  <c:v>1463</c:v>
                </c:pt>
                <c:pt idx="5">
                  <c:v>1310</c:v>
                </c:pt>
                <c:pt idx="6">
                  <c:v>1310</c:v>
                </c:pt>
                <c:pt idx="8">
                  <c:v>1345</c:v>
                </c:pt>
                <c:pt idx="9">
                  <c:v>1510</c:v>
                </c:pt>
                <c:pt idx="11">
                  <c:v>1355</c:v>
                </c:pt>
                <c:pt idx="12">
                  <c:v>2265</c:v>
                </c:pt>
                <c:pt idx="14">
                  <c:v>2290</c:v>
                </c:pt>
                <c:pt idx="15">
                  <c:v>1700</c:v>
                </c:pt>
                <c:pt idx="16">
                  <c:v>1715</c:v>
                </c:pt>
                <c:pt idx="17">
                  <c:v>1040.76</c:v>
                </c:pt>
                <c:pt idx="19">
                  <c:v>1375</c:v>
                </c:pt>
                <c:pt idx="20">
                  <c:v>1375</c:v>
                </c:pt>
                <c:pt idx="21">
                  <c:v>1435</c:v>
                </c:pt>
                <c:pt idx="22">
                  <c:v>1452</c:v>
                </c:pt>
                <c:pt idx="23">
                  <c:v>1375</c:v>
                </c:pt>
                <c:pt idx="24">
                  <c:v>1613</c:v>
                </c:pt>
                <c:pt idx="25">
                  <c:v>1613</c:v>
                </c:pt>
                <c:pt idx="26">
                  <c:v>1660</c:v>
                </c:pt>
              </c:numCache>
            </c:numRef>
          </c:xVal>
          <c:yVal>
            <c:numRef>
              <c:f>Summary!$C$94:$AC$94</c:f>
              <c:numCache>
                <c:formatCode>General</c:formatCode>
                <c:ptCount val="27"/>
                <c:pt idx="0">
                  <c:v>732</c:v>
                </c:pt>
                <c:pt idx="1">
                  <c:v>1291</c:v>
                </c:pt>
                <c:pt idx="2">
                  <c:v>1352</c:v>
                </c:pt>
                <c:pt idx="5">
                  <c:v>1307</c:v>
                </c:pt>
                <c:pt idx="6">
                  <c:v>1311</c:v>
                </c:pt>
                <c:pt idx="7">
                  <c:v>1518</c:v>
                </c:pt>
                <c:pt idx="8">
                  <c:v>1324</c:v>
                </c:pt>
                <c:pt idx="9">
                  <c:v>1523</c:v>
                </c:pt>
                <c:pt idx="10">
                  <c:v>1337</c:v>
                </c:pt>
                <c:pt idx="11">
                  <c:v>1340</c:v>
                </c:pt>
                <c:pt idx="12">
                  <c:v>2223</c:v>
                </c:pt>
                <c:pt idx="13">
                  <c:v>2265</c:v>
                </c:pt>
                <c:pt idx="14">
                  <c:v>2283.1999999999998</c:v>
                </c:pt>
                <c:pt idx="16">
                  <c:v>1692</c:v>
                </c:pt>
                <c:pt idx="17">
                  <c:v>1032</c:v>
                </c:pt>
                <c:pt idx="18">
                  <c:v>1408.5</c:v>
                </c:pt>
                <c:pt idx="19">
                  <c:v>1408.5</c:v>
                </c:pt>
                <c:pt idx="20">
                  <c:v>1399</c:v>
                </c:pt>
                <c:pt idx="21">
                  <c:v>1435</c:v>
                </c:pt>
                <c:pt idx="23">
                  <c:v>1397</c:v>
                </c:pt>
                <c:pt idx="25">
                  <c:v>1620</c:v>
                </c:pt>
                <c:pt idx="26">
                  <c:v>1710</c:v>
                </c:pt>
              </c:numCache>
            </c:numRef>
          </c:yVal>
          <c:smooth val="0"/>
          <c:extLst>
            <c:ext xmlns:c16="http://schemas.microsoft.com/office/drawing/2014/chart" uri="{C3380CC4-5D6E-409C-BE32-E72D297353CC}">
              <c16:uniqueId val="{00000000-9F83-45C1-A222-19A5C863B908}"/>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Summary!$AE$23:$BG$23</c:f>
              <c:numCache>
                <c:formatCode>General</c:formatCode>
                <c:ptCount val="29"/>
                <c:pt idx="0">
                  <c:v>1105</c:v>
                </c:pt>
                <c:pt idx="1">
                  <c:v>1114</c:v>
                </c:pt>
                <c:pt idx="2">
                  <c:v>1114</c:v>
                </c:pt>
                <c:pt idx="3">
                  <c:v>1315</c:v>
                </c:pt>
                <c:pt idx="4">
                  <c:v>1315</c:v>
                </c:pt>
                <c:pt idx="5">
                  <c:v>1315</c:v>
                </c:pt>
                <c:pt idx="6">
                  <c:v>1315</c:v>
                </c:pt>
                <c:pt idx="7">
                  <c:v>1315</c:v>
                </c:pt>
                <c:pt idx="8">
                  <c:v>1114</c:v>
                </c:pt>
                <c:pt idx="9">
                  <c:v>1115</c:v>
                </c:pt>
                <c:pt idx="10">
                  <c:v>1272</c:v>
                </c:pt>
                <c:pt idx="11">
                  <c:v>1302</c:v>
                </c:pt>
                <c:pt idx="12">
                  <c:v>1272</c:v>
                </c:pt>
                <c:pt idx="13">
                  <c:v>1560</c:v>
                </c:pt>
                <c:pt idx="14">
                  <c:v>1550</c:v>
                </c:pt>
                <c:pt idx="15">
                  <c:v>1560</c:v>
                </c:pt>
                <c:pt idx="16">
                  <c:v>1560</c:v>
                </c:pt>
                <c:pt idx="17">
                  <c:v>1560</c:v>
                </c:pt>
                <c:pt idx="18">
                  <c:v>1333</c:v>
                </c:pt>
                <c:pt idx="19">
                  <c:v>2560</c:v>
                </c:pt>
                <c:pt idx="20">
                  <c:v>2560</c:v>
                </c:pt>
                <c:pt idx="21">
                  <c:v>2560</c:v>
                </c:pt>
                <c:pt idx="22">
                  <c:v>2560</c:v>
                </c:pt>
                <c:pt idx="23">
                  <c:v>2460</c:v>
                </c:pt>
                <c:pt idx="24">
                  <c:v>2460</c:v>
                </c:pt>
                <c:pt idx="25">
                  <c:v>2460</c:v>
                </c:pt>
                <c:pt idx="26">
                  <c:v>2460</c:v>
                </c:pt>
                <c:pt idx="27">
                  <c:v>2460</c:v>
                </c:pt>
                <c:pt idx="28">
                  <c:v>2359</c:v>
                </c:pt>
              </c:numCache>
            </c:numRef>
          </c:xVal>
          <c:yVal>
            <c:numRef>
              <c:f>Summary!$AE$94:$BG$94</c:f>
              <c:numCache>
                <c:formatCode>General</c:formatCode>
                <c:ptCount val="29"/>
                <c:pt idx="7">
                  <c:v>1300</c:v>
                </c:pt>
                <c:pt idx="8">
                  <c:v>1100</c:v>
                </c:pt>
                <c:pt idx="9">
                  <c:v>1100</c:v>
                </c:pt>
                <c:pt idx="13">
                  <c:v>1565</c:v>
                </c:pt>
                <c:pt idx="14">
                  <c:v>1540</c:v>
                </c:pt>
                <c:pt idx="15">
                  <c:v>1568</c:v>
                </c:pt>
                <c:pt idx="16">
                  <c:v>1568</c:v>
                </c:pt>
                <c:pt idx="17">
                  <c:v>1568</c:v>
                </c:pt>
                <c:pt idx="19">
                  <c:v>2459.1999999999998</c:v>
                </c:pt>
                <c:pt idx="20">
                  <c:v>2476.5</c:v>
                </c:pt>
                <c:pt idx="21">
                  <c:v>2545</c:v>
                </c:pt>
                <c:pt idx="22">
                  <c:v>2537</c:v>
                </c:pt>
                <c:pt idx="23">
                  <c:v>2469</c:v>
                </c:pt>
                <c:pt idx="24">
                  <c:v>2444</c:v>
                </c:pt>
                <c:pt idx="25">
                  <c:v>2455</c:v>
                </c:pt>
                <c:pt idx="26">
                  <c:v>2445</c:v>
                </c:pt>
                <c:pt idx="27">
                  <c:v>2476</c:v>
                </c:pt>
                <c:pt idx="28">
                  <c:v>2325</c:v>
                </c:pt>
              </c:numCache>
            </c:numRef>
          </c:yVal>
          <c:smooth val="0"/>
          <c:extLst>
            <c:ext xmlns:c16="http://schemas.microsoft.com/office/drawing/2014/chart" uri="{C3380CC4-5D6E-409C-BE32-E72D297353CC}">
              <c16:uniqueId val="{00000001-9F83-45C1-A222-19A5C863B908}"/>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Summary!$BI$23:$BP$23</c:f>
              <c:numCache>
                <c:formatCode>General</c:formatCode>
                <c:ptCount val="8"/>
                <c:pt idx="0">
                  <c:v>1130</c:v>
                </c:pt>
                <c:pt idx="1">
                  <c:v>1333</c:v>
                </c:pt>
                <c:pt idx="2">
                  <c:v>1978.5</c:v>
                </c:pt>
                <c:pt idx="3">
                  <c:v>2822</c:v>
                </c:pt>
                <c:pt idx="4">
                  <c:v>2045</c:v>
                </c:pt>
                <c:pt idx="5">
                  <c:v>2822</c:v>
                </c:pt>
                <c:pt idx="7">
                  <c:v>2045</c:v>
                </c:pt>
              </c:numCache>
            </c:numRef>
          </c:xVal>
          <c:yVal>
            <c:numRef>
              <c:f>Summary!$BI$94:$BP$94</c:f>
              <c:numCache>
                <c:formatCode>General</c:formatCode>
                <c:ptCount val="8"/>
                <c:pt idx="0">
                  <c:v>1090</c:v>
                </c:pt>
                <c:pt idx="1">
                  <c:v>1320</c:v>
                </c:pt>
                <c:pt idx="2">
                  <c:v>2027.2</c:v>
                </c:pt>
                <c:pt idx="3">
                  <c:v>2949</c:v>
                </c:pt>
                <c:pt idx="4">
                  <c:v>2010</c:v>
                </c:pt>
                <c:pt idx="5">
                  <c:v>2812</c:v>
                </c:pt>
                <c:pt idx="7">
                  <c:v>2017</c:v>
                </c:pt>
              </c:numCache>
            </c:numRef>
          </c:yVal>
          <c:smooth val="0"/>
          <c:extLst>
            <c:ext xmlns:c16="http://schemas.microsoft.com/office/drawing/2014/chart" uri="{C3380CC4-5D6E-409C-BE32-E72D297353CC}">
              <c16:uniqueId val="{00000002-9F83-45C1-A222-19A5C863B908}"/>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Summary!$BR$23:$CA$23</c:f>
              <c:numCache>
                <c:formatCode>General</c:formatCode>
                <c:ptCount val="10"/>
                <c:pt idx="0">
                  <c:v>376</c:v>
                </c:pt>
                <c:pt idx="3">
                  <c:v>695</c:v>
                </c:pt>
                <c:pt idx="4">
                  <c:v>674</c:v>
                </c:pt>
                <c:pt idx="5">
                  <c:v>665</c:v>
                </c:pt>
                <c:pt idx="6">
                  <c:v>854</c:v>
                </c:pt>
                <c:pt idx="7">
                  <c:v>854</c:v>
                </c:pt>
                <c:pt idx="8">
                  <c:v>865</c:v>
                </c:pt>
              </c:numCache>
            </c:numRef>
          </c:xVal>
          <c:yVal>
            <c:numRef>
              <c:f>Summary!$BR$94:$CA$94</c:f>
              <c:numCache>
                <c:formatCode>General</c:formatCode>
                <c:ptCount val="10"/>
                <c:pt idx="0">
                  <c:v>377</c:v>
                </c:pt>
                <c:pt idx="1">
                  <c:v>330</c:v>
                </c:pt>
                <c:pt idx="2">
                  <c:v>628</c:v>
                </c:pt>
                <c:pt idx="3">
                  <c:v>690</c:v>
                </c:pt>
                <c:pt idx="4">
                  <c:v>659.43</c:v>
                </c:pt>
                <c:pt idx="5">
                  <c:v>689</c:v>
                </c:pt>
                <c:pt idx="6">
                  <c:v>846</c:v>
                </c:pt>
                <c:pt idx="7">
                  <c:v>851</c:v>
                </c:pt>
                <c:pt idx="8">
                  <c:v>871</c:v>
                </c:pt>
                <c:pt idx="9">
                  <c:v>500</c:v>
                </c:pt>
              </c:numCache>
            </c:numRef>
          </c:yVal>
          <c:smooth val="0"/>
          <c:extLst>
            <c:ext xmlns:c16="http://schemas.microsoft.com/office/drawing/2014/chart" uri="{C3380CC4-5D6E-409C-BE32-E72D297353CC}">
              <c16:uniqueId val="{00000003-9F83-45C1-A222-19A5C863B908}"/>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Base Engine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AsInstalled Engine 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102701494426"/>
          <c:h val="0.1363420135152995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Engine  Accessories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Summary!$C$95:$AC$95</c:f>
              <c:numCache>
                <c:formatCode>General</c:formatCode>
                <c:ptCount val="27"/>
                <c:pt idx="0">
                  <c:v>38</c:v>
                </c:pt>
                <c:pt idx="1">
                  <c:v>93</c:v>
                </c:pt>
                <c:pt idx="2">
                  <c:v>106</c:v>
                </c:pt>
                <c:pt idx="5">
                  <c:v>106</c:v>
                </c:pt>
                <c:pt idx="6">
                  <c:v>105</c:v>
                </c:pt>
                <c:pt idx="7">
                  <c:v>114</c:v>
                </c:pt>
                <c:pt idx="8">
                  <c:v>73</c:v>
                </c:pt>
                <c:pt idx="9">
                  <c:v>60</c:v>
                </c:pt>
                <c:pt idx="10">
                  <c:v>81</c:v>
                </c:pt>
                <c:pt idx="11">
                  <c:v>92</c:v>
                </c:pt>
                <c:pt idx="12">
                  <c:v>457</c:v>
                </c:pt>
                <c:pt idx="13">
                  <c:v>954</c:v>
                </c:pt>
                <c:pt idx="14">
                  <c:v>977</c:v>
                </c:pt>
                <c:pt idx="16">
                  <c:v>88</c:v>
                </c:pt>
                <c:pt idx="17">
                  <c:v>215</c:v>
                </c:pt>
                <c:pt idx="18">
                  <c:v>115.6</c:v>
                </c:pt>
                <c:pt idx="19">
                  <c:v>115.6</c:v>
                </c:pt>
                <c:pt idx="20">
                  <c:v>115</c:v>
                </c:pt>
                <c:pt idx="21">
                  <c:v>119.2</c:v>
                </c:pt>
                <c:pt idx="23">
                  <c:v>119.2</c:v>
                </c:pt>
                <c:pt idx="25">
                  <c:v>105.3</c:v>
                </c:pt>
                <c:pt idx="26">
                  <c:v>114</c:v>
                </c:pt>
              </c:numCache>
            </c:numRef>
          </c:yVal>
          <c:smooth val="0"/>
          <c:extLst>
            <c:ext xmlns:c16="http://schemas.microsoft.com/office/drawing/2014/chart" uri="{C3380CC4-5D6E-409C-BE32-E72D297353CC}">
              <c16:uniqueId val="{00000000-FD37-4083-AE5D-C8D2B78F396A}"/>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Summary!$AE$95:$BG$95</c:f>
              <c:numCache>
                <c:formatCode>General</c:formatCode>
                <c:ptCount val="29"/>
                <c:pt idx="7">
                  <c:v>81</c:v>
                </c:pt>
                <c:pt idx="8">
                  <c:v>86.2</c:v>
                </c:pt>
                <c:pt idx="9">
                  <c:v>86.2</c:v>
                </c:pt>
                <c:pt idx="13">
                  <c:v>242</c:v>
                </c:pt>
                <c:pt idx="14">
                  <c:v>242</c:v>
                </c:pt>
                <c:pt idx="15">
                  <c:v>242</c:v>
                </c:pt>
                <c:pt idx="16">
                  <c:v>221</c:v>
                </c:pt>
                <c:pt idx="17">
                  <c:v>242</c:v>
                </c:pt>
                <c:pt idx="19">
                  <c:v>278.89999999999998</c:v>
                </c:pt>
                <c:pt idx="20">
                  <c:v>259</c:v>
                </c:pt>
                <c:pt idx="21">
                  <c:v>280</c:v>
                </c:pt>
                <c:pt idx="22">
                  <c:v>285.5</c:v>
                </c:pt>
                <c:pt idx="23">
                  <c:v>314</c:v>
                </c:pt>
                <c:pt idx="24">
                  <c:v>318.3</c:v>
                </c:pt>
                <c:pt idx="25">
                  <c:v>318</c:v>
                </c:pt>
                <c:pt idx="26">
                  <c:v>318</c:v>
                </c:pt>
                <c:pt idx="27">
                  <c:v>315</c:v>
                </c:pt>
                <c:pt idx="28">
                  <c:v>127</c:v>
                </c:pt>
              </c:numCache>
            </c:numRef>
          </c:yVal>
          <c:smooth val="0"/>
          <c:extLst>
            <c:ext xmlns:c16="http://schemas.microsoft.com/office/drawing/2014/chart" uri="{C3380CC4-5D6E-409C-BE32-E72D297353CC}">
              <c16:uniqueId val="{00000001-FD37-4083-AE5D-C8D2B78F396A}"/>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Summary!$BI$95:$BP$95</c:f>
              <c:numCache>
                <c:formatCode>General</c:formatCode>
                <c:ptCount val="8"/>
                <c:pt idx="0">
                  <c:v>108</c:v>
                </c:pt>
                <c:pt idx="1">
                  <c:v>76</c:v>
                </c:pt>
                <c:pt idx="2">
                  <c:v>152.80000000000001</c:v>
                </c:pt>
                <c:pt idx="3">
                  <c:v>123</c:v>
                </c:pt>
                <c:pt idx="4">
                  <c:v>148</c:v>
                </c:pt>
                <c:pt idx="5">
                  <c:v>109</c:v>
                </c:pt>
                <c:pt idx="7">
                  <c:v>116</c:v>
                </c:pt>
              </c:numCache>
            </c:numRef>
          </c:yVal>
          <c:smooth val="0"/>
          <c:extLst>
            <c:ext xmlns:c16="http://schemas.microsoft.com/office/drawing/2014/chart" uri="{C3380CC4-5D6E-409C-BE32-E72D297353CC}">
              <c16:uniqueId val="{00000002-FD37-4083-AE5D-C8D2B78F396A}"/>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Summary!$BR$95:$CA$95</c:f>
              <c:numCache>
                <c:formatCode>General</c:formatCode>
                <c:ptCount val="10"/>
                <c:pt idx="0">
                  <c:v>30</c:v>
                </c:pt>
                <c:pt idx="1">
                  <c:v>19</c:v>
                </c:pt>
                <c:pt idx="2">
                  <c:v>63</c:v>
                </c:pt>
                <c:pt idx="3">
                  <c:v>50</c:v>
                </c:pt>
                <c:pt idx="4">
                  <c:v>75.73</c:v>
                </c:pt>
                <c:pt idx="5">
                  <c:v>61</c:v>
                </c:pt>
                <c:pt idx="6">
                  <c:v>73</c:v>
                </c:pt>
                <c:pt idx="7">
                  <c:v>88</c:v>
                </c:pt>
                <c:pt idx="8">
                  <c:v>74</c:v>
                </c:pt>
                <c:pt idx="9">
                  <c:v>24</c:v>
                </c:pt>
              </c:numCache>
            </c:numRef>
          </c:yVal>
          <c:smooth val="0"/>
          <c:extLst>
            <c:ext xmlns:c16="http://schemas.microsoft.com/office/drawing/2014/chart" uri="{C3380CC4-5D6E-409C-BE32-E72D297353CC}">
              <c16:uniqueId val="{00000003-FD37-4083-AE5D-C8D2B78F396A}"/>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 Off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Take-Off Power vs Normal Rating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1"/>
            <c:dispEq val="1"/>
            <c:trendlineLbl>
              <c:layout>
                <c:manualLayout>
                  <c:x val="-6.681365535371038E-2"/>
                  <c:y val="7.7745815096871736E-3"/>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Summary!$C$16:$CA$16</c:f>
              <c:numCache>
                <c:formatCode>General</c:formatCode>
                <c:ptCount val="77"/>
                <c:pt idx="0">
                  <c:v>570</c:v>
                </c:pt>
                <c:pt idx="1">
                  <c:v>850</c:v>
                </c:pt>
                <c:pt idx="2">
                  <c:v>900</c:v>
                </c:pt>
                <c:pt idx="3">
                  <c:v>900</c:v>
                </c:pt>
                <c:pt idx="4">
                  <c:v>950</c:v>
                </c:pt>
                <c:pt idx="12">
                  <c:v>1625</c:v>
                </c:pt>
                <c:pt idx="14">
                  <c:v>1625</c:v>
                </c:pt>
                <c:pt idx="28">
                  <c:v>850</c:v>
                </c:pt>
                <c:pt idx="29">
                  <c:v>850</c:v>
                </c:pt>
                <c:pt idx="30">
                  <c:v>850</c:v>
                </c:pt>
                <c:pt idx="31">
                  <c:v>1000</c:v>
                </c:pt>
                <c:pt idx="32">
                  <c:v>1000</c:v>
                </c:pt>
                <c:pt idx="33">
                  <c:v>1000</c:v>
                </c:pt>
                <c:pt idx="34">
                  <c:v>1000</c:v>
                </c:pt>
                <c:pt idx="35">
                  <c:v>1000</c:v>
                </c:pt>
                <c:pt idx="36">
                  <c:v>850</c:v>
                </c:pt>
                <c:pt idx="37">
                  <c:v>850</c:v>
                </c:pt>
                <c:pt idx="38">
                  <c:v>900</c:v>
                </c:pt>
                <c:pt idx="39">
                  <c:v>1000</c:v>
                </c:pt>
                <c:pt idx="40">
                  <c:v>900</c:v>
                </c:pt>
                <c:pt idx="41">
                  <c:v>1100</c:v>
                </c:pt>
                <c:pt idx="42">
                  <c:v>1100</c:v>
                </c:pt>
                <c:pt idx="43">
                  <c:v>1100</c:v>
                </c:pt>
                <c:pt idx="44">
                  <c:v>1100</c:v>
                </c:pt>
                <c:pt idx="45">
                  <c:v>1100</c:v>
                </c:pt>
                <c:pt idx="46">
                  <c:v>1200</c:v>
                </c:pt>
                <c:pt idx="47">
                  <c:v>1675</c:v>
                </c:pt>
                <c:pt idx="48">
                  <c:v>1675</c:v>
                </c:pt>
                <c:pt idx="49">
                  <c:v>1700</c:v>
                </c:pt>
                <c:pt idx="50">
                  <c:v>1700</c:v>
                </c:pt>
                <c:pt idx="51">
                  <c:v>1675</c:v>
                </c:pt>
                <c:pt idx="52">
                  <c:v>1675</c:v>
                </c:pt>
                <c:pt idx="53">
                  <c:v>1675</c:v>
                </c:pt>
                <c:pt idx="54">
                  <c:v>1675</c:v>
                </c:pt>
                <c:pt idx="55">
                  <c:v>1675</c:v>
                </c:pt>
                <c:pt idx="56">
                  <c:v>1700</c:v>
                </c:pt>
                <c:pt idx="58">
                  <c:v>750</c:v>
                </c:pt>
                <c:pt idx="59">
                  <c:v>1200</c:v>
                </c:pt>
                <c:pt idx="60">
                  <c:v>1500</c:v>
                </c:pt>
                <c:pt idx="61">
                  <c:v>2300</c:v>
                </c:pt>
                <c:pt idx="62">
                  <c:v>1600</c:v>
                </c:pt>
                <c:pt idx="63">
                  <c:v>2100</c:v>
                </c:pt>
                <c:pt idx="65">
                  <c:v>1600</c:v>
                </c:pt>
                <c:pt idx="69">
                  <c:v>440</c:v>
                </c:pt>
                <c:pt idx="70">
                  <c:v>400</c:v>
                </c:pt>
                <c:pt idx="71">
                  <c:v>450</c:v>
                </c:pt>
                <c:pt idx="72">
                  <c:v>450</c:v>
                </c:pt>
                <c:pt idx="73">
                  <c:v>550</c:v>
                </c:pt>
                <c:pt idx="74">
                  <c:v>550</c:v>
                </c:pt>
                <c:pt idx="75">
                  <c:v>550</c:v>
                </c:pt>
              </c:numCache>
            </c:numRef>
          </c:xVal>
          <c:y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yVal>
          <c:smooth val="0"/>
          <c:extLst>
            <c:ext xmlns:c16="http://schemas.microsoft.com/office/drawing/2014/chart" uri="{C3380CC4-5D6E-409C-BE32-E72D297353CC}">
              <c16:uniqueId val="{00000004-C9CE-41F6-ABB3-45216D332D8B}"/>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Summary!$C$16:$AC$16</c:f>
              <c:numCache>
                <c:formatCode>General</c:formatCode>
                <c:ptCount val="27"/>
                <c:pt idx="0">
                  <c:v>570</c:v>
                </c:pt>
                <c:pt idx="1">
                  <c:v>850</c:v>
                </c:pt>
                <c:pt idx="2">
                  <c:v>900</c:v>
                </c:pt>
                <c:pt idx="3">
                  <c:v>900</c:v>
                </c:pt>
                <c:pt idx="4">
                  <c:v>950</c:v>
                </c:pt>
                <c:pt idx="12">
                  <c:v>1625</c:v>
                </c:pt>
                <c:pt idx="14">
                  <c:v>1625</c:v>
                </c:pt>
              </c:numCache>
            </c:numRef>
          </c:xVal>
          <c:y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yVal>
          <c:smooth val="0"/>
          <c:extLst>
            <c:ext xmlns:c16="http://schemas.microsoft.com/office/drawing/2014/chart" uri="{C3380CC4-5D6E-409C-BE32-E72D297353CC}">
              <c16:uniqueId val="{00000000-C9CE-41F6-ABB3-45216D332D8B}"/>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Summary!$AE$16:$BG$16</c:f>
              <c:numCache>
                <c:formatCode>General</c:formatCode>
                <c:ptCount val="29"/>
                <c:pt idx="0">
                  <c:v>850</c:v>
                </c:pt>
                <c:pt idx="1">
                  <c:v>850</c:v>
                </c:pt>
                <c:pt idx="2">
                  <c:v>850</c:v>
                </c:pt>
                <c:pt idx="3">
                  <c:v>1000</c:v>
                </c:pt>
                <c:pt idx="4">
                  <c:v>1000</c:v>
                </c:pt>
                <c:pt idx="5">
                  <c:v>1000</c:v>
                </c:pt>
                <c:pt idx="6">
                  <c:v>1000</c:v>
                </c:pt>
                <c:pt idx="7">
                  <c:v>1000</c:v>
                </c:pt>
                <c:pt idx="8">
                  <c:v>850</c:v>
                </c:pt>
                <c:pt idx="9">
                  <c:v>850</c:v>
                </c:pt>
                <c:pt idx="10">
                  <c:v>900</c:v>
                </c:pt>
                <c:pt idx="11">
                  <c:v>1000</c:v>
                </c:pt>
                <c:pt idx="12">
                  <c:v>900</c:v>
                </c:pt>
                <c:pt idx="13">
                  <c:v>1100</c:v>
                </c:pt>
                <c:pt idx="14">
                  <c:v>1100</c:v>
                </c:pt>
                <c:pt idx="15">
                  <c:v>1100</c:v>
                </c:pt>
                <c:pt idx="16">
                  <c:v>1100</c:v>
                </c:pt>
                <c:pt idx="17">
                  <c:v>1100</c:v>
                </c:pt>
                <c:pt idx="18">
                  <c:v>1200</c:v>
                </c:pt>
                <c:pt idx="19">
                  <c:v>1675</c:v>
                </c:pt>
                <c:pt idx="20">
                  <c:v>1675</c:v>
                </c:pt>
                <c:pt idx="21">
                  <c:v>1700</c:v>
                </c:pt>
                <c:pt idx="22">
                  <c:v>1700</c:v>
                </c:pt>
                <c:pt idx="23">
                  <c:v>1675</c:v>
                </c:pt>
                <c:pt idx="24">
                  <c:v>1675</c:v>
                </c:pt>
                <c:pt idx="25">
                  <c:v>1675</c:v>
                </c:pt>
                <c:pt idx="26">
                  <c:v>1675</c:v>
                </c:pt>
                <c:pt idx="27">
                  <c:v>1675</c:v>
                </c:pt>
                <c:pt idx="28">
                  <c:v>1700</c:v>
                </c:pt>
              </c:numCache>
            </c:numRef>
          </c:xVal>
          <c:y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yVal>
          <c:smooth val="0"/>
          <c:extLst>
            <c:ext xmlns:c16="http://schemas.microsoft.com/office/drawing/2014/chart" uri="{C3380CC4-5D6E-409C-BE32-E72D297353CC}">
              <c16:uniqueId val="{00000001-C9CE-41F6-ABB3-45216D332D8B}"/>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Summary!$BI$16:$BP$16</c:f>
              <c:numCache>
                <c:formatCode>General</c:formatCode>
                <c:ptCount val="8"/>
                <c:pt idx="0">
                  <c:v>750</c:v>
                </c:pt>
                <c:pt idx="1">
                  <c:v>1200</c:v>
                </c:pt>
                <c:pt idx="2">
                  <c:v>1500</c:v>
                </c:pt>
                <c:pt idx="3">
                  <c:v>2300</c:v>
                </c:pt>
                <c:pt idx="4">
                  <c:v>1600</c:v>
                </c:pt>
                <c:pt idx="5">
                  <c:v>2100</c:v>
                </c:pt>
                <c:pt idx="7">
                  <c:v>1600</c:v>
                </c:pt>
              </c:numCache>
            </c:numRef>
          </c:xVal>
          <c:yVal>
            <c:numRef>
              <c:f>Summary!$BI$17:$BP$17</c:f>
              <c:numCache>
                <c:formatCode>General</c:formatCode>
                <c:ptCount val="8"/>
                <c:pt idx="0">
                  <c:v>825</c:v>
                </c:pt>
                <c:pt idx="1">
                  <c:v>1300</c:v>
                </c:pt>
                <c:pt idx="2">
                  <c:v>1700</c:v>
                </c:pt>
                <c:pt idx="3">
                  <c:v>2700</c:v>
                </c:pt>
                <c:pt idx="4">
                  <c:v>1900</c:v>
                </c:pt>
                <c:pt idx="5">
                  <c:v>2500</c:v>
                </c:pt>
                <c:pt idx="7">
                  <c:v>1900</c:v>
                </c:pt>
              </c:numCache>
            </c:numRef>
          </c:yVal>
          <c:smooth val="0"/>
          <c:extLst>
            <c:ext xmlns:c16="http://schemas.microsoft.com/office/drawing/2014/chart" uri="{C3380CC4-5D6E-409C-BE32-E72D297353CC}">
              <c16:uniqueId val="{00000002-C9CE-41F6-ABB3-45216D332D8B}"/>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Summary!$BR$16:$CA$16</c:f>
              <c:numCache>
                <c:formatCode>General</c:formatCode>
                <c:ptCount val="10"/>
                <c:pt idx="2">
                  <c:v>440</c:v>
                </c:pt>
                <c:pt idx="3">
                  <c:v>400</c:v>
                </c:pt>
                <c:pt idx="4">
                  <c:v>450</c:v>
                </c:pt>
                <c:pt idx="5">
                  <c:v>450</c:v>
                </c:pt>
                <c:pt idx="6">
                  <c:v>550</c:v>
                </c:pt>
                <c:pt idx="7">
                  <c:v>550</c:v>
                </c:pt>
                <c:pt idx="8">
                  <c:v>550</c:v>
                </c:pt>
              </c:numCache>
            </c:numRef>
          </c:xVal>
          <c:y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yVal>
          <c:smooth val="0"/>
          <c:extLst>
            <c:ext xmlns:c16="http://schemas.microsoft.com/office/drawing/2014/chart" uri="{C3380CC4-5D6E-409C-BE32-E72D297353CC}">
              <c16:uniqueId val="{00000003-C9CE-41F6-ABB3-45216D332D8B}"/>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Normal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Take-Off Power (HP)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Military Power vs Normal Rating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iamond"/>
            <c:size val="9"/>
            <c:spPr>
              <a:solidFill>
                <a:srgbClr val="FF0000"/>
              </a:solidFill>
              <a:ln w="9525">
                <a:solidFill>
                  <a:srgbClr val="FF0000"/>
                </a:solidFill>
              </a:ln>
              <a:effectLst/>
            </c:spPr>
          </c:marker>
          <c:trendline>
            <c:spPr>
              <a:ln w="19050" cap="rnd">
                <a:solidFill>
                  <a:schemeClr val="accent5"/>
                </a:solidFill>
                <a:prstDash val="sysDot"/>
              </a:ln>
              <a:effectLst/>
            </c:spPr>
            <c:trendlineType val="linear"/>
            <c:dispRSqr val="1"/>
            <c:dispEq val="1"/>
            <c:trendlineLbl>
              <c:layout>
                <c:manualLayout>
                  <c:x val="-0.12834892663466416"/>
                  <c:y val="1.7718532571000332E-2"/>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Summary!$C$16:$CA$16</c:f>
              <c:numCache>
                <c:formatCode>General</c:formatCode>
                <c:ptCount val="77"/>
                <c:pt idx="0">
                  <c:v>570</c:v>
                </c:pt>
                <c:pt idx="1">
                  <c:v>850</c:v>
                </c:pt>
                <c:pt idx="2">
                  <c:v>900</c:v>
                </c:pt>
                <c:pt idx="3">
                  <c:v>900</c:v>
                </c:pt>
                <c:pt idx="4">
                  <c:v>950</c:v>
                </c:pt>
                <c:pt idx="12">
                  <c:v>1625</c:v>
                </c:pt>
                <c:pt idx="14">
                  <c:v>1625</c:v>
                </c:pt>
                <c:pt idx="28">
                  <c:v>850</c:v>
                </c:pt>
                <c:pt idx="29">
                  <c:v>850</c:v>
                </c:pt>
                <c:pt idx="30">
                  <c:v>850</c:v>
                </c:pt>
                <c:pt idx="31">
                  <c:v>1000</c:v>
                </c:pt>
                <c:pt idx="32">
                  <c:v>1000</c:v>
                </c:pt>
                <c:pt idx="33">
                  <c:v>1000</c:v>
                </c:pt>
                <c:pt idx="34">
                  <c:v>1000</c:v>
                </c:pt>
                <c:pt idx="35">
                  <c:v>1000</c:v>
                </c:pt>
                <c:pt idx="36">
                  <c:v>850</c:v>
                </c:pt>
                <c:pt idx="37">
                  <c:v>850</c:v>
                </c:pt>
                <c:pt idx="38">
                  <c:v>900</c:v>
                </c:pt>
                <c:pt idx="39">
                  <c:v>1000</c:v>
                </c:pt>
                <c:pt idx="40">
                  <c:v>900</c:v>
                </c:pt>
                <c:pt idx="41">
                  <c:v>1100</c:v>
                </c:pt>
                <c:pt idx="42">
                  <c:v>1100</c:v>
                </c:pt>
                <c:pt idx="43">
                  <c:v>1100</c:v>
                </c:pt>
                <c:pt idx="44">
                  <c:v>1100</c:v>
                </c:pt>
                <c:pt idx="45">
                  <c:v>1100</c:v>
                </c:pt>
                <c:pt idx="46">
                  <c:v>1200</c:v>
                </c:pt>
                <c:pt idx="47">
                  <c:v>1675</c:v>
                </c:pt>
                <c:pt idx="48">
                  <c:v>1675</c:v>
                </c:pt>
                <c:pt idx="49">
                  <c:v>1700</c:v>
                </c:pt>
                <c:pt idx="50">
                  <c:v>1700</c:v>
                </c:pt>
                <c:pt idx="51">
                  <c:v>1675</c:v>
                </c:pt>
                <c:pt idx="52">
                  <c:v>1675</c:v>
                </c:pt>
                <c:pt idx="53">
                  <c:v>1675</c:v>
                </c:pt>
                <c:pt idx="54">
                  <c:v>1675</c:v>
                </c:pt>
                <c:pt idx="55">
                  <c:v>1675</c:v>
                </c:pt>
                <c:pt idx="56">
                  <c:v>1700</c:v>
                </c:pt>
                <c:pt idx="58">
                  <c:v>750</c:v>
                </c:pt>
                <c:pt idx="59">
                  <c:v>1200</c:v>
                </c:pt>
                <c:pt idx="60">
                  <c:v>1500</c:v>
                </c:pt>
                <c:pt idx="61">
                  <c:v>2300</c:v>
                </c:pt>
                <c:pt idx="62">
                  <c:v>1600</c:v>
                </c:pt>
                <c:pt idx="63">
                  <c:v>2100</c:v>
                </c:pt>
                <c:pt idx="65">
                  <c:v>1600</c:v>
                </c:pt>
                <c:pt idx="69">
                  <c:v>440</c:v>
                </c:pt>
                <c:pt idx="70">
                  <c:v>400</c:v>
                </c:pt>
                <c:pt idx="71">
                  <c:v>450</c:v>
                </c:pt>
                <c:pt idx="72">
                  <c:v>450</c:v>
                </c:pt>
                <c:pt idx="73">
                  <c:v>550</c:v>
                </c:pt>
                <c:pt idx="74">
                  <c:v>550</c:v>
                </c:pt>
                <c:pt idx="75">
                  <c:v>550</c:v>
                </c:pt>
              </c:numCache>
            </c:numRef>
          </c:xVal>
          <c:yVal>
            <c:numRef>
              <c:f>Summary!$C$14:$CA$14</c:f>
              <c:numCache>
                <c:formatCode>General</c:formatCode>
                <c:ptCount val="77"/>
                <c:pt idx="4">
                  <c:v>1100</c:v>
                </c:pt>
                <c:pt idx="5">
                  <c:v>1150</c:v>
                </c:pt>
                <c:pt idx="6">
                  <c:v>1150</c:v>
                </c:pt>
                <c:pt idx="7">
                  <c:v>1240</c:v>
                </c:pt>
                <c:pt idx="8">
                  <c:v>1150</c:v>
                </c:pt>
                <c:pt idx="11">
                  <c:v>1125</c:v>
                </c:pt>
                <c:pt idx="12">
                  <c:v>2000</c:v>
                </c:pt>
                <c:pt idx="14">
                  <c:v>2000</c:v>
                </c:pt>
                <c:pt idx="15">
                  <c:v>1600</c:v>
                </c:pt>
                <c:pt idx="16">
                  <c:v>1720</c:v>
                </c:pt>
                <c:pt idx="19">
                  <c:v>1150</c:v>
                </c:pt>
                <c:pt idx="20">
                  <c:v>1150</c:v>
                </c:pt>
                <c:pt idx="21">
                  <c:v>1150</c:v>
                </c:pt>
                <c:pt idx="22">
                  <c:v>1125</c:v>
                </c:pt>
                <c:pt idx="23">
                  <c:v>1150</c:v>
                </c:pt>
                <c:pt idx="24">
                  <c:v>1150</c:v>
                </c:pt>
                <c:pt idx="25">
                  <c:v>1150</c:v>
                </c:pt>
                <c:pt idx="26">
                  <c:v>1100</c:v>
                </c:pt>
                <c:pt idx="47">
                  <c:v>2000</c:v>
                </c:pt>
                <c:pt idx="48">
                  <c:v>2000</c:v>
                </c:pt>
                <c:pt idx="49">
                  <c:v>2100</c:v>
                </c:pt>
                <c:pt idx="50">
                  <c:v>2100</c:v>
                </c:pt>
                <c:pt idx="51">
                  <c:v>2000</c:v>
                </c:pt>
                <c:pt idx="52">
                  <c:v>2000</c:v>
                </c:pt>
                <c:pt idx="53">
                  <c:v>2000</c:v>
                </c:pt>
                <c:pt idx="54">
                  <c:v>2000</c:v>
                </c:pt>
                <c:pt idx="55">
                  <c:v>2000</c:v>
                </c:pt>
                <c:pt idx="56">
                  <c:v>2100</c:v>
                </c:pt>
                <c:pt idx="60">
                  <c:v>1700</c:v>
                </c:pt>
                <c:pt idx="73">
                  <c:v>600</c:v>
                </c:pt>
                <c:pt idx="74">
                  <c:v>600</c:v>
                </c:pt>
              </c:numCache>
            </c:numRef>
          </c:yVal>
          <c:smooth val="0"/>
          <c:extLst>
            <c:ext xmlns:c16="http://schemas.microsoft.com/office/drawing/2014/chart" uri="{C3380CC4-5D6E-409C-BE32-E72D297353CC}">
              <c16:uniqueId val="{00000004-D4F1-47F4-9A8C-8B105FF13BAD}"/>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Summary!$C$16:$AC$16</c:f>
              <c:numCache>
                <c:formatCode>General</c:formatCode>
                <c:ptCount val="27"/>
                <c:pt idx="0">
                  <c:v>570</c:v>
                </c:pt>
                <c:pt idx="1">
                  <c:v>850</c:v>
                </c:pt>
                <c:pt idx="2">
                  <c:v>900</c:v>
                </c:pt>
                <c:pt idx="3">
                  <c:v>900</c:v>
                </c:pt>
                <c:pt idx="4">
                  <c:v>950</c:v>
                </c:pt>
                <c:pt idx="12">
                  <c:v>1625</c:v>
                </c:pt>
                <c:pt idx="14">
                  <c:v>1625</c:v>
                </c:pt>
              </c:numCache>
            </c:numRef>
          </c:xVal>
          <c:yVal>
            <c:numRef>
              <c:f>Summary!$C$14:$AC$14</c:f>
              <c:numCache>
                <c:formatCode>General</c:formatCode>
                <c:ptCount val="27"/>
                <c:pt idx="4">
                  <c:v>1100</c:v>
                </c:pt>
                <c:pt idx="5">
                  <c:v>1150</c:v>
                </c:pt>
                <c:pt idx="6">
                  <c:v>1150</c:v>
                </c:pt>
                <c:pt idx="7">
                  <c:v>1240</c:v>
                </c:pt>
                <c:pt idx="8">
                  <c:v>1150</c:v>
                </c:pt>
                <c:pt idx="11">
                  <c:v>1125</c:v>
                </c:pt>
                <c:pt idx="12">
                  <c:v>2000</c:v>
                </c:pt>
                <c:pt idx="14">
                  <c:v>2000</c:v>
                </c:pt>
                <c:pt idx="15">
                  <c:v>1600</c:v>
                </c:pt>
                <c:pt idx="16">
                  <c:v>1720</c:v>
                </c:pt>
                <c:pt idx="19">
                  <c:v>1150</c:v>
                </c:pt>
                <c:pt idx="20">
                  <c:v>1150</c:v>
                </c:pt>
                <c:pt idx="21">
                  <c:v>1150</c:v>
                </c:pt>
                <c:pt idx="22">
                  <c:v>1125</c:v>
                </c:pt>
                <c:pt idx="23">
                  <c:v>1150</c:v>
                </c:pt>
                <c:pt idx="24">
                  <c:v>1150</c:v>
                </c:pt>
                <c:pt idx="25">
                  <c:v>1150</c:v>
                </c:pt>
                <c:pt idx="26">
                  <c:v>1100</c:v>
                </c:pt>
              </c:numCache>
            </c:numRef>
          </c:yVal>
          <c:smooth val="0"/>
          <c:extLst>
            <c:ext xmlns:c16="http://schemas.microsoft.com/office/drawing/2014/chart" uri="{C3380CC4-5D6E-409C-BE32-E72D297353CC}">
              <c16:uniqueId val="{00000000-D4F1-47F4-9A8C-8B105FF13BAD}"/>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Summary!$AE$16:$BG$16</c:f>
              <c:numCache>
                <c:formatCode>General</c:formatCode>
                <c:ptCount val="29"/>
                <c:pt idx="0">
                  <c:v>850</c:v>
                </c:pt>
                <c:pt idx="1">
                  <c:v>850</c:v>
                </c:pt>
                <c:pt idx="2">
                  <c:v>850</c:v>
                </c:pt>
                <c:pt idx="3">
                  <c:v>1000</c:v>
                </c:pt>
                <c:pt idx="4">
                  <c:v>1000</c:v>
                </c:pt>
                <c:pt idx="5">
                  <c:v>1000</c:v>
                </c:pt>
                <c:pt idx="6">
                  <c:v>1000</c:v>
                </c:pt>
                <c:pt idx="7">
                  <c:v>1000</c:v>
                </c:pt>
                <c:pt idx="8">
                  <c:v>850</c:v>
                </c:pt>
                <c:pt idx="9">
                  <c:v>850</c:v>
                </c:pt>
                <c:pt idx="10">
                  <c:v>900</c:v>
                </c:pt>
                <c:pt idx="11">
                  <c:v>1000</c:v>
                </c:pt>
                <c:pt idx="12">
                  <c:v>900</c:v>
                </c:pt>
                <c:pt idx="13">
                  <c:v>1100</c:v>
                </c:pt>
                <c:pt idx="14">
                  <c:v>1100</c:v>
                </c:pt>
                <c:pt idx="15">
                  <c:v>1100</c:v>
                </c:pt>
                <c:pt idx="16">
                  <c:v>1100</c:v>
                </c:pt>
                <c:pt idx="17">
                  <c:v>1100</c:v>
                </c:pt>
                <c:pt idx="18">
                  <c:v>1200</c:v>
                </c:pt>
                <c:pt idx="19">
                  <c:v>1675</c:v>
                </c:pt>
                <c:pt idx="20">
                  <c:v>1675</c:v>
                </c:pt>
                <c:pt idx="21">
                  <c:v>1700</c:v>
                </c:pt>
                <c:pt idx="22">
                  <c:v>1700</c:v>
                </c:pt>
                <c:pt idx="23">
                  <c:v>1675</c:v>
                </c:pt>
                <c:pt idx="24">
                  <c:v>1675</c:v>
                </c:pt>
                <c:pt idx="25">
                  <c:v>1675</c:v>
                </c:pt>
                <c:pt idx="26">
                  <c:v>1675</c:v>
                </c:pt>
                <c:pt idx="27">
                  <c:v>1675</c:v>
                </c:pt>
                <c:pt idx="28">
                  <c:v>1700</c:v>
                </c:pt>
              </c:numCache>
            </c:numRef>
          </c:xVal>
          <c:yVal>
            <c:numRef>
              <c:f>Summary!$AE$14:$BG$14</c:f>
              <c:numCache>
                <c:formatCode>General</c:formatCode>
                <c:ptCount val="29"/>
                <c:pt idx="19">
                  <c:v>2000</c:v>
                </c:pt>
                <c:pt idx="20">
                  <c:v>2000</c:v>
                </c:pt>
                <c:pt idx="21">
                  <c:v>2100</c:v>
                </c:pt>
                <c:pt idx="22">
                  <c:v>2100</c:v>
                </c:pt>
                <c:pt idx="23">
                  <c:v>2000</c:v>
                </c:pt>
                <c:pt idx="24">
                  <c:v>2000</c:v>
                </c:pt>
                <c:pt idx="25">
                  <c:v>2000</c:v>
                </c:pt>
                <c:pt idx="26">
                  <c:v>2000</c:v>
                </c:pt>
                <c:pt idx="27">
                  <c:v>2000</c:v>
                </c:pt>
                <c:pt idx="28">
                  <c:v>2100</c:v>
                </c:pt>
              </c:numCache>
            </c:numRef>
          </c:yVal>
          <c:smooth val="0"/>
          <c:extLst>
            <c:ext xmlns:c16="http://schemas.microsoft.com/office/drawing/2014/chart" uri="{C3380CC4-5D6E-409C-BE32-E72D297353CC}">
              <c16:uniqueId val="{00000001-D4F1-47F4-9A8C-8B105FF13BAD}"/>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Summary!$BI$16:$BP$16</c:f>
              <c:numCache>
                <c:formatCode>General</c:formatCode>
                <c:ptCount val="8"/>
                <c:pt idx="0">
                  <c:v>750</c:v>
                </c:pt>
                <c:pt idx="1">
                  <c:v>1200</c:v>
                </c:pt>
                <c:pt idx="2">
                  <c:v>1500</c:v>
                </c:pt>
                <c:pt idx="3">
                  <c:v>2300</c:v>
                </c:pt>
                <c:pt idx="4">
                  <c:v>1600</c:v>
                </c:pt>
                <c:pt idx="5">
                  <c:v>2100</c:v>
                </c:pt>
                <c:pt idx="7">
                  <c:v>1600</c:v>
                </c:pt>
              </c:numCache>
            </c:numRef>
          </c:xVal>
          <c:yVal>
            <c:numRef>
              <c:f>Summary!$BI$14:$BP$14</c:f>
              <c:numCache>
                <c:formatCode>General</c:formatCode>
                <c:ptCount val="8"/>
                <c:pt idx="2">
                  <c:v>1700</c:v>
                </c:pt>
              </c:numCache>
            </c:numRef>
          </c:yVal>
          <c:smooth val="0"/>
          <c:extLst>
            <c:ext xmlns:c16="http://schemas.microsoft.com/office/drawing/2014/chart" uri="{C3380CC4-5D6E-409C-BE32-E72D297353CC}">
              <c16:uniqueId val="{00000002-D4F1-47F4-9A8C-8B105FF13BAD}"/>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Summary!$BR$16:$CA$16</c:f>
              <c:numCache>
                <c:formatCode>General</c:formatCode>
                <c:ptCount val="10"/>
                <c:pt idx="2">
                  <c:v>440</c:v>
                </c:pt>
                <c:pt idx="3">
                  <c:v>400</c:v>
                </c:pt>
                <c:pt idx="4">
                  <c:v>450</c:v>
                </c:pt>
                <c:pt idx="5">
                  <c:v>450</c:v>
                </c:pt>
                <c:pt idx="6">
                  <c:v>550</c:v>
                </c:pt>
                <c:pt idx="7">
                  <c:v>550</c:v>
                </c:pt>
                <c:pt idx="8">
                  <c:v>550</c:v>
                </c:pt>
              </c:numCache>
            </c:numRef>
          </c:xVal>
          <c:yVal>
            <c:numRef>
              <c:f>Summary!$BR$14:$CA$14</c:f>
              <c:numCache>
                <c:formatCode>General</c:formatCode>
                <c:ptCount val="10"/>
                <c:pt idx="6">
                  <c:v>600</c:v>
                </c:pt>
                <c:pt idx="7">
                  <c:v>600</c:v>
                </c:pt>
              </c:numCache>
            </c:numRef>
          </c:yVal>
          <c:smooth val="0"/>
          <c:extLst>
            <c:ext xmlns:c16="http://schemas.microsoft.com/office/drawing/2014/chart" uri="{C3380CC4-5D6E-409C-BE32-E72D297353CC}">
              <c16:uniqueId val="{00000003-D4F1-47F4-9A8C-8B105FF13BAD}"/>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Normal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Military Power (HP)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War Emergency Power vs Normal Rating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Summary!$C$16:$AC$16</c:f>
              <c:numCache>
                <c:formatCode>General</c:formatCode>
                <c:ptCount val="27"/>
                <c:pt idx="0">
                  <c:v>570</c:v>
                </c:pt>
                <c:pt idx="1">
                  <c:v>850</c:v>
                </c:pt>
                <c:pt idx="2">
                  <c:v>900</c:v>
                </c:pt>
                <c:pt idx="3">
                  <c:v>900</c:v>
                </c:pt>
                <c:pt idx="4">
                  <c:v>950</c:v>
                </c:pt>
                <c:pt idx="12">
                  <c:v>1625</c:v>
                </c:pt>
                <c:pt idx="14">
                  <c:v>1625</c:v>
                </c:pt>
              </c:numCache>
            </c:numRef>
          </c:xVal>
          <c:yVal>
            <c:numRef>
              <c:f>Summary!$C$15:$AC$15</c:f>
              <c:numCache>
                <c:formatCode>General</c:formatCode>
                <c:ptCount val="27"/>
                <c:pt idx="5">
                  <c:v>1490</c:v>
                </c:pt>
                <c:pt idx="6">
                  <c:v>1490</c:v>
                </c:pt>
                <c:pt idx="8">
                  <c:v>1580</c:v>
                </c:pt>
                <c:pt idx="9">
                  <c:v>1435</c:v>
                </c:pt>
                <c:pt idx="11">
                  <c:v>1360</c:v>
                </c:pt>
                <c:pt idx="19">
                  <c:v>1490</c:v>
                </c:pt>
                <c:pt idx="20">
                  <c:v>1490</c:v>
                </c:pt>
                <c:pt idx="21">
                  <c:v>1580</c:v>
                </c:pt>
                <c:pt idx="22">
                  <c:v>1410</c:v>
                </c:pt>
                <c:pt idx="23">
                  <c:v>1490</c:v>
                </c:pt>
                <c:pt idx="24">
                  <c:v>1825</c:v>
                </c:pt>
                <c:pt idx="25">
                  <c:v>1825</c:v>
                </c:pt>
                <c:pt idx="26">
                  <c:v>1800</c:v>
                </c:pt>
              </c:numCache>
            </c:numRef>
          </c:yVal>
          <c:smooth val="0"/>
          <c:extLst>
            <c:ext xmlns:c16="http://schemas.microsoft.com/office/drawing/2014/chart" uri="{C3380CC4-5D6E-409C-BE32-E72D297353CC}">
              <c16:uniqueId val="{00000000-05A4-4C44-9BB4-9754F79209BD}"/>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Summary!$AE$16:$BG$16</c:f>
              <c:numCache>
                <c:formatCode>General</c:formatCode>
                <c:ptCount val="29"/>
                <c:pt idx="0">
                  <c:v>850</c:v>
                </c:pt>
                <c:pt idx="1">
                  <c:v>850</c:v>
                </c:pt>
                <c:pt idx="2">
                  <c:v>850</c:v>
                </c:pt>
                <c:pt idx="3">
                  <c:v>1000</c:v>
                </c:pt>
                <c:pt idx="4">
                  <c:v>1000</c:v>
                </c:pt>
                <c:pt idx="5">
                  <c:v>1000</c:v>
                </c:pt>
                <c:pt idx="6">
                  <c:v>1000</c:v>
                </c:pt>
                <c:pt idx="7">
                  <c:v>1000</c:v>
                </c:pt>
                <c:pt idx="8">
                  <c:v>850</c:v>
                </c:pt>
                <c:pt idx="9">
                  <c:v>850</c:v>
                </c:pt>
                <c:pt idx="10">
                  <c:v>900</c:v>
                </c:pt>
                <c:pt idx="11">
                  <c:v>1000</c:v>
                </c:pt>
                <c:pt idx="12">
                  <c:v>900</c:v>
                </c:pt>
                <c:pt idx="13">
                  <c:v>1100</c:v>
                </c:pt>
                <c:pt idx="14">
                  <c:v>1100</c:v>
                </c:pt>
                <c:pt idx="15">
                  <c:v>1100</c:v>
                </c:pt>
                <c:pt idx="16">
                  <c:v>1100</c:v>
                </c:pt>
                <c:pt idx="17">
                  <c:v>1100</c:v>
                </c:pt>
                <c:pt idx="18">
                  <c:v>1200</c:v>
                </c:pt>
                <c:pt idx="19">
                  <c:v>1675</c:v>
                </c:pt>
                <c:pt idx="20">
                  <c:v>1675</c:v>
                </c:pt>
                <c:pt idx="21">
                  <c:v>1700</c:v>
                </c:pt>
                <c:pt idx="22">
                  <c:v>1700</c:v>
                </c:pt>
                <c:pt idx="23">
                  <c:v>1675</c:v>
                </c:pt>
                <c:pt idx="24">
                  <c:v>1675</c:v>
                </c:pt>
                <c:pt idx="25">
                  <c:v>1675</c:v>
                </c:pt>
                <c:pt idx="26">
                  <c:v>1675</c:v>
                </c:pt>
                <c:pt idx="27">
                  <c:v>1675</c:v>
                </c:pt>
                <c:pt idx="28">
                  <c:v>1700</c:v>
                </c:pt>
              </c:numCache>
            </c:numRef>
          </c:xVal>
          <c:yVal>
            <c:numRef>
              <c:f>Summary!$AE$15:$BG$15</c:f>
              <c:numCache>
                <c:formatCode>General</c:formatCode>
                <c:ptCount val="29"/>
                <c:pt idx="19">
                  <c:v>2250</c:v>
                </c:pt>
                <c:pt idx="20">
                  <c:v>2250</c:v>
                </c:pt>
                <c:pt idx="28">
                  <c:v>2750</c:v>
                </c:pt>
              </c:numCache>
            </c:numRef>
          </c:yVal>
          <c:smooth val="0"/>
          <c:extLst>
            <c:ext xmlns:c16="http://schemas.microsoft.com/office/drawing/2014/chart" uri="{C3380CC4-5D6E-409C-BE32-E72D297353CC}">
              <c16:uniqueId val="{00000001-05A4-4C44-9BB4-9754F79209BD}"/>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Summary!$BI$16:$BP$16</c:f>
              <c:numCache>
                <c:formatCode>General</c:formatCode>
                <c:ptCount val="8"/>
                <c:pt idx="0">
                  <c:v>750</c:v>
                </c:pt>
                <c:pt idx="1">
                  <c:v>1200</c:v>
                </c:pt>
                <c:pt idx="2">
                  <c:v>1500</c:v>
                </c:pt>
                <c:pt idx="3">
                  <c:v>2300</c:v>
                </c:pt>
                <c:pt idx="4">
                  <c:v>1600</c:v>
                </c:pt>
                <c:pt idx="5">
                  <c:v>2100</c:v>
                </c:pt>
                <c:pt idx="7">
                  <c:v>1600</c:v>
                </c:pt>
              </c:numCache>
            </c:numRef>
          </c:xVal>
          <c:yVal>
            <c:numRef>
              <c:f>Summary!$BI$15:$BP$15</c:f>
              <c:numCache>
                <c:formatCode>General</c:formatCode>
                <c:ptCount val="8"/>
              </c:numCache>
            </c:numRef>
          </c:yVal>
          <c:smooth val="0"/>
          <c:extLst>
            <c:ext xmlns:c16="http://schemas.microsoft.com/office/drawing/2014/chart" uri="{C3380CC4-5D6E-409C-BE32-E72D297353CC}">
              <c16:uniqueId val="{00000002-05A4-4C44-9BB4-9754F79209BD}"/>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Summary!$BR$16:$CA$16</c:f>
              <c:numCache>
                <c:formatCode>General</c:formatCode>
                <c:ptCount val="10"/>
                <c:pt idx="2">
                  <c:v>440</c:v>
                </c:pt>
                <c:pt idx="3">
                  <c:v>400</c:v>
                </c:pt>
                <c:pt idx="4">
                  <c:v>450</c:v>
                </c:pt>
                <c:pt idx="5">
                  <c:v>450</c:v>
                </c:pt>
                <c:pt idx="6">
                  <c:v>550</c:v>
                </c:pt>
                <c:pt idx="7">
                  <c:v>550</c:v>
                </c:pt>
                <c:pt idx="8">
                  <c:v>550</c:v>
                </c:pt>
              </c:numCache>
            </c:numRef>
          </c:xVal>
          <c:yVal>
            <c:numRef>
              <c:f>Summary!$BR$15:$CA$15</c:f>
              <c:numCache>
                <c:formatCode>General</c:formatCode>
                <c:ptCount val="10"/>
              </c:numCache>
            </c:numRef>
          </c:yVal>
          <c:smooth val="0"/>
          <c:extLst>
            <c:ext xmlns:c16="http://schemas.microsoft.com/office/drawing/2014/chart" uri="{C3380CC4-5D6E-409C-BE32-E72D297353CC}">
              <c16:uniqueId val="{00000003-05A4-4C44-9BB4-9754F79209BD}"/>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Normal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War Emergency Power (HP)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102701494426"/>
          <c:h val="0.1363420135152995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Take-Off Power vs Engine Displacement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xVal>
            <c:numRef>
              <c:f>Summary!$C$12:$CA$12</c:f>
              <c:numCache>
                <c:formatCode>General</c:formatCode>
                <c:ptCount val="77"/>
                <c:pt idx="0">
                  <c:v>1340</c:v>
                </c:pt>
                <c:pt idx="1">
                  <c:v>1830</c:v>
                </c:pt>
                <c:pt idx="2">
                  <c:v>1830</c:v>
                </c:pt>
                <c:pt idx="3">
                  <c:v>1820</c:v>
                </c:pt>
                <c:pt idx="4">
                  <c:v>1830</c:v>
                </c:pt>
                <c:pt idx="5">
                  <c:v>1710</c:v>
                </c:pt>
                <c:pt idx="6">
                  <c:v>1710</c:v>
                </c:pt>
                <c:pt idx="7">
                  <c:v>1650</c:v>
                </c:pt>
                <c:pt idx="8">
                  <c:v>1710</c:v>
                </c:pt>
                <c:pt idx="9">
                  <c:v>1650</c:v>
                </c:pt>
                <c:pt idx="10">
                  <c:v>1710</c:v>
                </c:pt>
                <c:pt idx="11">
                  <c:v>1710</c:v>
                </c:pt>
                <c:pt idx="12">
                  <c:v>2800</c:v>
                </c:pt>
                <c:pt idx="13">
                  <c:v>2800</c:v>
                </c:pt>
                <c:pt idx="14">
                  <c:v>2800</c:v>
                </c:pt>
                <c:pt idx="15">
                  <c:v>1650</c:v>
                </c:pt>
                <c:pt idx="16">
                  <c:v>1650</c:v>
                </c:pt>
                <c:pt idx="17">
                  <c:v>1570</c:v>
                </c:pt>
                <c:pt idx="19">
                  <c:v>1710</c:v>
                </c:pt>
                <c:pt idx="20">
                  <c:v>1710</c:v>
                </c:pt>
                <c:pt idx="21">
                  <c:v>1710</c:v>
                </c:pt>
                <c:pt idx="22">
                  <c:v>1710</c:v>
                </c:pt>
                <c:pt idx="23">
                  <c:v>1710</c:v>
                </c:pt>
                <c:pt idx="24">
                  <c:v>1710</c:v>
                </c:pt>
                <c:pt idx="25">
                  <c:v>1710</c:v>
                </c:pt>
                <c:pt idx="26">
                  <c:v>1710</c:v>
                </c:pt>
                <c:pt idx="28">
                  <c:v>1820</c:v>
                </c:pt>
                <c:pt idx="29">
                  <c:v>1820</c:v>
                </c:pt>
                <c:pt idx="30">
                  <c:v>1820</c:v>
                </c:pt>
                <c:pt idx="31">
                  <c:v>1820</c:v>
                </c:pt>
                <c:pt idx="32">
                  <c:v>1820</c:v>
                </c:pt>
                <c:pt idx="33">
                  <c:v>1820</c:v>
                </c:pt>
                <c:pt idx="34">
                  <c:v>1820</c:v>
                </c:pt>
                <c:pt idx="35">
                  <c:v>1820</c:v>
                </c:pt>
                <c:pt idx="36">
                  <c:v>1820</c:v>
                </c:pt>
                <c:pt idx="37">
                  <c:v>1820</c:v>
                </c:pt>
                <c:pt idx="38">
                  <c:v>1820</c:v>
                </c:pt>
                <c:pt idx="39">
                  <c:v>1820</c:v>
                </c:pt>
                <c:pt idx="40">
                  <c:v>1820</c:v>
                </c:pt>
                <c:pt idx="41">
                  <c:v>1830</c:v>
                </c:pt>
                <c:pt idx="42">
                  <c:v>1830</c:v>
                </c:pt>
                <c:pt idx="43">
                  <c:v>1830</c:v>
                </c:pt>
                <c:pt idx="44">
                  <c:v>1830</c:v>
                </c:pt>
                <c:pt idx="45">
                  <c:v>1830</c:v>
                </c:pt>
                <c:pt idx="46">
                  <c:v>1820</c:v>
                </c:pt>
                <c:pt idx="47">
                  <c:v>2800</c:v>
                </c:pt>
                <c:pt idx="48">
                  <c:v>2800</c:v>
                </c:pt>
                <c:pt idx="49">
                  <c:v>2800</c:v>
                </c:pt>
                <c:pt idx="50">
                  <c:v>2800</c:v>
                </c:pt>
                <c:pt idx="51">
                  <c:v>2800</c:v>
                </c:pt>
                <c:pt idx="52">
                  <c:v>2800</c:v>
                </c:pt>
                <c:pt idx="53">
                  <c:v>2800</c:v>
                </c:pt>
                <c:pt idx="54">
                  <c:v>2800</c:v>
                </c:pt>
                <c:pt idx="55">
                  <c:v>2800</c:v>
                </c:pt>
                <c:pt idx="56">
                  <c:v>2800</c:v>
                </c:pt>
                <c:pt idx="58">
                  <c:v>1535</c:v>
                </c:pt>
                <c:pt idx="59">
                  <c:v>1820</c:v>
                </c:pt>
                <c:pt idx="60">
                  <c:v>2600</c:v>
                </c:pt>
                <c:pt idx="61">
                  <c:v>3350</c:v>
                </c:pt>
                <c:pt idx="62">
                  <c:v>2600</c:v>
                </c:pt>
                <c:pt idx="63">
                  <c:v>3350</c:v>
                </c:pt>
                <c:pt idx="65">
                  <c:v>2600</c:v>
                </c:pt>
                <c:pt idx="67">
                  <c:v>440</c:v>
                </c:pt>
                <c:pt idx="68">
                  <c:v>440</c:v>
                </c:pt>
                <c:pt idx="69">
                  <c:v>985</c:v>
                </c:pt>
                <c:pt idx="70">
                  <c:v>975</c:v>
                </c:pt>
                <c:pt idx="71">
                  <c:v>985</c:v>
                </c:pt>
                <c:pt idx="72">
                  <c:v>985</c:v>
                </c:pt>
                <c:pt idx="73">
                  <c:v>1340</c:v>
                </c:pt>
                <c:pt idx="74">
                  <c:v>1340</c:v>
                </c:pt>
                <c:pt idx="75">
                  <c:v>1340</c:v>
                </c:pt>
                <c:pt idx="76">
                  <c:v>680</c:v>
                </c:pt>
              </c:numCache>
            </c:numRef>
          </c:xVal>
          <c:y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yVal>
          <c:smooth val="0"/>
          <c:extLst>
            <c:ext xmlns:c16="http://schemas.microsoft.com/office/drawing/2014/chart" uri="{C3380CC4-5D6E-409C-BE32-E72D297353CC}">
              <c16:uniqueId val="{00000001-0527-4D3B-82E5-EBD5E42045B5}"/>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Summary!$C$12:$AC$12</c:f>
              <c:numCache>
                <c:formatCode>General</c:formatCode>
                <c:ptCount val="27"/>
                <c:pt idx="0">
                  <c:v>1340</c:v>
                </c:pt>
                <c:pt idx="1">
                  <c:v>1830</c:v>
                </c:pt>
                <c:pt idx="2">
                  <c:v>1830</c:v>
                </c:pt>
                <c:pt idx="3">
                  <c:v>1820</c:v>
                </c:pt>
                <c:pt idx="4">
                  <c:v>1830</c:v>
                </c:pt>
                <c:pt idx="5">
                  <c:v>1710</c:v>
                </c:pt>
                <c:pt idx="6">
                  <c:v>1710</c:v>
                </c:pt>
                <c:pt idx="7">
                  <c:v>1650</c:v>
                </c:pt>
                <c:pt idx="8">
                  <c:v>1710</c:v>
                </c:pt>
                <c:pt idx="9">
                  <c:v>1650</c:v>
                </c:pt>
                <c:pt idx="10">
                  <c:v>1710</c:v>
                </c:pt>
                <c:pt idx="11">
                  <c:v>1710</c:v>
                </c:pt>
                <c:pt idx="12">
                  <c:v>2800</c:v>
                </c:pt>
                <c:pt idx="13">
                  <c:v>2800</c:v>
                </c:pt>
                <c:pt idx="14">
                  <c:v>2800</c:v>
                </c:pt>
                <c:pt idx="15">
                  <c:v>1650</c:v>
                </c:pt>
                <c:pt idx="16">
                  <c:v>1650</c:v>
                </c:pt>
                <c:pt idx="17">
                  <c:v>1570</c:v>
                </c:pt>
                <c:pt idx="19">
                  <c:v>1710</c:v>
                </c:pt>
                <c:pt idx="20">
                  <c:v>1710</c:v>
                </c:pt>
                <c:pt idx="21">
                  <c:v>1710</c:v>
                </c:pt>
                <c:pt idx="22">
                  <c:v>1710</c:v>
                </c:pt>
                <c:pt idx="23">
                  <c:v>1710</c:v>
                </c:pt>
                <c:pt idx="24">
                  <c:v>1710</c:v>
                </c:pt>
                <c:pt idx="25">
                  <c:v>1710</c:v>
                </c:pt>
                <c:pt idx="26">
                  <c:v>1710</c:v>
                </c:pt>
              </c:numCache>
            </c:numRef>
          </c:xVal>
          <c:y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yVal>
          <c:smooth val="0"/>
          <c:extLst>
            <c:ext xmlns:c16="http://schemas.microsoft.com/office/drawing/2014/chart" uri="{C3380CC4-5D6E-409C-BE32-E72D297353CC}">
              <c16:uniqueId val="{00000002-0527-4D3B-82E5-EBD5E42045B5}"/>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Summary!$AE$12:$BG$12</c:f>
              <c:numCache>
                <c:formatCode>General</c:formatCode>
                <c:ptCount val="29"/>
                <c:pt idx="0">
                  <c:v>1820</c:v>
                </c:pt>
                <c:pt idx="1">
                  <c:v>1820</c:v>
                </c:pt>
                <c:pt idx="2">
                  <c:v>1820</c:v>
                </c:pt>
                <c:pt idx="3">
                  <c:v>1820</c:v>
                </c:pt>
                <c:pt idx="4">
                  <c:v>1820</c:v>
                </c:pt>
                <c:pt idx="5">
                  <c:v>1820</c:v>
                </c:pt>
                <c:pt idx="6">
                  <c:v>1820</c:v>
                </c:pt>
                <c:pt idx="7">
                  <c:v>1820</c:v>
                </c:pt>
                <c:pt idx="8">
                  <c:v>1820</c:v>
                </c:pt>
                <c:pt idx="9">
                  <c:v>1820</c:v>
                </c:pt>
                <c:pt idx="10">
                  <c:v>1820</c:v>
                </c:pt>
                <c:pt idx="11">
                  <c:v>1820</c:v>
                </c:pt>
                <c:pt idx="12">
                  <c:v>1820</c:v>
                </c:pt>
                <c:pt idx="13">
                  <c:v>1830</c:v>
                </c:pt>
                <c:pt idx="14">
                  <c:v>1830</c:v>
                </c:pt>
                <c:pt idx="15">
                  <c:v>1830</c:v>
                </c:pt>
                <c:pt idx="16">
                  <c:v>1830</c:v>
                </c:pt>
                <c:pt idx="17">
                  <c:v>1830</c:v>
                </c:pt>
                <c:pt idx="18">
                  <c:v>1820</c:v>
                </c:pt>
                <c:pt idx="19">
                  <c:v>2800</c:v>
                </c:pt>
                <c:pt idx="20">
                  <c:v>2800</c:v>
                </c:pt>
                <c:pt idx="21">
                  <c:v>2800</c:v>
                </c:pt>
                <c:pt idx="22">
                  <c:v>2800</c:v>
                </c:pt>
                <c:pt idx="23">
                  <c:v>2800</c:v>
                </c:pt>
                <c:pt idx="24">
                  <c:v>2800</c:v>
                </c:pt>
                <c:pt idx="25">
                  <c:v>2800</c:v>
                </c:pt>
                <c:pt idx="26">
                  <c:v>2800</c:v>
                </c:pt>
                <c:pt idx="27">
                  <c:v>2800</c:v>
                </c:pt>
                <c:pt idx="28">
                  <c:v>2800</c:v>
                </c:pt>
              </c:numCache>
            </c:numRef>
          </c:xVal>
          <c:y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yVal>
          <c:smooth val="0"/>
          <c:extLst>
            <c:ext xmlns:c16="http://schemas.microsoft.com/office/drawing/2014/chart" uri="{C3380CC4-5D6E-409C-BE32-E72D297353CC}">
              <c16:uniqueId val="{00000003-0527-4D3B-82E5-EBD5E42045B5}"/>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Summary!$BI$12:$BP$12</c:f>
              <c:numCache>
                <c:formatCode>General</c:formatCode>
                <c:ptCount val="8"/>
                <c:pt idx="0">
                  <c:v>1535</c:v>
                </c:pt>
                <c:pt idx="1">
                  <c:v>1820</c:v>
                </c:pt>
                <c:pt idx="2">
                  <c:v>2600</c:v>
                </c:pt>
                <c:pt idx="3">
                  <c:v>3350</c:v>
                </c:pt>
                <c:pt idx="4">
                  <c:v>2600</c:v>
                </c:pt>
                <c:pt idx="5">
                  <c:v>3350</c:v>
                </c:pt>
                <c:pt idx="7">
                  <c:v>2600</c:v>
                </c:pt>
              </c:numCache>
            </c:numRef>
          </c:xVal>
          <c:yVal>
            <c:numRef>
              <c:f>Summary!$BI$17:$BP$17</c:f>
              <c:numCache>
                <c:formatCode>General</c:formatCode>
                <c:ptCount val="8"/>
                <c:pt idx="0">
                  <c:v>825</c:v>
                </c:pt>
                <c:pt idx="1">
                  <c:v>1300</c:v>
                </c:pt>
                <c:pt idx="2">
                  <c:v>1700</c:v>
                </c:pt>
                <c:pt idx="3">
                  <c:v>2700</c:v>
                </c:pt>
                <c:pt idx="4">
                  <c:v>1900</c:v>
                </c:pt>
                <c:pt idx="5">
                  <c:v>2500</c:v>
                </c:pt>
                <c:pt idx="7">
                  <c:v>1900</c:v>
                </c:pt>
              </c:numCache>
            </c:numRef>
          </c:yVal>
          <c:smooth val="0"/>
          <c:extLst>
            <c:ext xmlns:c16="http://schemas.microsoft.com/office/drawing/2014/chart" uri="{C3380CC4-5D6E-409C-BE32-E72D297353CC}">
              <c16:uniqueId val="{00000004-0527-4D3B-82E5-EBD5E42045B5}"/>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Summary!$BR$12:$CA$12</c:f>
              <c:numCache>
                <c:formatCode>General</c:formatCode>
                <c:ptCount val="10"/>
                <c:pt idx="0">
                  <c:v>440</c:v>
                </c:pt>
                <c:pt idx="1">
                  <c:v>440</c:v>
                </c:pt>
                <c:pt idx="2">
                  <c:v>985</c:v>
                </c:pt>
                <c:pt idx="3">
                  <c:v>975</c:v>
                </c:pt>
                <c:pt idx="4">
                  <c:v>985</c:v>
                </c:pt>
                <c:pt idx="5">
                  <c:v>985</c:v>
                </c:pt>
                <c:pt idx="6">
                  <c:v>1340</c:v>
                </c:pt>
                <c:pt idx="7">
                  <c:v>1340</c:v>
                </c:pt>
                <c:pt idx="8">
                  <c:v>1340</c:v>
                </c:pt>
                <c:pt idx="9">
                  <c:v>680</c:v>
                </c:pt>
              </c:numCache>
            </c:numRef>
          </c:xVal>
          <c:y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yVal>
          <c:smooth val="0"/>
          <c:extLst>
            <c:ext xmlns:c16="http://schemas.microsoft.com/office/drawing/2014/chart" uri="{C3380CC4-5D6E-409C-BE32-E72D297353CC}">
              <c16:uniqueId val="{00000005-0527-4D3B-82E5-EBD5E42045B5}"/>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Engine Displacement (cu in)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Power  (HP)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Fuselage Length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rgbClr val="0070C0"/>
              </a:solidFill>
              <a:ln w="9525">
                <a:solidFill>
                  <a:srgbClr val="0070C0"/>
                </a:solidFill>
              </a:ln>
              <a:effectLst/>
            </c:spPr>
          </c:marker>
          <c:trendline>
            <c:spPr>
              <a:ln w="19050" cap="rnd">
                <a:solidFill>
                  <a:schemeClr val="accent5"/>
                </a:solidFill>
                <a:prstDash val="sysDot"/>
              </a:ln>
              <a:effectLst/>
            </c:spPr>
            <c:trendlineType val="linear"/>
            <c:dispRSqr val="1"/>
            <c:dispEq val="1"/>
            <c:trendlineLbl>
              <c:layout>
                <c:manualLayout>
                  <c:x val="3.714347007222274E-2"/>
                  <c:y val="-5.1308770789725268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Summary!$C$47:$CA$47</c:f>
              <c:numCache>
                <c:formatCode>General</c:formatCode>
                <c:ptCount val="77"/>
                <c:pt idx="0">
                  <c:v>20.9</c:v>
                </c:pt>
                <c:pt idx="1">
                  <c:v>23.2</c:v>
                </c:pt>
                <c:pt idx="2">
                  <c:v>24.4</c:v>
                </c:pt>
                <c:pt idx="3">
                  <c:v>26.799999999999997</c:v>
                </c:pt>
                <c:pt idx="4">
                  <c:v>26.799999999999997</c:v>
                </c:pt>
                <c:pt idx="5">
                  <c:v>27</c:v>
                </c:pt>
                <c:pt idx="6">
                  <c:v>27</c:v>
                </c:pt>
                <c:pt idx="11" formatCode="0.00">
                  <c:v>27.958333333333332</c:v>
                </c:pt>
                <c:pt idx="12">
                  <c:v>31</c:v>
                </c:pt>
                <c:pt idx="16">
                  <c:v>27.8</c:v>
                </c:pt>
                <c:pt idx="17">
                  <c:v>29.5</c:v>
                </c:pt>
                <c:pt idx="19">
                  <c:v>26.3</c:v>
                </c:pt>
                <c:pt idx="20">
                  <c:v>26.3</c:v>
                </c:pt>
                <c:pt idx="28">
                  <c:v>26.1</c:v>
                </c:pt>
                <c:pt idx="41">
                  <c:v>26.92</c:v>
                </c:pt>
                <c:pt idx="42">
                  <c:v>26.92</c:v>
                </c:pt>
                <c:pt idx="43">
                  <c:v>25.2</c:v>
                </c:pt>
                <c:pt idx="44">
                  <c:v>25.2</c:v>
                </c:pt>
                <c:pt idx="45">
                  <c:v>25.2</c:v>
                </c:pt>
                <c:pt idx="46">
                  <c:v>25.2</c:v>
                </c:pt>
                <c:pt idx="50" formatCode="0.00">
                  <c:v>44.69166666666667</c:v>
                </c:pt>
                <c:pt idx="51">
                  <c:v>31.5</c:v>
                </c:pt>
                <c:pt idx="52">
                  <c:v>31.5</c:v>
                </c:pt>
                <c:pt idx="53">
                  <c:v>31.5</c:v>
                </c:pt>
                <c:pt idx="54">
                  <c:v>31.5</c:v>
                </c:pt>
                <c:pt idx="55">
                  <c:v>31.5</c:v>
                </c:pt>
                <c:pt idx="58">
                  <c:v>28.6</c:v>
                </c:pt>
                <c:pt idx="59">
                  <c:v>29.8</c:v>
                </c:pt>
                <c:pt idx="61">
                  <c:v>34.799999999999997</c:v>
                </c:pt>
                <c:pt idx="62">
                  <c:v>32.5</c:v>
                </c:pt>
                <c:pt idx="63">
                  <c:v>34.1</c:v>
                </c:pt>
                <c:pt idx="65">
                  <c:v>35.799999999999997</c:v>
                </c:pt>
                <c:pt idx="67">
                  <c:v>28</c:v>
                </c:pt>
                <c:pt idx="68">
                  <c:v>22.5</c:v>
                </c:pt>
                <c:pt idx="69">
                  <c:v>24.3</c:v>
                </c:pt>
                <c:pt idx="70">
                  <c:v>27.6</c:v>
                </c:pt>
                <c:pt idx="72">
                  <c:v>28.8</c:v>
                </c:pt>
                <c:pt idx="73">
                  <c:v>27.8</c:v>
                </c:pt>
                <c:pt idx="74">
                  <c:v>29</c:v>
                </c:pt>
              </c:numCache>
            </c:numRef>
          </c:yVal>
          <c:smooth val="0"/>
          <c:extLst>
            <c:ext xmlns:c16="http://schemas.microsoft.com/office/drawing/2014/chart" uri="{C3380CC4-5D6E-409C-BE32-E72D297353CC}">
              <c16:uniqueId val="{00000001-A342-4FB9-BCF3-BF19DB6CBBC0}"/>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Summary!$C$147:$AC$147</c:f>
              <c:numCache>
                <c:formatCode>General</c:formatCode>
                <c:ptCount val="27"/>
                <c:pt idx="0">
                  <c:v>2935</c:v>
                </c:pt>
                <c:pt idx="1">
                  <c:v>5599</c:v>
                </c:pt>
                <c:pt idx="2">
                  <c:v>5531</c:v>
                </c:pt>
                <c:pt idx="3">
                  <c:v>5689</c:v>
                </c:pt>
                <c:pt idx="4">
                  <c:v>5919</c:v>
                </c:pt>
                <c:pt idx="6">
                  <c:v>8427</c:v>
                </c:pt>
                <c:pt idx="12">
                  <c:v>13373</c:v>
                </c:pt>
                <c:pt idx="16">
                  <c:v>10119</c:v>
                </c:pt>
                <c:pt idx="17">
                  <c:v>5579</c:v>
                </c:pt>
                <c:pt idx="18">
                  <c:v>7403.5</c:v>
                </c:pt>
                <c:pt idx="20">
                  <c:v>7405</c:v>
                </c:pt>
              </c:numCache>
            </c:numRef>
          </c:xVal>
          <c:yVal>
            <c:numRef>
              <c:f>Summary!$C$47:$AC$47</c:f>
              <c:numCache>
                <c:formatCode>General</c:formatCode>
                <c:ptCount val="27"/>
                <c:pt idx="0">
                  <c:v>20.9</c:v>
                </c:pt>
                <c:pt idx="1">
                  <c:v>23.2</c:v>
                </c:pt>
                <c:pt idx="2">
                  <c:v>24.4</c:v>
                </c:pt>
                <c:pt idx="3">
                  <c:v>26.799999999999997</c:v>
                </c:pt>
                <c:pt idx="4">
                  <c:v>26.799999999999997</c:v>
                </c:pt>
                <c:pt idx="5">
                  <c:v>27</c:v>
                </c:pt>
                <c:pt idx="6">
                  <c:v>27</c:v>
                </c:pt>
                <c:pt idx="11" formatCode="0.00">
                  <c:v>27.958333333333332</c:v>
                </c:pt>
                <c:pt idx="12">
                  <c:v>31</c:v>
                </c:pt>
                <c:pt idx="16">
                  <c:v>27.8</c:v>
                </c:pt>
                <c:pt idx="17">
                  <c:v>29.5</c:v>
                </c:pt>
                <c:pt idx="19">
                  <c:v>26.3</c:v>
                </c:pt>
                <c:pt idx="20">
                  <c:v>26.3</c:v>
                </c:pt>
              </c:numCache>
            </c:numRef>
          </c:yVal>
          <c:smooth val="0"/>
          <c:extLst>
            <c:ext xmlns:c16="http://schemas.microsoft.com/office/drawing/2014/chart" uri="{C3380CC4-5D6E-409C-BE32-E72D297353CC}">
              <c16:uniqueId val="{00000002-A342-4FB9-BCF3-BF19DB6CBBC0}"/>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Summary!$AE$47:$BG$47</c:f>
              <c:numCache>
                <c:formatCode>General</c:formatCode>
                <c:ptCount val="29"/>
                <c:pt idx="0">
                  <c:v>26.1</c:v>
                </c:pt>
                <c:pt idx="13">
                  <c:v>26.92</c:v>
                </c:pt>
                <c:pt idx="14">
                  <c:v>26.92</c:v>
                </c:pt>
                <c:pt idx="15">
                  <c:v>25.2</c:v>
                </c:pt>
                <c:pt idx="16">
                  <c:v>25.2</c:v>
                </c:pt>
                <c:pt idx="17">
                  <c:v>25.2</c:v>
                </c:pt>
                <c:pt idx="18">
                  <c:v>25.2</c:v>
                </c:pt>
                <c:pt idx="22" formatCode="0.00">
                  <c:v>44.69166666666667</c:v>
                </c:pt>
                <c:pt idx="23">
                  <c:v>31.5</c:v>
                </c:pt>
                <c:pt idx="24">
                  <c:v>31.5</c:v>
                </c:pt>
                <c:pt idx="25">
                  <c:v>31.5</c:v>
                </c:pt>
                <c:pt idx="26">
                  <c:v>31.5</c:v>
                </c:pt>
                <c:pt idx="27">
                  <c:v>31.5</c:v>
                </c:pt>
              </c:numCache>
            </c:numRef>
          </c:yVal>
          <c:smooth val="0"/>
          <c:extLst>
            <c:ext xmlns:c16="http://schemas.microsoft.com/office/drawing/2014/chart" uri="{C3380CC4-5D6E-409C-BE32-E72D297353CC}">
              <c16:uniqueId val="{00000003-A342-4FB9-BCF3-BF19DB6CBBC0}"/>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Summary!$BI$47:$BP$47</c:f>
              <c:numCache>
                <c:formatCode>General</c:formatCode>
                <c:ptCount val="8"/>
                <c:pt idx="0">
                  <c:v>28.6</c:v>
                </c:pt>
                <c:pt idx="1">
                  <c:v>29.8</c:v>
                </c:pt>
                <c:pt idx="3">
                  <c:v>34.799999999999997</c:v>
                </c:pt>
                <c:pt idx="4">
                  <c:v>32.5</c:v>
                </c:pt>
                <c:pt idx="5">
                  <c:v>34.1</c:v>
                </c:pt>
                <c:pt idx="7">
                  <c:v>35.799999999999997</c:v>
                </c:pt>
              </c:numCache>
            </c:numRef>
          </c:yVal>
          <c:smooth val="0"/>
          <c:extLst>
            <c:ext xmlns:c16="http://schemas.microsoft.com/office/drawing/2014/chart" uri="{C3380CC4-5D6E-409C-BE32-E72D297353CC}">
              <c16:uniqueId val="{00000004-A342-4FB9-BCF3-BF19DB6CBBC0}"/>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Summary!$BR$47:$CA$47</c:f>
              <c:numCache>
                <c:formatCode>General</c:formatCode>
                <c:ptCount val="10"/>
                <c:pt idx="0">
                  <c:v>28</c:v>
                </c:pt>
                <c:pt idx="1">
                  <c:v>22.5</c:v>
                </c:pt>
                <c:pt idx="2">
                  <c:v>24.3</c:v>
                </c:pt>
                <c:pt idx="3">
                  <c:v>27.6</c:v>
                </c:pt>
                <c:pt idx="5">
                  <c:v>28.8</c:v>
                </c:pt>
                <c:pt idx="6">
                  <c:v>27.8</c:v>
                </c:pt>
                <c:pt idx="7">
                  <c:v>29</c:v>
                </c:pt>
              </c:numCache>
            </c:numRef>
          </c:yVal>
          <c:smooth val="0"/>
          <c:extLst>
            <c:ext xmlns:c16="http://schemas.microsoft.com/office/drawing/2014/chart" uri="{C3380CC4-5D6E-409C-BE32-E72D297353CC}">
              <c16:uniqueId val="{00000005-A342-4FB9-BCF3-BF19DB6CBBC0}"/>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21259154848917861"/>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Normal Power vs</a:t>
            </a:r>
            <a:r>
              <a:rPr lang="en-US" baseline="0"/>
              <a:t> Engine Displacement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triangle"/>
            <c:size val="9"/>
            <c:spPr>
              <a:solidFill>
                <a:srgbClr val="FFC000"/>
              </a:solidFill>
              <a:ln w="9525">
                <a:solidFill>
                  <a:srgbClr val="FFC000"/>
                </a:solidFill>
              </a:ln>
              <a:effectLst/>
            </c:spPr>
          </c:marker>
          <c:trendline>
            <c:spPr>
              <a:ln w="19050" cap="rnd">
                <a:solidFill>
                  <a:schemeClr val="accent5"/>
                </a:solidFill>
                <a:prstDash val="sysDot"/>
              </a:ln>
              <a:effectLst/>
            </c:spPr>
            <c:trendlineType val="power"/>
            <c:dispRSqr val="1"/>
            <c:dispEq val="1"/>
            <c:trendlineLbl>
              <c:layout>
                <c:manualLayout>
                  <c:x val="-4.9780140455172296E-2"/>
                  <c:y val="-2.2434207586081743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Summary!$C$12:$CA$12</c:f>
              <c:numCache>
                <c:formatCode>General</c:formatCode>
                <c:ptCount val="77"/>
                <c:pt idx="0">
                  <c:v>1340</c:v>
                </c:pt>
                <c:pt idx="1">
                  <c:v>1830</c:v>
                </c:pt>
                <c:pt idx="2">
                  <c:v>1830</c:v>
                </c:pt>
                <c:pt idx="3">
                  <c:v>1820</c:v>
                </c:pt>
                <c:pt idx="4">
                  <c:v>1830</c:v>
                </c:pt>
                <c:pt idx="5">
                  <c:v>1710</c:v>
                </c:pt>
                <c:pt idx="6">
                  <c:v>1710</c:v>
                </c:pt>
                <c:pt idx="7">
                  <c:v>1650</c:v>
                </c:pt>
                <c:pt idx="8">
                  <c:v>1710</c:v>
                </c:pt>
                <c:pt idx="9">
                  <c:v>1650</c:v>
                </c:pt>
                <c:pt idx="10">
                  <c:v>1710</c:v>
                </c:pt>
                <c:pt idx="11">
                  <c:v>1710</c:v>
                </c:pt>
                <c:pt idx="12">
                  <c:v>2800</c:v>
                </c:pt>
                <c:pt idx="13">
                  <c:v>2800</c:v>
                </c:pt>
                <c:pt idx="14">
                  <c:v>2800</c:v>
                </c:pt>
                <c:pt idx="15">
                  <c:v>1650</c:v>
                </c:pt>
                <c:pt idx="16">
                  <c:v>1650</c:v>
                </c:pt>
                <c:pt idx="17">
                  <c:v>1570</c:v>
                </c:pt>
                <c:pt idx="19">
                  <c:v>1710</c:v>
                </c:pt>
                <c:pt idx="20">
                  <c:v>1710</c:v>
                </c:pt>
                <c:pt idx="21">
                  <c:v>1710</c:v>
                </c:pt>
                <c:pt idx="22">
                  <c:v>1710</c:v>
                </c:pt>
                <c:pt idx="23">
                  <c:v>1710</c:v>
                </c:pt>
                <c:pt idx="24">
                  <c:v>1710</c:v>
                </c:pt>
                <c:pt idx="25">
                  <c:v>1710</c:v>
                </c:pt>
                <c:pt idx="26">
                  <c:v>1710</c:v>
                </c:pt>
                <c:pt idx="28">
                  <c:v>1820</c:v>
                </c:pt>
                <c:pt idx="29">
                  <c:v>1820</c:v>
                </c:pt>
                <c:pt idx="30">
                  <c:v>1820</c:v>
                </c:pt>
                <c:pt idx="31">
                  <c:v>1820</c:v>
                </c:pt>
                <c:pt idx="32">
                  <c:v>1820</c:v>
                </c:pt>
                <c:pt idx="33">
                  <c:v>1820</c:v>
                </c:pt>
                <c:pt idx="34">
                  <c:v>1820</c:v>
                </c:pt>
                <c:pt idx="35">
                  <c:v>1820</c:v>
                </c:pt>
                <c:pt idx="36">
                  <c:v>1820</c:v>
                </c:pt>
                <c:pt idx="37">
                  <c:v>1820</c:v>
                </c:pt>
                <c:pt idx="38">
                  <c:v>1820</c:v>
                </c:pt>
                <c:pt idx="39">
                  <c:v>1820</c:v>
                </c:pt>
                <c:pt idx="40">
                  <c:v>1820</c:v>
                </c:pt>
                <c:pt idx="41">
                  <c:v>1830</c:v>
                </c:pt>
                <c:pt idx="42">
                  <c:v>1830</c:v>
                </c:pt>
                <c:pt idx="43">
                  <c:v>1830</c:v>
                </c:pt>
                <c:pt idx="44">
                  <c:v>1830</c:v>
                </c:pt>
                <c:pt idx="45">
                  <c:v>1830</c:v>
                </c:pt>
                <c:pt idx="46">
                  <c:v>1820</c:v>
                </c:pt>
                <c:pt idx="47">
                  <c:v>2800</c:v>
                </c:pt>
                <c:pt idx="48">
                  <c:v>2800</c:v>
                </c:pt>
                <c:pt idx="49">
                  <c:v>2800</c:v>
                </c:pt>
                <c:pt idx="50">
                  <c:v>2800</c:v>
                </c:pt>
                <c:pt idx="51">
                  <c:v>2800</c:v>
                </c:pt>
                <c:pt idx="52">
                  <c:v>2800</c:v>
                </c:pt>
                <c:pt idx="53">
                  <c:v>2800</c:v>
                </c:pt>
                <c:pt idx="54">
                  <c:v>2800</c:v>
                </c:pt>
                <c:pt idx="55">
                  <c:v>2800</c:v>
                </c:pt>
                <c:pt idx="56">
                  <c:v>2800</c:v>
                </c:pt>
                <c:pt idx="58">
                  <c:v>1535</c:v>
                </c:pt>
                <c:pt idx="59">
                  <c:v>1820</c:v>
                </c:pt>
                <c:pt idx="60">
                  <c:v>2600</c:v>
                </c:pt>
                <c:pt idx="61">
                  <c:v>3350</c:v>
                </c:pt>
                <c:pt idx="62">
                  <c:v>2600</c:v>
                </c:pt>
                <c:pt idx="63">
                  <c:v>3350</c:v>
                </c:pt>
                <c:pt idx="65">
                  <c:v>2600</c:v>
                </c:pt>
                <c:pt idx="67">
                  <c:v>440</c:v>
                </c:pt>
                <c:pt idx="68">
                  <c:v>440</c:v>
                </c:pt>
                <c:pt idx="69">
                  <c:v>985</c:v>
                </c:pt>
                <c:pt idx="70">
                  <c:v>975</c:v>
                </c:pt>
                <c:pt idx="71">
                  <c:v>985</c:v>
                </c:pt>
                <c:pt idx="72">
                  <c:v>985</c:v>
                </c:pt>
                <c:pt idx="73">
                  <c:v>1340</c:v>
                </c:pt>
                <c:pt idx="74">
                  <c:v>1340</c:v>
                </c:pt>
                <c:pt idx="75">
                  <c:v>1340</c:v>
                </c:pt>
                <c:pt idx="76">
                  <c:v>680</c:v>
                </c:pt>
              </c:numCache>
            </c:numRef>
          </c:xVal>
          <c:yVal>
            <c:numRef>
              <c:f>Summary!$C$16:$CA$16</c:f>
              <c:numCache>
                <c:formatCode>General</c:formatCode>
                <c:ptCount val="77"/>
                <c:pt idx="0">
                  <c:v>570</c:v>
                </c:pt>
                <c:pt idx="1">
                  <c:v>850</c:v>
                </c:pt>
                <c:pt idx="2">
                  <c:v>900</c:v>
                </c:pt>
                <c:pt idx="3">
                  <c:v>900</c:v>
                </c:pt>
                <c:pt idx="4">
                  <c:v>950</c:v>
                </c:pt>
                <c:pt idx="12">
                  <c:v>1625</c:v>
                </c:pt>
                <c:pt idx="14">
                  <c:v>1625</c:v>
                </c:pt>
                <c:pt idx="28">
                  <c:v>850</c:v>
                </c:pt>
                <c:pt idx="29">
                  <c:v>850</c:v>
                </c:pt>
                <c:pt idx="30">
                  <c:v>850</c:v>
                </c:pt>
                <c:pt idx="31">
                  <c:v>1000</c:v>
                </c:pt>
                <c:pt idx="32">
                  <c:v>1000</c:v>
                </c:pt>
                <c:pt idx="33">
                  <c:v>1000</c:v>
                </c:pt>
                <c:pt idx="34">
                  <c:v>1000</c:v>
                </c:pt>
                <c:pt idx="35">
                  <c:v>1000</c:v>
                </c:pt>
                <c:pt idx="36">
                  <c:v>850</c:v>
                </c:pt>
                <c:pt idx="37">
                  <c:v>850</c:v>
                </c:pt>
                <c:pt idx="38">
                  <c:v>900</c:v>
                </c:pt>
                <c:pt idx="39">
                  <c:v>1000</c:v>
                </c:pt>
                <c:pt idx="40">
                  <c:v>900</c:v>
                </c:pt>
                <c:pt idx="41">
                  <c:v>1100</c:v>
                </c:pt>
                <c:pt idx="42">
                  <c:v>1100</c:v>
                </c:pt>
                <c:pt idx="43">
                  <c:v>1100</c:v>
                </c:pt>
                <c:pt idx="44">
                  <c:v>1100</c:v>
                </c:pt>
                <c:pt idx="45">
                  <c:v>1100</c:v>
                </c:pt>
                <c:pt idx="46">
                  <c:v>1200</c:v>
                </c:pt>
                <c:pt idx="47">
                  <c:v>1675</c:v>
                </c:pt>
                <c:pt idx="48">
                  <c:v>1675</c:v>
                </c:pt>
                <c:pt idx="49">
                  <c:v>1700</c:v>
                </c:pt>
                <c:pt idx="50">
                  <c:v>1700</c:v>
                </c:pt>
                <c:pt idx="51">
                  <c:v>1675</c:v>
                </c:pt>
                <c:pt idx="52">
                  <c:v>1675</c:v>
                </c:pt>
                <c:pt idx="53">
                  <c:v>1675</c:v>
                </c:pt>
                <c:pt idx="54">
                  <c:v>1675</c:v>
                </c:pt>
                <c:pt idx="55">
                  <c:v>1675</c:v>
                </c:pt>
                <c:pt idx="56">
                  <c:v>1700</c:v>
                </c:pt>
                <c:pt idx="58">
                  <c:v>750</c:v>
                </c:pt>
                <c:pt idx="59">
                  <c:v>1200</c:v>
                </c:pt>
                <c:pt idx="60">
                  <c:v>1500</c:v>
                </c:pt>
                <c:pt idx="61">
                  <c:v>2300</c:v>
                </c:pt>
                <c:pt idx="62">
                  <c:v>1600</c:v>
                </c:pt>
                <c:pt idx="63">
                  <c:v>2100</c:v>
                </c:pt>
                <c:pt idx="65">
                  <c:v>1600</c:v>
                </c:pt>
                <c:pt idx="69">
                  <c:v>440</c:v>
                </c:pt>
                <c:pt idx="70">
                  <c:v>400</c:v>
                </c:pt>
                <c:pt idx="71">
                  <c:v>450</c:v>
                </c:pt>
                <c:pt idx="72">
                  <c:v>450</c:v>
                </c:pt>
                <c:pt idx="73">
                  <c:v>550</c:v>
                </c:pt>
                <c:pt idx="74">
                  <c:v>550</c:v>
                </c:pt>
                <c:pt idx="75">
                  <c:v>550</c:v>
                </c:pt>
              </c:numCache>
            </c:numRef>
          </c:yVal>
          <c:smooth val="0"/>
          <c:extLst>
            <c:ext xmlns:c16="http://schemas.microsoft.com/office/drawing/2014/chart" uri="{C3380CC4-5D6E-409C-BE32-E72D297353CC}">
              <c16:uniqueId val="{00000000-5593-4801-9059-3C1052E9D3BE}"/>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Summary!$C$12:$AC$12</c:f>
              <c:numCache>
                <c:formatCode>General</c:formatCode>
                <c:ptCount val="27"/>
                <c:pt idx="0">
                  <c:v>1340</c:v>
                </c:pt>
                <c:pt idx="1">
                  <c:v>1830</c:v>
                </c:pt>
                <c:pt idx="2">
                  <c:v>1830</c:v>
                </c:pt>
                <c:pt idx="3">
                  <c:v>1820</c:v>
                </c:pt>
                <c:pt idx="4">
                  <c:v>1830</c:v>
                </c:pt>
                <c:pt idx="5">
                  <c:v>1710</c:v>
                </c:pt>
                <c:pt idx="6">
                  <c:v>1710</c:v>
                </c:pt>
                <c:pt idx="7">
                  <c:v>1650</c:v>
                </c:pt>
                <c:pt idx="8">
                  <c:v>1710</c:v>
                </c:pt>
                <c:pt idx="9">
                  <c:v>1650</c:v>
                </c:pt>
                <c:pt idx="10">
                  <c:v>1710</c:v>
                </c:pt>
                <c:pt idx="11">
                  <c:v>1710</c:v>
                </c:pt>
                <c:pt idx="12">
                  <c:v>2800</c:v>
                </c:pt>
                <c:pt idx="13">
                  <c:v>2800</c:v>
                </c:pt>
                <c:pt idx="14">
                  <c:v>2800</c:v>
                </c:pt>
                <c:pt idx="15">
                  <c:v>1650</c:v>
                </c:pt>
                <c:pt idx="16">
                  <c:v>1650</c:v>
                </c:pt>
                <c:pt idx="17">
                  <c:v>1570</c:v>
                </c:pt>
                <c:pt idx="19">
                  <c:v>1710</c:v>
                </c:pt>
                <c:pt idx="20">
                  <c:v>1710</c:v>
                </c:pt>
                <c:pt idx="21">
                  <c:v>1710</c:v>
                </c:pt>
                <c:pt idx="22">
                  <c:v>1710</c:v>
                </c:pt>
                <c:pt idx="23">
                  <c:v>1710</c:v>
                </c:pt>
                <c:pt idx="24">
                  <c:v>1710</c:v>
                </c:pt>
                <c:pt idx="25">
                  <c:v>1710</c:v>
                </c:pt>
                <c:pt idx="26">
                  <c:v>1710</c:v>
                </c:pt>
              </c:numCache>
            </c:numRef>
          </c:xVal>
          <c:yVal>
            <c:numRef>
              <c:f>Summary!$C$16:$AC$16</c:f>
              <c:numCache>
                <c:formatCode>General</c:formatCode>
                <c:ptCount val="27"/>
                <c:pt idx="0">
                  <c:v>570</c:v>
                </c:pt>
                <c:pt idx="1">
                  <c:v>850</c:v>
                </c:pt>
                <c:pt idx="2">
                  <c:v>900</c:v>
                </c:pt>
                <c:pt idx="3">
                  <c:v>900</c:v>
                </c:pt>
                <c:pt idx="4">
                  <c:v>950</c:v>
                </c:pt>
                <c:pt idx="12">
                  <c:v>1625</c:v>
                </c:pt>
                <c:pt idx="14">
                  <c:v>1625</c:v>
                </c:pt>
              </c:numCache>
            </c:numRef>
          </c:yVal>
          <c:smooth val="0"/>
          <c:extLst>
            <c:ext xmlns:c16="http://schemas.microsoft.com/office/drawing/2014/chart" uri="{C3380CC4-5D6E-409C-BE32-E72D297353CC}">
              <c16:uniqueId val="{00000001-5593-4801-9059-3C1052E9D3BE}"/>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Summary!$AE$12:$BG$12</c:f>
              <c:numCache>
                <c:formatCode>General</c:formatCode>
                <c:ptCount val="29"/>
                <c:pt idx="0">
                  <c:v>1820</c:v>
                </c:pt>
                <c:pt idx="1">
                  <c:v>1820</c:v>
                </c:pt>
                <c:pt idx="2">
                  <c:v>1820</c:v>
                </c:pt>
                <c:pt idx="3">
                  <c:v>1820</c:v>
                </c:pt>
                <c:pt idx="4">
                  <c:v>1820</c:v>
                </c:pt>
                <c:pt idx="5">
                  <c:v>1820</c:v>
                </c:pt>
                <c:pt idx="6">
                  <c:v>1820</c:v>
                </c:pt>
                <c:pt idx="7">
                  <c:v>1820</c:v>
                </c:pt>
                <c:pt idx="8">
                  <c:v>1820</c:v>
                </c:pt>
                <c:pt idx="9">
                  <c:v>1820</c:v>
                </c:pt>
                <c:pt idx="10">
                  <c:v>1820</c:v>
                </c:pt>
                <c:pt idx="11">
                  <c:v>1820</c:v>
                </c:pt>
                <c:pt idx="12">
                  <c:v>1820</c:v>
                </c:pt>
                <c:pt idx="13">
                  <c:v>1830</c:v>
                </c:pt>
                <c:pt idx="14">
                  <c:v>1830</c:v>
                </c:pt>
                <c:pt idx="15">
                  <c:v>1830</c:v>
                </c:pt>
                <c:pt idx="16">
                  <c:v>1830</c:v>
                </c:pt>
                <c:pt idx="17">
                  <c:v>1830</c:v>
                </c:pt>
                <c:pt idx="18">
                  <c:v>1820</c:v>
                </c:pt>
                <c:pt idx="19">
                  <c:v>2800</c:v>
                </c:pt>
                <c:pt idx="20">
                  <c:v>2800</c:v>
                </c:pt>
                <c:pt idx="21">
                  <c:v>2800</c:v>
                </c:pt>
                <c:pt idx="22">
                  <c:v>2800</c:v>
                </c:pt>
                <c:pt idx="23">
                  <c:v>2800</c:v>
                </c:pt>
                <c:pt idx="24">
                  <c:v>2800</c:v>
                </c:pt>
                <c:pt idx="25">
                  <c:v>2800</c:v>
                </c:pt>
                <c:pt idx="26">
                  <c:v>2800</c:v>
                </c:pt>
                <c:pt idx="27">
                  <c:v>2800</c:v>
                </c:pt>
                <c:pt idx="28">
                  <c:v>2800</c:v>
                </c:pt>
              </c:numCache>
            </c:numRef>
          </c:xVal>
          <c:yVal>
            <c:numRef>
              <c:f>Summary!$AE$16:$BG$16</c:f>
              <c:numCache>
                <c:formatCode>General</c:formatCode>
                <c:ptCount val="29"/>
                <c:pt idx="0">
                  <c:v>850</c:v>
                </c:pt>
                <c:pt idx="1">
                  <c:v>850</c:v>
                </c:pt>
                <c:pt idx="2">
                  <c:v>850</c:v>
                </c:pt>
                <c:pt idx="3">
                  <c:v>1000</c:v>
                </c:pt>
                <c:pt idx="4">
                  <c:v>1000</c:v>
                </c:pt>
                <c:pt idx="5">
                  <c:v>1000</c:v>
                </c:pt>
                <c:pt idx="6">
                  <c:v>1000</c:v>
                </c:pt>
                <c:pt idx="7">
                  <c:v>1000</c:v>
                </c:pt>
                <c:pt idx="8">
                  <c:v>850</c:v>
                </c:pt>
                <c:pt idx="9">
                  <c:v>850</c:v>
                </c:pt>
                <c:pt idx="10">
                  <c:v>900</c:v>
                </c:pt>
                <c:pt idx="11">
                  <c:v>1000</c:v>
                </c:pt>
                <c:pt idx="12">
                  <c:v>900</c:v>
                </c:pt>
                <c:pt idx="13">
                  <c:v>1100</c:v>
                </c:pt>
                <c:pt idx="14">
                  <c:v>1100</c:v>
                </c:pt>
                <c:pt idx="15">
                  <c:v>1100</c:v>
                </c:pt>
                <c:pt idx="16">
                  <c:v>1100</c:v>
                </c:pt>
                <c:pt idx="17">
                  <c:v>1100</c:v>
                </c:pt>
                <c:pt idx="18">
                  <c:v>1200</c:v>
                </c:pt>
                <c:pt idx="19">
                  <c:v>1675</c:v>
                </c:pt>
                <c:pt idx="20">
                  <c:v>1675</c:v>
                </c:pt>
                <c:pt idx="21">
                  <c:v>1700</c:v>
                </c:pt>
                <c:pt idx="22">
                  <c:v>1700</c:v>
                </c:pt>
                <c:pt idx="23">
                  <c:v>1675</c:v>
                </c:pt>
                <c:pt idx="24">
                  <c:v>1675</c:v>
                </c:pt>
                <c:pt idx="25">
                  <c:v>1675</c:v>
                </c:pt>
                <c:pt idx="26">
                  <c:v>1675</c:v>
                </c:pt>
                <c:pt idx="27">
                  <c:v>1675</c:v>
                </c:pt>
                <c:pt idx="28">
                  <c:v>1700</c:v>
                </c:pt>
              </c:numCache>
            </c:numRef>
          </c:yVal>
          <c:smooth val="0"/>
          <c:extLst>
            <c:ext xmlns:c16="http://schemas.microsoft.com/office/drawing/2014/chart" uri="{C3380CC4-5D6E-409C-BE32-E72D297353CC}">
              <c16:uniqueId val="{00000002-5593-4801-9059-3C1052E9D3BE}"/>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Summary!$BI$12:$BP$12</c:f>
              <c:numCache>
                <c:formatCode>General</c:formatCode>
                <c:ptCount val="8"/>
                <c:pt idx="0">
                  <c:v>1535</c:v>
                </c:pt>
                <c:pt idx="1">
                  <c:v>1820</c:v>
                </c:pt>
                <c:pt idx="2">
                  <c:v>2600</c:v>
                </c:pt>
                <c:pt idx="3">
                  <c:v>3350</c:v>
                </c:pt>
                <c:pt idx="4">
                  <c:v>2600</c:v>
                </c:pt>
                <c:pt idx="5">
                  <c:v>3350</c:v>
                </c:pt>
                <c:pt idx="7">
                  <c:v>2600</c:v>
                </c:pt>
              </c:numCache>
            </c:numRef>
          </c:xVal>
          <c:yVal>
            <c:numRef>
              <c:f>Summary!$BI$16:$BP$16</c:f>
              <c:numCache>
                <c:formatCode>General</c:formatCode>
                <c:ptCount val="8"/>
                <c:pt idx="0">
                  <c:v>750</c:v>
                </c:pt>
                <c:pt idx="1">
                  <c:v>1200</c:v>
                </c:pt>
                <c:pt idx="2">
                  <c:v>1500</c:v>
                </c:pt>
                <c:pt idx="3">
                  <c:v>2300</c:v>
                </c:pt>
                <c:pt idx="4">
                  <c:v>1600</c:v>
                </c:pt>
                <c:pt idx="5">
                  <c:v>2100</c:v>
                </c:pt>
                <c:pt idx="7">
                  <c:v>1600</c:v>
                </c:pt>
              </c:numCache>
            </c:numRef>
          </c:yVal>
          <c:smooth val="0"/>
          <c:extLst>
            <c:ext xmlns:c16="http://schemas.microsoft.com/office/drawing/2014/chart" uri="{C3380CC4-5D6E-409C-BE32-E72D297353CC}">
              <c16:uniqueId val="{00000003-5593-4801-9059-3C1052E9D3BE}"/>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Summary!$BR$12:$CA$12</c:f>
              <c:numCache>
                <c:formatCode>General</c:formatCode>
                <c:ptCount val="10"/>
                <c:pt idx="0">
                  <c:v>440</c:v>
                </c:pt>
                <c:pt idx="1">
                  <c:v>440</c:v>
                </c:pt>
                <c:pt idx="2">
                  <c:v>985</c:v>
                </c:pt>
                <c:pt idx="3">
                  <c:v>975</c:v>
                </c:pt>
                <c:pt idx="4">
                  <c:v>985</c:v>
                </c:pt>
                <c:pt idx="5">
                  <c:v>985</c:v>
                </c:pt>
                <c:pt idx="6">
                  <c:v>1340</c:v>
                </c:pt>
                <c:pt idx="7">
                  <c:v>1340</c:v>
                </c:pt>
                <c:pt idx="8">
                  <c:v>1340</c:v>
                </c:pt>
                <c:pt idx="9">
                  <c:v>680</c:v>
                </c:pt>
              </c:numCache>
            </c:numRef>
          </c:xVal>
          <c:yVal>
            <c:numRef>
              <c:f>Summary!$BR$16:$CA$16</c:f>
              <c:numCache>
                <c:formatCode>General</c:formatCode>
                <c:ptCount val="10"/>
                <c:pt idx="2">
                  <c:v>440</c:v>
                </c:pt>
                <c:pt idx="3">
                  <c:v>400</c:v>
                </c:pt>
                <c:pt idx="4">
                  <c:v>450</c:v>
                </c:pt>
                <c:pt idx="5">
                  <c:v>450</c:v>
                </c:pt>
                <c:pt idx="6">
                  <c:v>550</c:v>
                </c:pt>
                <c:pt idx="7">
                  <c:v>550</c:v>
                </c:pt>
                <c:pt idx="8">
                  <c:v>550</c:v>
                </c:pt>
              </c:numCache>
            </c:numRef>
          </c:yVal>
          <c:smooth val="0"/>
          <c:extLst>
            <c:ext xmlns:c16="http://schemas.microsoft.com/office/drawing/2014/chart" uri="{C3380CC4-5D6E-409C-BE32-E72D297353CC}">
              <c16:uniqueId val="{00000004-5593-4801-9059-3C1052E9D3BE}"/>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Engine Displacement (cu in)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Power (HP)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Engine Accessories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Summary!$C$94:$AC$94</c:f>
              <c:numCache>
                <c:formatCode>General</c:formatCode>
                <c:ptCount val="27"/>
                <c:pt idx="0">
                  <c:v>732</c:v>
                </c:pt>
                <c:pt idx="1">
                  <c:v>1291</c:v>
                </c:pt>
                <c:pt idx="2">
                  <c:v>1352</c:v>
                </c:pt>
                <c:pt idx="5">
                  <c:v>1307</c:v>
                </c:pt>
                <c:pt idx="6">
                  <c:v>1311</c:v>
                </c:pt>
                <c:pt idx="7">
                  <c:v>1518</c:v>
                </c:pt>
                <c:pt idx="8">
                  <c:v>1324</c:v>
                </c:pt>
                <c:pt idx="9">
                  <c:v>1523</c:v>
                </c:pt>
                <c:pt idx="10">
                  <c:v>1337</c:v>
                </c:pt>
                <c:pt idx="11">
                  <c:v>1340</c:v>
                </c:pt>
                <c:pt idx="12">
                  <c:v>2223</c:v>
                </c:pt>
                <c:pt idx="13">
                  <c:v>2265</c:v>
                </c:pt>
                <c:pt idx="14">
                  <c:v>2283.1999999999998</c:v>
                </c:pt>
                <c:pt idx="16">
                  <c:v>1692</c:v>
                </c:pt>
                <c:pt idx="17">
                  <c:v>1032</c:v>
                </c:pt>
                <c:pt idx="18">
                  <c:v>1408.5</c:v>
                </c:pt>
                <c:pt idx="19">
                  <c:v>1408.5</c:v>
                </c:pt>
                <c:pt idx="20">
                  <c:v>1399</c:v>
                </c:pt>
                <c:pt idx="21">
                  <c:v>1435</c:v>
                </c:pt>
                <c:pt idx="23">
                  <c:v>1397</c:v>
                </c:pt>
                <c:pt idx="25">
                  <c:v>1620</c:v>
                </c:pt>
                <c:pt idx="26">
                  <c:v>1710</c:v>
                </c:pt>
              </c:numCache>
            </c:numRef>
          </c:xVal>
          <c:yVal>
            <c:numRef>
              <c:f>Summary!$C$95:$AC$95</c:f>
              <c:numCache>
                <c:formatCode>General</c:formatCode>
                <c:ptCount val="27"/>
                <c:pt idx="0">
                  <c:v>38</c:v>
                </c:pt>
                <c:pt idx="1">
                  <c:v>93</c:v>
                </c:pt>
                <c:pt idx="2">
                  <c:v>106</c:v>
                </c:pt>
                <c:pt idx="5">
                  <c:v>106</c:v>
                </c:pt>
                <c:pt idx="6">
                  <c:v>105</c:v>
                </c:pt>
                <c:pt idx="7">
                  <c:v>114</c:v>
                </c:pt>
                <c:pt idx="8">
                  <c:v>73</c:v>
                </c:pt>
                <c:pt idx="9">
                  <c:v>60</c:v>
                </c:pt>
                <c:pt idx="10">
                  <c:v>81</c:v>
                </c:pt>
                <c:pt idx="11">
                  <c:v>92</c:v>
                </c:pt>
                <c:pt idx="12">
                  <c:v>457</c:v>
                </c:pt>
                <c:pt idx="13">
                  <c:v>954</c:v>
                </c:pt>
                <c:pt idx="14">
                  <c:v>977</c:v>
                </c:pt>
                <c:pt idx="16">
                  <c:v>88</c:v>
                </c:pt>
                <c:pt idx="17">
                  <c:v>215</c:v>
                </c:pt>
                <c:pt idx="18">
                  <c:v>115.6</c:v>
                </c:pt>
                <c:pt idx="19">
                  <c:v>115.6</c:v>
                </c:pt>
                <c:pt idx="20">
                  <c:v>115</c:v>
                </c:pt>
                <c:pt idx="21">
                  <c:v>119.2</c:v>
                </c:pt>
                <c:pt idx="23">
                  <c:v>119.2</c:v>
                </c:pt>
                <c:pt idx="25">
                  <c:v>105.3</c:v>
                </c:pt>
                <c:pt idx="26">
                  <c:v>114</c:v>
                </c:pt>
              </c:numCache>
            </c:numRef>
          </c:yVal>
          <c:smooth val="0"/>
          <c:extLst>
            <c:ext xmlns:c16="http://schemas.microsoft.com/office/drawing/2014/chart" uri="{C3380CC4-5D6E-409C-BE32-E72D297353CC}">
              <c16:uniqueId val="{00000000-9130-4C62-B3AF-E20661C12868}"/>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Summary!$AE$94:$BG$94</c:f>
              <c:numCache>
                <c:formatCode>General</c:formatCode>
                <c:ptCount val="29"/>
                <c:pt idx="7">
                  <c:v>1300</c:v>
                </c:pt>
                <c:pt idx="8">
                  <c:v>1100</c:v>
                </c:pt>
                <c:pt idx="9">
                  <c:v>1100</c:v>
                </c:pt>
                <c:pt idx="13">
                  <c:v>1565</c:v>
                </c:pt>
                <c:pt idx="14">
                  <c:v>1540</c:v>
                </c:pt>
                <c:pt idx="15">
                  <c:v>1568</c:v>
                </c:pt>
                <c:pt idx="16">
                  <c:v>1568</c:v>
                </c:pt>
                <c:pt idx="17">
                  <c:v>1568</c:v>
                </c:pt>
                <c:pt idx="19">
                  <c:v>2459.1999999999998</c:v>
                </c:pt>
                <c:pt idx="20">
                  <c:v>2476.5</c:v>
                </c:pt>
                <c:pt idx="21">
                  <c:v>2545</c:v>
                </c:pt>
                <c:pt idx="22">
                  <c:v>2537</c:v>
                </c:pt>
                <c:pt idx="23">
                  <c:v>2469</c:v>
                </c:pt>
                <c:pt idx="24">
                  <c:v>2444</c:v>
                </c:pt>
                <c:pt idx="25">
                  <c:v>2455</c:v>
                </c:pt>
                <c:pt idx="26">
                  <c:v>2445</c:v>
                </c:pt>
                <c:pt idx="27">
                  <c:v>2476</c:v>
                </c:pt>
                <c:pt idx="28">
                  <c:v>2325</c:v>
                </c:pt>
              </c:numCache>
            </c:numRef>
          </c:xVal>
          <c:yVal>
            <c:numRef>
              <c:f>Summary!$AE$95:$BG$95</c:f>
              <c:numCache>
                <c:formatCode>General</c:formatCode>
                <c:ptCount val="29"/>
                <c:pt idx="7">
                  <c:v>81</c:v>
                </c:pt>
                <c:pt idx="8">
                  <c:v>86.2</c:v>
                </c:pt>
                <c:pt idx="9">
                  <c:v>86.2</c:v>
                </c:pt>
                <c:pt idx="13">
                  <c:v>242</c:v>
                </c:pt>
                <c:pt idx="14">
                  <c:v>242</c:v>
                </c:pt>
                <c:pt idx="15">
                  <c:v>242</c:v>
                </c:pt>
                <c:pt idx="16">
                  <c:v>221</c:v>
                </c:pt>
                <c:pt idx="17">
                  <c:v>242</c:v>
                </c:pt>
                <c:pt idx="19">
                  <c:v>278.89999999999998</c:v>
                </c:pt>
                <c:pt idx="20">
                  <c:v>259</c:v>
                </c:pt>
                <c:pt idx="21">
                  <c:v>280</c:v>
                </c:pt>
                <c:pt idx="22">
                  <c:v>285.5</c:v>
                </c:pt>
                <c:pt idx="23">
                  <c:v>314</c:v>
                </c:pt>
                <c:pt idx="24">
                  <c:v>318.3</c:v>
                </c:pt>
                <c:pt idx="25">
                  <c:v>318</c:v>
                </c:pt>
                <c:pt idx="26">
                  <c:v>318</c:v>
                </c:pt>
                <c:pt idx="27">
                  <c:v>315</c:v>
                </c:pt>
                <c:pt idx="28">
                  <c:v>127</c:v>
                </c:pt>
              </c:numCache>
            </c:numRef>
          </c:yVal>
          <c:smooth val="0"/>
          <c:extLst>
            <c:ext xmlns:c16="http://schemas.microsoft.com/office/drawing/2014/chart" uri="{C3380CC4-5D6E-409C-BE32-E72D297353CC}">
              <c16:uniqueId val="{00000001-9130-4C62-B3AF-E20661C12868}"/>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Summary!$BI$94:$BP$94</c:f>
              <c:numCache>
                <c:formatCode>General</c:formatCode>
                <c:ptCount val="8"/>
                <c:pt idx="0">
                  <c:v>1090</c:v>
                </c:pt>
                <c:pt idx="1">
                  <c:v>1320</c:v>
                </c:pt>
                <c:pt idx="2">
                  <c:v>2027.2</c:v>
                </c:pt>
                <c:pt idx="3">
                  <c:v>2949</c:v>
                </c:pt>
                <c:pt idx="4">
                  <c:v>2010</c:v>
                </c:pt>
                <c:pt idx="5">
                  <c:v>2812</c:v>
                </c:pt>
                <c:pt idx="7">
                  <c:v>2017</c:v>
                </c:pt>
              </c:numCache>
            </c:numRef>
          </c:xVal>
          <c:yVal>
            <c:numRef>
              <c:f>Summary!$BI$95:$BP$95</c:f>
              <c:numCache>
                <c:formatCode>General</c:formatCode>
                <c:ptCount val="8"/>
                <c:pt idx="0">
                  <c:v>108</c:v>
                </c:pt>
                <c:pt idx="1">
                  <c:v>76</c:v>
                </c:pt>
                <c:pt idx="2">
                  <c:v>152.80000000000001</c:v>
                </c:pt>
                <c:pt idx="3">
                  <c:v>123</c:v>
                </c:pt>
                <c:pt idx="4">
                  <c:v>148</c:v>
                </c:pt>
                <c:pt idx="5">
                  <c:v>109</c:v>
                </c:pt>
                <c:pt idx="7">
                  <c:v>116</c:v>
                </c:pt>
              </c:numCache>
            </c:numRef>
          </c:yVal>
          <c:smooth val="0"/>
          <c:extLst>
            <c:ext xmlns:c16="http://schemas.microsoft.com/office/drawing/2014/chart" uri="{C3380CC4-5D6E-409C-BE32-E72D297353CC}">
              <c16:uniqueId val="{00000002-9130-4C62-B3AF-E20661C12868}"/>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Summary!$BR$94:$CA$94</c:f>
              <c:numCache>
                <c:formatCode>General</c:formatCode>
                <c:ptCount val="10"/>
                <c:pt idx="0">
                  <c:v>377</c:v>
                </c:pt>
                <c:pt idx="1">
                  <c:v>330</c:v>
                </c:pt>
                <c:pt idx="2">
                  <c:v>628</c:v>
                </c:pt>
                <c:pt idx="3">
                  <c:v>690</c:v>
                </c:pt>
                <c:pt idx="4">
                  <c:v>659.43</c:v>
                </c:pt>
                <c:pt idx="5">
                  <c:v>689</c:v>
                </c:pt>
                <c:pt idx="6">
                  <c:v>846</c:v>
                </c:pt>
                <c:pt idx="7">
                  <c:v>851</c:v>
                </c:pt>
                <c:pt idx="8">
                  <c:v>871</c:v>
                </c:pt>
                <c:pt idx="9">
                  <c:v>500</c:v>
                </c:pt>
              </c:numCache>
            </c:numRef>
          </c:xVal>
          <c:yVal>
            <c:numRef>
              <c:f>Summary!$BR$95:$CA$95</c:f>
              <c:numCache>
                <c:formatCode>General</c:formatCode>
                <c:ptCount val="10"/>
                <c:pt idx="0">
                  <c:v>30</c:v>
                </c:pt>
                <c:pt idx="1">
                  <c:v>19</c:v>
                </c:pt>
                <c:pt idx="2">
                  <c:v>63</c:v>
                </c:pt>
                <c:pt idx="3">
                  <c:v>50</c:v>
                </c:pt>
                <c:pt idx="4">
                  <c:v>75.73</c:v>
                </c:pt>
                <c:pt idx="5">
                  <c:v>61</c:v>
                </c:pt>
                <c:pt idx="6">
                  <c:v>73</c:v>
                </c:pt>
                <c:pt idx="7">
                  <c:v>88</c:v>
                </c:pt>
                <c:pt idx="8">
                  <c:v>74</c:v>
                </c:pt>
                <c:pt idx="9">
                  <c:v>24</c:v>
                </c:pt>
              </c:numCache>
            </c:numRef>
          </c:yVal>
          <c:smooth val="0"/>
          <c:extLst>
            <c:ext xmlns:c16="http://schemas.microsoft.com/office/drawing/2014/chart" uri="{C3380CC4-5D6E-409C-BE32-E72D297353CC}">
              <c16:uniqueId val="{00000003-9130-4C62-B3AF-E20661C12868}"/>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Engine Weight</a:t>
                </a:r>
                <a:r>
                  <a:rPr lang="en-US" baseline="0"/>
                  <a:t> (lb)</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Propeller Diameter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3"/>
          <c:order val="0"/>
          <c:tx>
            <c:v>All</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tx1"/>
                </a:solidFill>
                <a:prstDash val="sysDot"/>
              </a:ln>
              <a:effectLst/>
            </c:spPr>
            <c:trendlineType val="poly"/>
            <c:order val="2"/>
            <c:dispRSqr val="1"/>
            <c:dispEq val="1"/>
            <c:trendlineLbl>
              <c:layout>
                <c:manualLayout>
                  <c:x val="5.1137283131999188E-2"/>
                  <c:y val="0.14566865505448182"/>
                </c:manualLayout>
              </c:layout>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Summary!$C$26:$CA$26</c:f>
              <c:numCache>
                <c:formatCode>General</c:formatCode>
                <c:ptCount val="77"/>
                <c:pt idx="2">
                  <c:v>10</c:v>
                </c:pt>
                <c:pt idx="3">
                  <c:v>10.5</c:v>
                </c:pt>
                <c:pt idx="4">
                  <c:v>10.125</c:v>
                </c:pt>
                <c:pt idx="5">
                  <c:v>11</c:v>
                </c:pt>
                <c:pt idx="6">
                  <c:v>11</c:v>
                </c:pt>
                <c:pt idx="7">
                  <c:v>11</c:v>
                </c:pt>
                <c:pt idx="8">
                  <c:v>11</c:v>
                </c:pt>
                <c:pt idx="9">
                  <c:v>11</c:v>
                </c:pt>
                <c:pt idx="10">
                  <c:v>11</c:v>
                </c:pt>
                <c:pt idx="11">
                  <c:v>11</c:v>
                </c:pt>
                <c:pt idx="12">
                  <c:v>13</c:v>
                </c:pt>
                <c:pt idx="13">
                  <c:v>13</c:v>
                </c:pt>
                <c:pt idx="14">
                  <c:v>13</c:v>
                </c:pt>
                <c:pt idx="15" formatCode="0.00">
                  <c:v>11.166666666666666</c:v>
                </c:pt>
                <c:pt idx="16" formatCode="0.00">
                  <c:v>11.166666666666666</c:v>
                </c:pt>
                <c:pt idx="19">
                  <c:v>10.375</c:v>
                </c:pt>
                <c:pt idx="20">
                  <c:v>10.375</c:v>
                </c:pt>
                <c:pt idx="21">
                  <c:v>10.375</c:v>
                </c:pt>
                <c:pt idx="22" formatCode="0.00">
                  <c:v>11.583333333333334</c:v>
                </c:pt>
                <c:pt idx="23">
                  <c:v>10.375</c:v>
                </c:pt>
                <c:pt idx="24">
                  <c:v>11</c:v>
                </c:pt>
                <c:pt idx="25" formatCode="0.00">
                  <c:v>12.166666666666666</c:v>
                </c:pt>
                <c:pt idx="26" formatCode="0.00">
                  <c:v>12.666666666666666</c:v>
                </c:pt>
                <c:pt idx="28">
                  <c:v>9</c:v>
                </c:pt>
                <c:pt idx="29">
                  <c:v>9</c:v>
                </c:pt>
                <c:pt idx="30">
                  <c:v>9</c:v>
                </c:pt>
                <c:pt idx="33">
                  <c:v>10.25</c:v>
                </c:pt>
                <c:pt idx="34">
                  <c:v>10.25</c:v>
                </c:pt>
                <c:pt idx="35">
                  <c:v>10.25</c:v>
                </c:pt>
                <c:pt idx="36">
                  <c:v>9</c:v>
                </c:pt>
                <c:pt idx="37">
                  <c:v>9</c:v>
                </c:pt>
                <c:pt idx="40" formatCode="0.00">
                  <c:v>10.083333333333334</c:v>
                </c:pt>
                <c:pt idx="41">
                  <c:v>9.75</c:v>
                </c:pt>
                <c:pt idx="42">
                  <c:v>9.75</c:v>
                </c:pt>
                <c:pt idx="43">
                  <c:v>9.75</c:v>
                </c:pt>
                <c:pt idx="44">
                  <c:v>9.75</c:v>
                </c:pt>
                <c:pt idx="45">
                  <c:v>9.75</c:v>
                </c:pt>
                <c:pt idx="46">
                  <c:v>10</c:v>
                </c:pt>
                <c:pt idx="47" formatCode="0.00">
                  <c:v>13.333333333333334</c:v>
                </c:pt>
                <c:pt idx="48" formatCode="0.00">
                  <c:v>13.083333333333334</c:v>
                </c:pt>
                <c:pt idx="49" formatCode="0.00">
                  <c:v>13.333333333333334</c:v>
                </c:pt>
                <c:pt idx="50" formatCode="0.00">
                  <c:v>13.166666666666666</c:v>
                </c:pt>
                <c:pt idx="51" formatCode="0.00">
                  <c:v>13.083333333333334</c:v>
                </c:pt>
                <c:pt idx="52" formatCode="0.00">
                  <c:v>13.083333333333334</c:v>
                </c:pt>
                <c:pt idx="53" formatCode="0.00">
                  <c:v>13.083333333333334</c:v>
                </c:pt>
                <c:pt idx="54" formatCode="0.00">
                  <c:v>13.083333333333334</c:v>
                </c:pt>
                <c:pt idx="55" formatCode="0.00">
                  <c:v>13.083333333333334</c:v>
                </c:pt>
                <c:pt idx="56" formatCode="0.00">
                  <c:v>12.583333333333334</c:v>
                </c:pt>
                <c:pt idx="58">
                  <c:v>9.5</c:v>
                </c:pt>
                <c:pt idx="59" formatCode="0.00">
                  <c:v>10.833333333333334</c:v>
                </c:pt>
                <c:pt idx="60" formatCode="0.00">
                  <c:v>12</c:v>
                </c:pt>
                <c:pt idx="61">
                  <c:v>13.5</c:v>
                </c:pt>
                <c:pt idx="62">
                  <c:v>12</c:v>
                </c:pt>
                <c:pt idx="63" formatCode="0.0">
                  <c:v>13.5</c:v>
                </c:pt>
                <c:pt idx="65" formatCode="0.00">
                  <c:v>13.083333333333334</c:v>
                </c:pt>
                <c:pt idx="67" formatCode="0.00">
                  <c:v>7.166666666666667</c:v>
                </c:pt>
                <c:pt idx="68" formatCode="0.00">
                  <c:v>7.583333333333333</c:v>
                </c:pt>
                <c:pt idx="69">
                  <c:v>8.5</c:v>
                </c:pt>
                <c:pt idx="70">
                  <c:v>8</c:v>
                </c:pt>
                <c:pt idx="71">
                  <c:v>8.75</c:v>
                </c:pt>
                <c:pt idx="72">
                  <c:v>9</c:v>
                </c:pt>
                <c:pt idx="73" formatCode="0.00">
                  <c:v>9.0833333333333339</c:v>
                </c:pt>
                <c:pt idx="74" formatCode="0.00">
                  <c:v>9</c:v>
                </c:pt>
                <c:pt idx="75">
                  <c:v>9</c:v>
                </c:pt>
                <c:pt idx="76">
                  <c:v>8.5</c:v>
                </c:pt>
              </c:numCache>
            </c:numRef>
          </c:yVal>
          <c:smooth val="0"/>
          <c:extLst>
            <c:ext xmlns:c16="http://schemas.microsoft.com/office/drawing/2014/chart" uri="{C3380CC4-5D6E-409C-BE32-E72D297353CC}">
              <c16:uniqueId val="{00000002-E159-467A-BDBD-12FBEFDEEC7D}"/>
            </c:ext>
          </c:extLst>
        </c:ser>
        <c:ser>
          <c:idx val="0"/>
          <c:order val="1"/>
          <c:tx>
            <c:v>2-Blade</c:v>
          </c:tx>
          <c:spPr>
            <a:ln w="25400" cap="rnd">
              <a:noFill/>
              <a:round/>
            </a:ln>
            <a:effectLst/>
          </c:spPr>
          <c:marker>
            <c:symbol val="square"/>
            <c:size val="12"/>
            <c:spPr>
              <a:solidFill>
                <a:schemeClr val="bg1"/>
              </a:solidFill>
              <a:ln w="15875">
                <a:solidFill>
                  <a:schemeClr val="tx1"/>
                </a:solidFill>
              </a:ln>
              <a:effectLst/>
            </c:spPr>
          </c:marker>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Summary!$C$178:$CA$178</c:f>
              <c:numCache>
                <c:formatCode>General</c:formatCode>
                <c:ptCount val="77"/>
                <c:pt idx="67">
                  <c:v>7.166666666666667</c:v>
                </c:pt>
                <c:pt idx="68">
                  <c:v>7.583333333333333</c:v>
                </c:pt>
                <c:pt idx="69">
                  <c:v>8.5</c:v>
                </c:pt>
                <c:pt idx="70">
                  <c:v>8</c:v>
                </c:pt>
                <c:pt idx="71">
                  <c:v>8.75</c:v>
                </c:pt>
                <c:pt idx="72">
                  <c:v>9</c:v>
                </c:pt>
                <c:pt idx="73">
                  <c:v>9.0833333333333339</c:v>
                </c:pt>
                <c:pt idx="74">
                  <c:v>9</c:v>
                </c:pt>
                <c:pt idx="75">
                  <c:v>9</c:v>
                </c:pt>
                <c:pt idx="76">
                  <c:v>8.5</c:v>
                </c:pt>
              </c:numCache>
            </c:numRef>
          </c:yVal>
          <c:smooth val="0"/>
          <c:extLst>
            <c:ext xmlns:c16="http://schemas.microsoft.com/office/drawing/2014/chart" uri="{C3380CC4-5D6E-409C-BE32-E72D297353CC}">
              <c16:uniqueId val="{00000005-C86C-45AE-A128-986BFCBE0EBC}"/>
            </c:ext>
          </c:extLst>
        </c:ser>
        <c:ser>
          <c:idx val="1"/>
          <c:order val="2"/>
          <c:tx>
            <c:v>3-Blade</c:v>
          </c:tx>
          <c:spPr>
            <a:ln w="25400" cap="rnd">
              <a:noFill/>
              <a:round/>
            </a:ln>
            <a:effectLst/>
          </c:spPr>
          <c:marker>
            <c:symbol val="triangle"/>
            <c:size val="12"/>
            <c:spPr>
              <a:solidFill>
                <a:schemeClr val="bg1">
                  <a:lumMod val="75000"/>
                </a:schemeClr>
              </a:solidFill>
              <a:ln w="9525">
                <a:solidFill>
                  <a:schemeClr val="tx1"/>
                </a:solidFill>
              </a:ln>
              <a:effectLst/>
            </c:spPr>
          </c:marker>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Summary!$C$179:$CA$179</c:f>
              <c:numCache>
                <c:formatCode>General</c:formatCode>
                <c:ptCount val="77"/>
                <c:pt idx="2">
                  <c:v>10</c:v>
                </c:pt>
                <c:pt idx="3">
                  <c:v>10.5</c:v>
                </c:pt>
                <c:pt idx="4">
                  <c:v>10.125</c:v>
                </c:pt>
                <c:pt idx="5">
                  <c:v>11</c:v>
                </c:pt>
                <c:pt idx="6">
                  <c:v>11</c:v>
                </c:pt>
                <c:pt idx="7">
                  <c:v>11</c:v>
                </c:pt>
                <c:pt idx="8">
                  <c:v>11</c:v>
                </c:pt>
                <c:pt idx="9">
                  <c:v>11</c:v>
                </c:pt>
                <c:pt idx="10">
                  <c:v>11</c:v>
                </c:pt>
                <c:pt idx="11">
                  <c:v>11</c:v>
                </c:pt>
                <c:pt idx="19">
                  <c:v>10.375</c:v>
                </c:pt>
                <c:pt idx="20">
                  <c:v>10.375</c:v>
                </c:pt>
                <c:pt idx="21">
                  <c:v>10.375</c:v>
                </c:pt>
                <c:pt idx="22">
                  <c:v>11.583333333333334</c:v>
                </c:pt>
                <c:pt idx="23">
                  <c:v>10.375</c:v>
                </c:pt>
                <c:pt idx="28">
                  <c:v>9</c:v>
                </c:pt>
                <c:pt idx="29">
                  <c:v>9</c:v>
                </c:pt>
                <c:pt idx="30">
                  <c:v>9</c:v>
                </c:pt>
                <c:pt idx="34">
                  <c:v>10.25</c:v>
                </c:pt>
                <c:pt idx="35">
                  <c:v>10.25</c:v>
                </c:pt>
                <c:pt idx="36">
                  <c:v>9</c:v>
                </c:pt>
                <c:pt idx="37">
                  <c:v>9</c:v>
                </c:pt>
                <c:pt idx="40">
                  <c:v>10.083333333333334</c:v>
                </c:pt>
                <c:pt idx="41">
                  <c:v>9.75</c:v>
                </c:pt>
                <c:pt idx="42">
                  <c:v>9.75</c:v>
                </c:pt>
                <c:pt idx="43">
                  <c:v>9.75</c:v>
                </c:pt>
                <c:pt idx="44">
                  <c:v>9.75</c:v>
                </c:pt>
                <c:pt idx="45">
                  <c:v>9.75</c:v>
                </c:pt>
                <c:pt idx="46">
                  <c:v>10</c:v>
                </c:pt>
                <c:pt idx="47">
                  <c:v>13.333333333333334</c:v>
                </c:pt>
                <c:pt idx="48">
                  <c:v>13.083333333333334</c:v>
                </c:pt>
                <c:pt idx="49">
                  <c:v>13.333333333333334</c:v>
                </c:pt>
                <c:pt idx="50">
                  <c:v>13.166666666666666</c:v>
                </c:pt>
                <c:pt idx="51">
                  <c:v>13.083333333333334</c:v>
                </c:pt>
                <c:pt idx="52">
                  <c:v>13.083333333333334</c:v>
                </c:pt>
                <c:pt idx="53">
                  <c:v>13.083333333333334</c:v>
                </c:pt>
                <c:pt idx="54">
                  <c:v>13.083333333333334</c:v>
                </c:pt>
                <c:pt idx="55">
                  <c:v>13.083333333333334</c:v>
                </c:pt>
                <c:pt idx="56">
                  <c:v>12.583333333333334</c:v>
                </c:pt>
                <c:pt idx="58">
                  <c:v>9.5</c:v>
                </c:pt>
                <c:pt idx="59">
                  <c:v>10.833333333333334</c:v>
                </c:pt>
                <c:pt idx="60">
                  <c:v>12</c:v>
                </c:pt>
                <c:pt idx="61">
                  <c:v>13.5</c:v>
                </c:pt>
                <c:pt idx="62">
                  <c:v>12</c:v>
                </c:pt>
                <c:pt idx="63">
                  <c:v>13.5</c:v>
                </c:pt>
                <c:pt idx="65">
                  <c:v>13.083333333333334</c:v>
                </c:pt>
              </c:numCache>
            </c:numRef>
          </c:yVal>
          <c:smooth val="0"/>
          <c:extLst>
            <c:ext xmlns:c16="http://schemas.microsoft.com/office/drawing/2014/chart" uri="{C3380CC4-5D6E-409C-BE32-E72D297353CC}">
              <c16:uniqueId val="{00000000-E159-467A-BDBD-12FBEFDEEC7D}"/>
            </c:ext>
          </c:extLst>
        </c:ser>
        <c:ser>
          <c:idx val="2"/>
          <c:order val="3"/>
          <c:tx>
            <c:v>4-Blade</c:v>
          </c:tx>
          <c:spPr>
            <a:ln w="25400" cap="rnd">
              <a:noFill/>
              <a:round/>
            </a:ln>
            <a:effectLst/>
          </c:spPr>
          <c:marker>
            <c:symbol val="diamond"/>
            <c:size val="12"/>
            <c:spPr>
              <a:solidFill>
                <a:schemeClr val="accent3"/>
              </a:solidFill>
              <a:ln w="9525">
                <a:solidFill>
                  <a:schemeClr val="accent3"/>
                </a:solidFill>
              </a:ln>
              <a:effectLst/>
            </c:spPr>
          </c:marker>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Summary!$C$180:$CA$180</c:f>
              <c:numCache>
                <c:formatCode>General</c:formatCode>
                <c:ptCount val="77"/>
                <c:pt idx="12">
                  <c:v>13</c:v>
                </c:pt>
                <c:pt idx="13">
                  <c:v>13</c:v>
                </c:pt>
                <c:pt idx="14">
                  <c:v>13</c:v>
                </c:pt>
                <c:pt idx="15">
                  <c:v>11.166666666666666</c:v>
                </c:pt>
                <c:pt idx="16">
                  <c:v>11.166666666666666</c:v>
                </c:pt>
                <c:pt idx="24">
                  <c:v>11</c:v>
                </c:pt>
                <c:pt idx="25">
                  <c:v>12.166666666666666</c:v>
                </c:pt>
                <c:pt idx="26">
                  <c:v>12.666666666666666</c:v>
                </c:pt>
              </c:numCache>
            </c:numRef>
          </c:yVal>
          <c:smooth val="0"/>
          <c:extLst>
            <c:ext xmlns:c16="http://schemas.microsoft.com/office/drawing/2014/chart" uri="{C3380CC4-5D6E-409C-BE32-E72D297353CC}">
              <c16:uniqueId val="{00000001-E159-467A-BDBD-12FBEFDEEC7D}"/>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a:t>
                </a:r>
                <a:r>
                  <a:rPr lang="en-US" baseline="0"/>
                  <a:t> Off Powr (HP)</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Dia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1029601254082311"/>
          <c:h val="0.16568392587290226"/>
        </c:manualLayout>
      </c:layout>
      <c:overlay val="1"/>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Propeller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2-Blade</c:v>
          </c:tx>
          <c:spPr>
            <a:ln w="25400" cap="rnd">
              <a:noFill/>
              <a:round/>
            </a:ln>
            <a:effectLst/>
          </c:spPr>
          <c:marker>
            <c:symbol val="square"/>
            <c:size val="9"/>
            <c:spPr>
              <a:solidFill>
                <a:schemeClr val="bg1">
                  <a:lumMod val="95000"/>
                </a:schemeClr>
              </a:solidFill>
              <a:ln w="9525">
                <a:solidFill>
                  <a:schemeClr val="tx1"/>
                </a:solidFill>
              </a:ln>
              <a:effectLst/>
            </c:spPr>
          </c:marker>
          <c:xVal>
            <c:numRef>
              <c:f>Summary!$C$26:$CA$26</c:f>
              <c:numCache>
                <c:formatCode>General</c:formatCode>
                <c:ptCount val="77"/>
                <c:pt idx="2">
                  <c:v>10</c:v>
                </c:pt>
                <c:pt idx="3">
                  <c:v>10.5</c:v>
                </c:pt>
                <c:pt idx="4">
                  <c:v>10.125</c:v>
                </c:pt>
                <c:pt idx="5">
                  <c:v>11</c:v>
                </c:pt>
                <c:pt idx="6">
                  <c:v>11</c:v>
                </c:pt>
                <c:pt idx="7">
                  <c:v>11</c:v>
                </c:pt>
                <c:pt idx="8">
                  <c:v>11</c:v>
                </c:pt>
                <c:pt idx="9">
                  <c:v>11</c:v>
                </c:pt>
                <c:pt idx="10">
                  <c:v>11</c:v>
                </c:pt>
                <c:pt idx="11">
                  <c:v>11</c:v>
                </c:pt>
                <c:pt idx="12">
                  <c:v>13</c:v>
                </c:pt>
                <c:pt idx="13">
                  <c:v>13</c:v>
                </c:pt>
                <c:pt idx="14">
                  <c:v>13</c:v>
                </c:pt>
                <c:pt idx="15" formatCode="0.00">
                  <c:v>11.166666666666666</c:v>
                </c:pt>
                <c:pt idx="16" formatCode="0.00">
                  <c:v>11.166666666666666</c:v>
                </c:pt>
                <c:pt idx="19">
                  <c:v>10.375</c:v>
                </c:pt>
                <c:pt idx="20">
                  <c:v>10.375</c:v>
                </c:pt>
                <c:pt idx="21">
                  <c:v>10.375</c:v>
                </c:pt>
                <c:pt idx="22" formatCode="0.00">
                  <c:v>11.583333333333334</c:v>
                </c:pt>
                <c:pt idx="23">
                  <c:v>10.375</c:v>
                </c:pt>
                <c:pt idx="24">
                  <c:v>11</c:v>
                </c:pt>
                <c:pt idx="25" formatCode="0.00">
                  <c:v>12.166666666666666</c:v>
                </c:pt>
                <c:pt idx="26" formatCode="0.00">
                  <c:v>12.666666666666666</c:v>
                </c:pt>
                <c:pt idx="28">
                  <c:v>9</c:v>
                </c:pt>
                <c:pt idx="29">
                  <c:v>9</c:v>
                </c:pt>
                <c:pt idx="30">
                  <c:v>9</c:v>
                </c:pt>
                <c:pt idx="33">
                  <c:v>10.25</c:v>
                </c:pt>
                <c:pt idx="34">
                  <c:v>10.25</c:v>
                </c:pt>
                <c:pt idx="35">
                  <c:v>10.25</c:v>
                </c:pt>
                <c:pt idx="36">
                  <c:v>9</c:v>
                </c:pt>
                <c:pt idx="37">
                  <c:v>9</c:v>
                </c:pt>
                <c:pt idx="40" formatCode="0.00">
                  <c:v>10.083333333333334</c:v>
                </c:pt>
                <c:pt idx="41">
                  <c:v>9.75</c:v>
                </c:pt>
                <c:pt idx="42">
                  <c:v>9.75</c:v>
                </c:pt>
                <c:pt idx="43">
                  <c:v>9.75</c:v>
                </c:pt>
                <c:pt idx="44">
                  <c:v>9.75</c:v>
                </c:pt>
                <c:pt idx="45">
                  <c:v>9.75</c:v>
                </c:pt>
                <c:pt idx="46">
                  <c:v>10</c:v>
                </c:pt>
                <c:pt idx="47" formatCode="0.00">
                  <c:v>13.333333333333334</c:v>
                </c:pt>
                <c:pt idx="48" formatCode="0.00">
                  <c:v>13.083333333333334</c:v>
                </c:pt>
                <c:pt idx="49" formatCode="0.00">
                  <c:v>13.333333333333334</c:v>
                </c:pt>
                <c:pt idx="50" formatCode="0.00">
                  <c:v>13.166666666666666</c:v>
                </c:pt>
                <c:pt idx="51" formatCode="0.00">
                  <c:v>13.083333333333334</c:v>
                </c:pt>
                <c:pt idx="52" formatCode="0.00">
                  <c:v>13.083333333333334</c:v>
                </c:pt>
                <c:pt idx="53" formatCode="0.00">
                  <c:v>13.083333333333334</c:v>
                </c:pt>
                <c:pt idx="54" formatCode="0.00">
                  <c:v>13.083333333333334</c:v>
                </c:pt>
                <c:pt idx="55" formatCode="0.00">
                  <c:v>13.083333333333334</c:v>
                </c:pt>
                <c:pt idx="56" formatCode="0.00">
                  <c:v>12.583333333333334</c:v>
                </c:pt>
                <c:pt idx="58">
                  <c:v>9.5</c:v>
                </c:pt>
                <c:pt idx="59" formatCode="0.00">
                  <c:v>10.833333333333334</c:v>
                </c:pt>
                <c:pt idx="60" formatCode="0.00">
                  <c:v>12</c:v>
                </c:pt>
                <c:pt idx="61">
                  <c:v>13.5</c:v>
                </c:pt>
                <c:pt idx="62">
                  <c:v>12</c:v>
                </c:pt>
                <c:pt idx="63" formatCode="0.0">
                  <c:v>13.5</c:v>
                </c:pt>
                <c:pt idx="65" formatCode="0.00">
                  <c:v>13.083333333333334</c:v>
                </c:pt>
                <c:pt idx="67" formatCode="0.00">
                  <c:v>7.166666666666667</c:v>
                </c:pt>
                <c:pt idx="68" formatCode="0.00">
                  <c:v>7.583333333333333</c:v>
                </c:pt>
                <c:pt idx="69">
                  <c:v>8.5</c:v>
                </c:pt>
                <c:pt idx="70">
                  <c:v>8</c:v>
                </c:pt>
                <c:pt idx="71">
                  <c:v>8.75</c:v>
                </c:pt>
                <c:pt idx="72">
                  <c:v>9</c:v>
                </c:pt>
                <c:pt idx="73" formatCode="0.00">
                  <c:v>9.0833333333333339</c:v>
                </c:pt>
                <c:pt idx="74" formatCode="0.00">
                  <c:v>9</c:v>
                </c:pt>
                <c:pt idx="75">
                  <c:v>9</c:v>
                </c:pt>
                <c:pt idx="76">
                  <c:v>8.5</c:v>
                </c:pt>
              </c:numCache>
            </c:numRef>
          </c:xVal>
          <c:yVal>
            <c:numRef>
              <c:f>Summary!$C$99:$CA$99</c:f>
              <c:numCache>
                <c:formatCode>General</c:formatCode>
                <c:ptCount val="77"/>
                <c:pt idx="0">
                  <c:v>109</c:v>
                </c:pt>
                <c:pt idx="67">
                  <c:v>52</c:v>
                </c:pt>
                <c:pt idx="68">
                  <c:v>46</c:v>
                </c:pt>
                <c:pt idx="69">
                  <c:v>105</c:v>
                </c:pt>
                <c:pt idx="70">
                  <c:v>161</c:v>
                </c:pt>
                <c:pt idx="71">
                  <c:v>163.57</c:v>
                </c:pt>
                <c:pt idx="72">
                  <c:v>163</c:v>
                </c:pt>
                <c:pt idx="73">
                  <c:v>176</c:v>
                </c:pt>
                <c:pt idx="74">
                  <c:v>176</c:v>
                </c:pt>
                <c:pt idx="75">
                  <c:v>184</c:v>
                </c:pt>
                <c:pt idx="76">
                  <c:v>84</c:v>
                </c:pt>
              </c:numCache>
            </c:numRef>
          </c:yVal>
          <c:smooth val="0"/>
          <c:extLst>
            <c:ext xmlns:c16="http://schemas.microsoft.com/office/drawing/2014/chart" uri="{C3380CC4-5D6E-409C-BE32-E72D297353CC}">
              <c16:uniqueId val="{00000000-5167-46C0-B45A-13A086803543}"/>
            </c:ext>
          </c:extLst>
        </c:ser>
        <c:ser>
          <c:idx val="1"/>
          <c:order val="1"/>
          <c:tx>
            <c:v>3-Blade</c:v>
          </c:tx>
          <c:spPr>
            <a:ln w="25400" cap="rnd">
              <a:noFill/>
              <a:round/>
            </a:ln>
            <a:effectLst/>
          </c:spPr>
          <c:marker>
            <c:symbol val="triangle"/>
            <c:size val="10"/>
            <c:spPr>
              <a:solidFill>
                <a:schemeClr val="bg1">
                  <a:lumMod val="85000"/>
                </a:schemeClr>
              </a:solidFill>
              <a:ln w="9525">
                <a:solidFill>
                  <a:schemeClr val="tx1"/>
                </a:solidFill>
              </a:ln>
              <a:effectLst/>
            </c:spPr>
          </c:marker>
          <c:xVal>
            <c:numRef>
              <c:f>Summary!$C$26:$CA$26</c:f>
              <c:numCache>
                <c:formatCode>General</c:formatCode>
                <c:ptCount val="77"/>
                <c:pt idx="2">
                  <c:v>10</c:v>
                </c:pt>
                <c:pt idx="3">
                  <c:v>10.5</c:v>
                </c:pt>
                <c:pt idx="4">
                  <c:v>10.125</c:v>
                </c:pt>
                <c:pt idx="5">
                  <c:v>11</c:v>
                </c:pt>
                <c:pt idx="6">
                  <c:v>11</c:v>
                </c:pt>
                <c:pt idx="7">
                  <c:v>11</c:v>
                </c:pt>
                <c:pt idx="8">
                  <c:v>11</c:v>
                </c:pt>
                <c:pt idx="9">
                  <c:v>11</c:v>
                </c:pt>
                <c:pt idx="10">
                  <c:v>11</c:v>
                </c:pt>
                <c:pt idx="11">
                  <c:v>11</c:v>
                </c:pt>
                <c:pt idx="12">
                  <c:v>13</c:v>
                </c:pt>
                <c:pt idx="13">
                  <c:v>13</c:v>
                </c:pt>
                <c:pt idx="14">
                  <c:v>13</c:v>
                </c:pt>
                <c:pt idx="15" formatCode="0.00">
                  <c:v>11.166666666666666</c:v>
                </c:pt>
                <c:pt idx="16" formatCode="0.00">
                  <c:v>11.166666666666666</c:v>
                </c:pt>
                <c:pt idx="19">
                  <c:v>10.375</c:v>
                </c:pt>
                <c:pt idx="20">
                  <c:v>10.375</c:v>
                </c:pt>
                <c:pt idx="21">
                  <c:v>10.375</c:v>
                </c:pt>
                <c:pt idx="22" formatCode="0.00">
                  <c:v>11.583333333333334</c:v>
                </c:pt>
                <c:pt idx="23">
                  <c:v>10.375</c:v>
                </c:pt>
                <c:pt idx="24">
                  <c:v>11</c:v>
                </c:pt>
                <c:pt idx="25" formatCode="0.00">
                  <c:v>12.166666666666666</c:v>
                </c:pt>
                <c:pt idx="26" formatCode="0.00">
                  <c:v>12.666666666666666</c:v>
                </c:pt>
                <c:pt idx="28">
                  <c:v>9</c:v>
                </c:pt>
                <c:pt idx="29">
                  <c:v>9</c:v>
                </c:pt>
                <c:pt idx="30">
                  <c:v>9</c:v>
                </c:pt>
                <c:pt idx="33">
                  <c:v>10.25</c:v>
                </c:pt>
                <c:pt idx="34">
                  <c:v>10.25</c:v>
                </c:pt>
                <c:pt idx="35">
                  <c:v>10.25</c:v>
                </c:pt>
                <c:pt idx="36">
                  <c:v>9</c:v>
                </c:pt>
                <c:pt idx="37">
                  <c:v>9</c:v>
                </c:pt>
                <c:pt idx="40" formatCode="0.00">
                  <c:v>10.083333333333334</c:v>
                </c:pt>
                <c:pt idx="41">
                  <c:v>9.75</c:v>
                </c:pt>
                <c:pt idx="42">
                  <c:v>9.75</c:v>
                </c:pt>
                <c:pt idx="43">
                  <c:v>9.75</c:v>
                </c:pt>
                <c:pt idx="44">
                  <c:v>9.75</c:v>
                </c:pt>
                <c:pt idx="45">
                  <c:v>9.75</c:v>
                </c:pt>
                <c:pt idx="46">
                  <c:v>10</c:v>
                </c:pt>
                <c:pt idx="47" formatCode="0.00">
                  <c:v>13.333333333333334</c:v>
                </c:pt>
                <c:pt idx="48" formatCode="0.00">
                  <c:v>13.083333333333334</c:v>
                </c:pt>
                <c:pt idx="49" formatCode="0.00">
                  <c:v>13.333333333333334</c:v>
                </c:pt>
                <c:pt idx="50" formatCode="0.00">
                  <c:v>13.166666666666666</c:v>
                </c:pt>
                <c:pt idx="51" formatCode="0.00">
                  <c:v>13.083333333333334</c:v>
                </c:pt>
                <c:pt idx="52" formatCode="0.00">
                  <c:v>13.083333333333334</c:v>
                </c:pt>
                <c:pt idx="53" formatCode="0.00">
                  <c:v>13.083333333333334</c:v>
                </c:pt>
                <c:pt idx="54" formatCode="0.00">
                  <c:v>13.083333333333334</c:v>
                </c:pt>
                <c:pt idx="55" formatCode="0.00">
                  <c:v>13.083333333333334</c:v>
                </c:pt>
                <c:pt idx="56" formatCode="0.00">
                  <c:v>12.583333333333334</c:v>
                </c:pt>
                <c:pt idx="58">
                  <c:v>9.5</c:v>
                </c:pt>
                <c:pt idx="59" formatCode="0.00">
                  <c:v>10.833333333333334</c:v>
                </c:pt>
                <c:pt idx="60" formatCode="0.00">
                  <c:v>12</c:v>
                </c:pt>
                <c:pt idx="61">
                  <c:v>13.5</c:v>
                </c:pt>
                <c:pt idx="62">
                  <c:v>12</c:v>
                </c:pt>
                <c:pt idx="63" formatCode="0.0">
                  <c:v>13.5</c:v>
                </c:pt>
                <c:pt idx="65" formatCode="0.00">
                  <c:v>13.083333333333334</c:v>
                </c:pt>
                <c:pt idx="67" formatCode="0.00">
                  <c:v>7.166666666666667</c:v>
                </c:pt>
                <c:pt idx="68" formatCode="0.00">
                  <c:v>7.583333333333333</c:v>
                </c:pt>
                <c:pt idx="69">
                  <c:v>8.5</c:v>
                </c:pt>
                <c:pt idx="70">
                  <c:v>8</c:v>
                </c:pt>
                <c:pt idx="71">
                  <c:v>8.75</c:v>
                </c:pt>
                <c:pt idx="72">
                  <c:v>9</c:v>
                </c:pt>
                <c:pt idx="73" formatCode="0.00">
                  <c:v>9.0833333333333339</c:v>
                </c:pt>
                <c:pt idx="74" formatCode="0.00">
                  <c:v>9</c:v>
                </c:pt>
                <c:pt idx="75">
                  <c:v>9</c:v>
                </c:pt>
                <c:pt idx="76">
                  <c:v>8.5</c:v>
                </c:pt>
              </c:numCache>
            </c:numRef>
          </c:xVal>
          <c:yVal>
            <c:numRef>
              <c:f>Summary!$C$100:$CA$100</c:f>
              <c:numCache>
                <c:formatCode>General</c:formatCode>
                <c:ptCount val="77"/>
                <c:pt idx="1">
                  <c:v>319</c:v>
                </c:pt>
                <c:pt idx="2">
                  <c:v>318</c:v>
                </c:pt>
                <c:pt idx="5">
                  <c:v>383</c:v>
                </c:pt>
                <c:pt idx="6">
                  <c:v>384</c:v>
                </c:pt>
                <c:pt idx="7">
                  <c:v>386</c:v>
                </c:pt>
                <c:pt idx="8">
                  <c:v>418</c:v>
                </c:pt>
                <c:pt idx="9">
                  <c:v>418</c:v>
                </c:pt>
                <c:pt idx="10">
                  <c:v>418</c:v>
                </c:pt>
                <c:pt idx="11">
                  <c:v>417</c:v>
                </c:pt>
                <c:pt idx="17">
                  <c:v>291</c:v>
                </c:pt>
                <c:pt idx="18">
                  <c:v>398</c:v>
                </c:pt>
                <c:pt idx="19">
                  <c:v>398</c:v>
                </c:pt>
                <c:pt idx="20">
                  <c:v>398</c:v>
                </c:pt>
                <c:pt idx="21">
                  <c:v>399.3</c:v>
                </c:pt>
                <c:pt idx="23">
                  <c:v>399.3</c:v>
                </c:pt>
                <c:pt idx="34">
                  <c:v>339</c:v>
                </c:pt>
                <c:pt idx="35">
                  <c:v>339</c:v>
                </c:pt>
                <c:pt idx="36">
                  <c:v>262</c:v>
                </c:pt>
                <c:pt idx="37">
                  <c:v>262</c:v>
                </c:pt>
                <c:pt idx="41">
                  <c:v>314</c:v>
                </c:pt>
                <c:pt idx="42">
                  <c:v>312</c:v>
                </c:pt>
                <c:pt idx="43">
                  <c:v>315.5</c:v>
                </c:pt>
                <c:pt idx="44">
                  <c:v>321</c:v>
                </c:pt>
                <c:pt idx="45">
                  <c:v>315.5</c:v>
                </c:pt>
                <c:pt idx="46">
                  <c:v>394</c:v>
                </c:pt>
                <c:pt idx="47">
                  <c:v>493.7</c:v>
                </c:pt>
                <c:pt idx="48">
                  <c:v>490.9</c:v>
                </c:pt>
                <c:pt idx="51">
                  <c:v>485.2</c:v>
                </c:pt>
                <c:pt idx="52">
                  <c:v>480.4</c:v>
                </c:pt>
                <c:pt idx="53">
                  <c:v>481.4</c:v>
                </c:pt>
                <c:pt idx="54">
                  <c:v>480</c:v>
                </c:pt>
                <c:pt idx="55">
                  <c:v>485</c:v>
                </c:pt>
                <c:pt idx="58">
                  <c:v>243</c:v>
                </c:pt>
                <c:pt idx="59">
                  <c:v>324</c:v>
                </c:pt>
                <c:pt idx="60">
                  <c:v>459.8</c:v>
                </c:pt>
                <c:pt idx="65">
                  <c:v>473</c:v>
                </c:pt>
              </c:numCache>
            </c:numRef>
          </c:yVal>
          <c:smooth val="0"/>
          <c:extLst>
            <c:ext xmlns:c16="http://schemas.microsoft.com/office/drawing/2014/chart" uri="{C3380CC4-5D6E-409C-BE32-E72D297353CC}">
              <c16:uniqueId val="{00000001-5167-46C0-B45A-13A086803543}"/>
            </c:ext>
          </c:extLst>
        </c:ser>
        <c:ser>
          <c:idx val="2"/>
          <c:order val="2"/>
          <c:tx>
            <c:v>4-Blade</c:v>
          </c:tx>
          <c:spPr>
            <a:ln w="25400" cap="rnd">
              <a:noFill/>
              <a:round/>
            </a:ln>
            <a:effectLst/>
          </c:spPr>
          <c:marker>
            <c:symbol val="diamond"/>
            <c:size val="12"/>
            <c:spPr>
              <a:solidFill>
                <a:schemeClr val="tx1">
                  <a:lumMod val="50000"/>
                  <a:lumOff val="50000"/>
                </a:schemeClr>
              </a:solidFill>
              <a:ln w="9525">
                <a:solidFill>
                  <a:schemeClr val="tx1"/>
                </a:solidFill>
              </a:ln>
              <a:effectLst/>
            </c:spPr>
          </c:marker>
          <c:xVal>
            <c:numRef>
              <c:f>Summary!$C$26:$CA$26</c:f>
              <c:numCache>
                <c:formatCode>General</c:formatCode>
                <c:ptCount val="77"/>
                <c:pt idx="2">
                  <c:v>10</c:v>
                </c:pt>
                <c:pt idx="3">
                  <c:v>10.5</c:v>
                </c:pt>
                <c:pt idx="4">
                  <c:v>10.125</c:v>
                </c:pt>
                <c:pt idx="5">
                  <c:v>11</c:v>
                </c:pt>
                <c:pt idx="6">
                  <c:v>11</c:v>
                </c:pt>
                <c:pt idx="7">
                  <c:v>11</c:v>
                </c:pt>
                <c:pt idx="8">
                  <c:v>11</c:v>
                </c:pt>
                <c:pt idx="9">
                  <c:v>11</c:v>
                </c:pt>
                <c:pt idx="10">
                  <c:v>11</c:v>
                </c:pt>
                <c:pt idx="11">
                  <c:v>11</c:v>
                </c:pt>
                <c:pt idx="12">
                  <c:v>13</c:v>
                </c:pt>
                <c:pt idx="13">
                  <c:v>13</c:v>
                </c:pt>
                <c:pt idx="14">
                  <c:v>13</c:v>
                </c:pt>
                <c:pt idx="15" formatCode="0.00">
                  <c:v>11.166666666666666</c:v>
                </c:pt>
                <c:pt idx="16" formatCode="0.00">
                  <c:v>11.166666666666666</c:v>
                </c:pt>
                <c:pt idx="19">
                  <c:v>10.375</c:v>
                </c:pt>
                <c:pt idx="20">
                  <c:v>10.375</c:v>
                </c:pt>
                <c:pt idx="21">
                  <c:v>10.375</c:v>
                </c:pt>
                <c:pt idx="22" formatCode="0.00">
                  <c:v>11.583333333333334</c:v>
                </c:pt>
                <c:pt idx="23">
                  <c:v>10.375</c:v>
                </c:pt>
                <c:pt idx="24">
                  <c:v>11</c:v>
                </c:pt>
                <c:pt idx="25" formatCode="0.00">
                  <c:v>12.166666666666666</c:v>
                </c:pt>
                <c:pt idx="26" formatCode="0.00">
                  <c:v>12.666666666666666</c:v>
                </c:pt>
                <c:pt idx="28">
                  <c:v>9</c:v>
                </c:pt>
                <c:pt idx="29">
                  <c:v>9</c:v>
                </c:pt>
                <c:pt idx="30">
                  <c:v>9</c:v>
                </c:pt>
                <c:pt idx="33">
                  <c:v>10.25</c:v>
                </c:pt>
                <c:pt idx="34">
                  <c:v>10.25</c:v>
                </c:pt>
                <c:pt idx="35">
                  <c:v>10.25</c:v>
                </c:pt>
                <c:pt idx="36">
                  <c:v>9</c:v>
                </c:pt>
                <c:pt idx="37">
                  <c:v>9</c:v>
                </c:pt>
                <c:pt idx="40" formatCode="0.00">
                  <c:v>10.083333333333334</c:v>
                </c:pt>
                <c:pt idx="41">
                  <c:v>9.75</c:v>
                </c:pt>
                <c:pt idx="42">
                  <c:v>9.75</c:v>
                </c:pt>
                <c:pt idx="43">
                  <c:v>9.75</c:v>
                </c:pt>
                <c:pt idx="44">
                  <c:v>9.75</c:v>
                </c:pt>
                <c:pt idx="45">
                  <c:v>9.75</c:v>
                </c:pt>
                <c:pt idx="46">
                  <c:v>10</c:v>
                </c:pt>
                <c:pt idx="47" formatCode="0.00">
                  <c:v>13.333333333333334</c:v>
                </c:pt>
                <c:pt idx="48" formatCode="0.00">
                  <c:v>13.083333333333334</c:v>
                </c:pt>
                <c:pt idx="49" formatCode="0.00">
                  <c:v>13.333333333333334</c:v>
                </c:pt>
                <c:pt idx="50" formatCode="0.00">
                  <c:v>13.166666666666666</c:v>
                </c:pt>
                <c:pt idx="51" formatCode="0.00">
                  <c:v>13.083333333333334</c:v>
                </c:pt>
                <c:pt idx="52" formatCode="0.00">
                  <c:v>13.083333333333334</c:v>
                </c:pt>
                <c:pt idx="53" formatCode="0.00">
                  <c:v>13.083333333333334</c:v>
                </c:pt>
                <c:pt idx="54" formatCode="0.00">
                  <c:v>13.083333333333334</c:v>
                </c:pt>
                <c:pt idx="55" formatCode="0.00">
                  <c:v>13.083333333333334</c:v>
                </c:pt>
                <c:pt idx="56" formatCode="0.00">
                  <c:v>12.583333333333334</c:v>
                </c:pt>
                <c:pt idx="58">
                  <c:v>9.5</c:v>
                </c:pt>
                <c:pt idx="59" formatCode="0.00">
                  <c:v>10.833333333333334</c:v>
                </c:pt>
                <c:pt idx="60" formatCode="0.00">
                  <c:v>12</c:v>
                </c:pt>
                <c:pt idx="61">
                  <c:v>13.5</c:v>
                </c:pt>
                <c:pt idx="62">
                  <c:v>12</c:v>
                </c:pt>
                <c:pt idx="63" formatCode="0.0">
                  <c:v>13.5</c:v>
                </c:pt>
                <c:pt idx="65" formatCode="0.00">
                  <c:v>13.083333333333334</c:v>
                </c:pt>
                <c:pt idx="67" formatCode="0.00">
                  <c:v>7.166666666666667</c:v>
                </c:pt>
                <c:pt idx="68" formatCode="0.00">
                  <c:v>7.583333333333333</c:v>
                </c:pt>
                <c:pt idx="69">
                  <c:v>8.5</c:v>
                </c:pt>
                <c:pt idx="70">
                  <c:v>8</c:v>
                </c:pt>
                <c:pt idx="71">
                  <c:v>8.75</c:v>
                </c:pt>
                <c:pt idx="72">
                  <c:v>9</c:v>
                </c:pt>
                <c:pt idx="73" formatCode="0.00">
                  <c:v>9.0833333333333339</c:v>
                </c:pt>
                <c:pt idx="74" formatCode="0.00">
                  <c:v>9</c:v>
                </c:pt>
                <c:pt idx="75">
                  <c:v>9</c:v>
                </c:pt>
                <c:pt idx="76">
                  <c:v>8.5</c:v>
                </c:pt>
              </c:numCache>
            </c:numRef>
          </c:xVal>
          <c:yVal>
            <c:numRef>
              <c:f>Summary!$C$101:$CA$101</c:f>
              <c:numCache>
                <c:formatCode>General</c:formatCode>
                <c:ptCount val="77"/>
                <c:pt idx="12">
                  <c:v>532</c:v>
                </c:pt>
                <c:pt idx="13">
                  <c:v>541.29999999999995</c:v>
                </c:pt>
                <c:pt idx="14">
                  <c:v>659.3</c:v>
                </c:pt>
                <c:pt idx="15">
                  <c:v>483</c:v>
                </c:pt>
                <c:pt idx="16">
                  <c:v>479</c:v>
                </c:pt>
                <c:pt idx="24">
                  <c:v>475</c:v>
                </c:pt>
                <c:pt idx="25">
                  <c:v>460</c:v>
                </c:pt>
                <c:pt idx="26">
                  <c:v>460</c:v>
                </c:pt>
                <c:pt idx="49">
                  <c:v>647</c:v>
                </c:pt>
                <c:pt idx="50">
                  <c:v>644.6</c:v>
                </c:pt>
                <c:pt idx="56">
                  <c:v>493</c:v>
                </c:pt>
                <c:pt idx="61">
                  <c:v>543</c:v>
                </c:pt>
                <c:pt idx="62">
                  <c:v>523</c:v>
                </c:pt>
                <c:pt idx="63">
                  <c:v>510</c:v>
                </c:pt>
              </c:numCache>
            </c:numRef>
          </c:yVal>
          <c:smooth val="0"/>
          <c:extLst>
            <c:ext xmlns:c16="http://schemas.microsoft.com/office/drawing/2014/chart" uri="{C3380CC4-5D6E-409C-BE32-E72D297353CC}">
              <c16:uniqueId val="{00000002-5167-46C0-B45A-13A086803543}"/>
            </c:ext>
          </c:extLst>
        </c:ser>
        <c:dLbls>
          <c:showLegendKey val="0"/>
          <c:showVal val="0"/>
          <c:showCatName val="0"/>
          <c:showSerName val="0"/>
          <c:showPercent val="0"/>
          <c:showBubbleSize val="0"/>
        </c:dLbls>
        <c:axId val="642505167"/>
        <c:axId val="649103391"/>
      </c:scatterChart>
      <c:valAx>
        <c:axId val="642505167"/>
        <c:scaling>
          <c:logBase val="10"/>
          <c:orientation val="minMax"/>
          <c:max val="16"/>
          <c:min val="6"/>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 Dia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logBase val="10"/>
          <c:orientation val="minMax"/>
          <c:min val="1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Propeller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2-Blade</c:v>
          </c:tx>
          <c:spPr>
            <a:ln w="25400" cap="rnd">
              <a:noFill/>
              <a:round/>
            </a:ln>
            <a:effectLst/>
          </c:spPr>
          <c:marker>
            <c:symbol val="square"/>
            <c:size val="9"/>
            <c:spPr>
              <a:solidFill>
                <a:schemeClr val="bg1">
                  <a:lumMod val="95000"/>
                </a:schemeClr>
              </a:solidFill>
              <a:ln w="9525">
                <a:solidFill>
                  <a:schemeClr val="tx1"/>
                </a:solidFill>
              </a:ln>
              <a:effectLst/>
            </c:spPr>
          </c:marker>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Summary!$C$99:$CA$99</c:f>
              <c:numCache>
                <c:formatCode>General</c:formatCode>
                <c:ptCount val="77"/>
                <c:pt idx="0">
                  <c:v>109</c:v>
                </c:pt>
                <c:pt idx="67">
                  <c:v>52</c:v>
                </c:pt>
                <c:pt idx="68">
                  <c:v>46</c:v>
                </c:pt>
                <c:pt idx="69">
                  <c:v>105</c:v>
                </c:pt>
                <c:pt idx="70">
                  <c:v>161</c:v>
                </c:pt>
                <c:pt idx="71">
                  <c:v>163.57</c:v>
                </c:pt>
                <c:pt idx="72">
                  <c:v>163</c:v>
                </c:pt>
                <c:pt idx="73">
                  <c:v>176</c:v>
                </c:pt>
                <c:pt idx="74">
                  <c:v>176</c:v>
                </c:pt>
                <c:pt idx="75">
                  <c:v>184</c:v>
                </c:pt>
                <c:pt idx="76">
                  <c:v>84</c:v>
                </c:pt>
              </c:numCache>
            </c:numRef>
          </c:yVal>
          <c:smooth val="0"/>
          <c:extLst>
            <c:ext xmlns:c16="http://schemas.microsoft.com/office/drawing/2014/chart" uri="{C3380CC4-5D6E-409C-BE32-E72D297353CC}">
              <c16:uniqueId val="{00000000-00F8-413C-BF1E-EA0891479E9C}"/>
            </c:ext>
          </c:extLst>
        </c:ser>
        <c:ser>
          <c:idx val="1"/>
          <c:order val="1"/>
          <c:tx>
            <c:v>3-Blade</c:v>
          </c:tx>
          <c:spPr>
            <a:ln w="25400" cap="rnd">
              <a:noFill/>
              <a:round/>
            </a:ln>
            <a:effectLst/>
          </c:spPr>
          <c:marker>
            <c:symbol val="triangle"/>
            <c:size val="10"/>
            <c:spPr>
              <a:solidFill>
                <a:schemeClr val="bg1">
                  <a:lumMod val="85000"/>
                </a:schemeClr>
              </a:solidFill>
              <a:ln w="9525">
                <a:solidFill>
                  <a:schemeClr val="tx1"/>
                </a:solidFill>
              </a:ln>
              <a:effectLst/>
            </c:spPr>
          </c:marker>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Summary!$C$100:$CA$100</c:f>
              <c:numCache>
                <c:formatCode>General</c:formatCode>
                <c:ptCount val="77"/>
                <c:pt idx="1">
                  <c:v>319</c:v>
                </c:pt>
                <c:pt idx="2">
                  <c:v>318</c:v>
                </c:pt>
                <c:pt idx="5">
                  <c:v>383</c:v>
                </c:pt>
                <c:pt idx="6">
                  <c:v>384</c:v>
                </c:pt>
                <c:pt idx="7">
                  <c:v>386</c:v>
                </c:pt>
                <c:pt idx="8">
                  <c:v>418</c:v>
                </c:pt>
                <c:pt idx="9">
                  <c:v>418</c:v>
                </c:pt>
                <c:pt idx="10">
                  <c:v>418</c:v>
                </c:pt>
                <c:pt idx="11">
                  <c:v>417</c:v>
                </c:pt>
                <c:pt idx="17">
                  <c:v>291</c:v>
                </c:pt>
                <c:pt idx="18">
                  <c:v>398</c:v>
                </c:pt>
                <c:pt idx="19">
                  <c:v>398</c:v>
                </c:pt>
                <c:pt idx="20">
                  <c:v>398</c:v>
                </c:pt>
                <c:pt idx="21">
                  <c:v>399.3</c:v>
                </c:pt>
                <c:pt idx="23">
                  <c:v>399.3</c:v>
                </c:pt>
                <c:pt idx="34">
                  <c:v>339</c:v>
                </c:pt>
                <c:pt idx="35">
                  <c:v>339</c:v>
                </c:pt>
                <c:pt idx="36">
                  <c:v>262</c:v>
                </c:pt>
                <c:pt idx="37">
                  <c:v>262</c:v>
                </c:pt>
                <c:pt idx="41">
                  <c:v>314</c:v>
                </c:pt>
                <c:pt idx="42">
                  <c:v>312</c:v>
                </c:pt>
                <c:pt idx="43">
                  <c:v>315.5</c:v>
                </c:pt>
                <c:pt idx="44">
                  <c:v>321</c:v>
                </c:pt>
                <c:pt idx="45">
                  <c:v>315.5</c:v>
                </c:pt>
                <c:pt idx="46">
                  <c:v>394</c:v>
                </c:pt>
                <c:pt idx="47">
                  <c:v>493.7</c:v>
                </c:pt>
                <c:pt idx="48">
                  <c:v>490.9</c:v>
                </c:pt>
                <c:pt idx="51">
                  <c:v>485.2</c:v>
                </c:pt>
                <c:pt idx="52">
                  <c:v>480.4</c:v>
                </c:pt>
                <c:pt idx="53">
                  <c:v>481.4</c:v>
                </c:pt>
                <c:pt idx="54">
                  <c:v>480</c:v>
                </c:pt>
                <c:pt idx="55">
                  <c:v>485</c:v>
                </c:pt>
                <c:pt idx="58">
                  <c:v>243</c:v>
                </c:pt>
                <c:pt idx="59">
                  <c:v>324</c:v>
                </c:pt>
                <c:pt idx="60">
                  <c:v>459.8</c:v>
                </c:pt>
                <c:pt idx="65">
                  <c:v>473</c:v>
                </c:pt>
              </c:numCache>
            </c:numRef>
          </c:yVal>
          <c:smooth val="0"/>
          <c:extLst>
            <c:ext xmlns:c16="http://schemas.microsoft.com/office/drawing/2014/chart" uri="{C3380CC4-5D6E-409C-BE32-E72D297353CC}">
              <c16:uniqueId val="{00000001-00F8-413C-BF1E-EA0891479E9C}"/>
            </c:ext>
          </c:extLst>
        </c:ser>
        <c:ser>
          <c:idx val="2"/>
          <c:order val="2"/>
          <c:tx>
            <c:v>4-Blade</c:v>
          </c:tx>
          <c:spPr>
            <a:ln w="25400" cap="rnd">
              <a:noFill/>
              <a:round/>
            </a:ln>
            <a:effectLst/>
          </c:spPr>
          <c:marker>
            <c:symbol val="diamond"/>
            <c:size val="12"/>
            <c:spPr>
              <a:solidFill>
                <a:schemeClr val="tx1">
                  <a:lumMod val="50000"/>
                  <a:lumOff val="50000"/>
                </a:schemeClr>
              </a:solidFill>
              <a:ln w="9525">
                <a:solidFill>
                  <a:schemeClr val="tx1"/>
                </a:solidFill>
              </a:ln>
              <a:effectLst/>
            </c:spPr>
          </c:marker>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Summary!$C$101:$CA$101</c:f>
              <c:numCache>
                <c:formatCode>General</c:formatCode>
                <c:ptCount val="77"/>
                <c:pt idx="12">
                  <c:v>532</c:v>
                </c:pt>
                <c:pt idx="13">
                  <c:v>541.29999999999995</c:v>
                </c:pt>
                <c:pt idx="14">
                  <c:v>659.3</c:v>
                </c:pt>
                <c:pt idx="15">
                  <c:v>483</c:v>
                </c:pt>
                <c:pt idx="16">
                  <c:v>479</c:v>
                </c:pt>
                <c:pt idx="24">
                  <c:v>475</c:v>
                </c:pt>
                <c:pt idx="25">
                  <c:v>460</c:v>
                </c:pt>
                <c:pt idx="26">
                  <c:v>460</c:v>
                </c:pt>
                <c:pt idx="49">
                  <c:v>647</c:v>
                </c:pt>
                <c:pt idx="50">
                  <c:v>644.6</c:v>
                </c:pt>
                <c:pt idx="56">
                  <c:v>493</c:v>
                </c:pt>
                <c:pt idx="61">
                  <c:v>543</c:v>
                </c:pt>
                <c:pt idx="62">
                  <c:v>523</c:v>
                </c:pt>
                <c:pt idx="63">
                  <c:v>510</c:v>
                </c:pt>
              </c:numCache>
            </c:numRef>
          </c:yVal>
          <c:smooth val="0"/>
          <c:extLst>
            <c:ext xmlns:c16="http://schemas.microsoft.com/office/drawing/2014/chart" uri="{C3380CC4-5D6E-409C-BE32-E72D297353CC}">
              <c16:uniqueId val="{00000002-00F8-413C-BF1E-EA0891479E9C}"/>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a:t>
                </a:r>
                <a:r>
                  <a:rPr lang="en-US" baseline="0"/>
                  <a:t> Off Powr (HP)</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Propeller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3"/>
          <c:order val="0"/>
          <c:tx>
            <c:v>All</c:v>
          </c:tx>
          <c:spPr>
            <a:ln w="25400" cap="rnd">
              <a:noFill/>
              <a:round/>
            </a:ln>
            <a:effectLst/>
          </c:spPr>
          <c:marker>
            <c:symbol val="dot"/>
            <c:size val="2"/>
            <c:spPr>
              <a:solidFill>
                <a:schemeClr val="accent4"/>
              </a:solidFill>
              <a:ln w="9525">
                <a:solidFill>
                  <a:schemeClr val="accent4"/>
                </a:solidFill>
              </a:ln>
              <a:effectLst/>
            </c:spPr>
          </c:marker>
          <c:trendline>
            <c:spPr>
              <a:ln w="19050" cap="rnd">
                <a:solidFill>
                  <a:schemeClr val="tx1"/>
                </a:solidFill>
                <a:prstDash val="sysDot"/>
              </a:ln>
              <a:effectLst/>
            </c:spPr>
            <c:trendlineType val="poly"/>
            <c:order val="2"/>
            <c:dispRSqr val="1"/>
            <c:dispEq val="1"/>
            <c:trendlineLbl>
              <c:layout>
                <c:manualLayout>
                  <c:x val="-5.0906722718875586E-2"/>
                  <c:y val="-3.7302155412391631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Summary!$C$26:$CA$26</c:f>
              <c:numCache>
                <c:formatCode>General</c:formatCode>
                <c:ptCount val="77"/>
                <c:pt idx="2">
                  <c:v>10</c:v>
                </c:pt>
                <c:pt idx="3">
                  <c:v>10.5</c:v>
                </c:pt>
                <c:pt idx="4">
                  <c:v>10.125</c:v>
                </c:pt>
                <c:pt idx="5">
                  <c:v>11</c:v>
                </c:pt>
                <c:pt idx="6">
                  <c:v>11</c:v>
                </c:pt>
                <c:pt idx="7">
                  <c:v>11</c:v>
                </c:pt>
                <c:pt idx="8">
                  <c:v>11</c:v>
                </c:pt>
                <c:pt idx="9">
                  <c:v>11</c:v>
                </c:pt>
                <c:pt idx="10">
                  <c:v>11</c:v>
                </c:pt>
                <c:pt idx="11">
                  <c:v>11</c:v>
                </c:pt>
                <c:pt idx="12">
                  <c:v>13</c:v>
                </c:pt>
                <c:pt idx="13">
                  <c:v>13</c:v>
                </c:pt>
                <c:pt idx="14">
                  <c:v>13</c:v>
                </c:pt>
                <c:pt idx="15" formatCode="0.00">
                  <c:v>11.166666666666666</c:v>
                </c:pt>
                <c:pt idx="16" formatCode="0.00">
                  <c:v>11.166666666666666</c:v>
                </c:pt>
                <c:pt idx="19">
                  <c:v>10.375</c:v>
                </c:pt>
                <c:pt idx="20">
                  <c:v>10.375</c:v>
                </c:pt>
                <c:pt idx="21">
                  <c:v>10.375</c:v>
                </c:pt>
                <c:pt idx="22" formatCode="0.00">
                  <c:v>11.583333333333334</c:v>
                </c:pt>
                <c:pt idx="23">
                  <c:v>10.375</c:v>
                </c:pt>
                <c:pt idx="24">
                  <c:v>11</c:v>
                </c:pt>
                <c:pt idx="25" formatCode="0.00">
                  <c:v>12.166666666666666</c:v>
                </c:pt>
                <c:pt idx="26" formatCode="0.00">
                  <c:v>12.666666666666666</c:v>
                </c:pt>
                <c:pt idx="28">
                  <c:v>9</c:v>
                </c:pt>
                <c:pt idx="29">
                  <c:v>9</c:v>
                </c:pt>
                <c:pt idx="30">
                  <c:v>9</c:v>
                </c:pt>
                <c:pt idx="33">
                  <c:v>10.25</c:v>
                </c:pt>
                <c:pt idx="34">
                  <c:v>10.25</c:v>
                </c:pt>
                <c:pt idx="35">
                  <c:v>10.25</c:v>
                </c:pt>
                <c:pt idx="36">
                  <c:v>9</c:v>
                </c:pt>
                <c:pt idx="37">
                  <c:v>9</c:v>
                </c:pt>
                <c:pt idx="40" formatCode="0.00">
                  <c:v>10.083333333333334</c:v>
                </c:pt>
                <c:pt idx="41">
                  <c:v>9.75</c:v>
                </c:pt>
                <c:pt idx="42">
                  <c:v>9.75</c:v>
                </c:pt>
                <c:pt idx="43">
                  <c:v>9.75</c:v>
                </c:pt>
                <c:pt idx="44">
                  <c:v>9.75</c:v>
                </c:pt>
                <c:pt idx="45">
                  <c:v>9.75</c:v>
                </c:pt>
                <c:pt idx="46">
                  <c:v>10</c:v>
                </c:pt>
                <c:pt idx="47" formatCode="0.00">
                  <c:v>13.333333333333334</c:v>
                </c:pt>
                <c:pt idx="48" formatCode="0.00">
                  <c:v>13.083333333333334</c:v>
                </c:pt>
                <c:pt idx="49" formatCode="0.00">
                  <c:v>13.333333333333334</c:v>
                </c:pt>
                <c:pt idx="50" formatCode="0.00">
                  <c:v>13.166666666666666</c:v>
                </c:pt>
                <c:pt idx="51" formatCode="0.00">
                  <c:v>13.083333333333334</c:v>
                </c:pt>
                <c:pt idx="52" formatCode="0.00">
                  <c:v>13.083333333333334</c:v>
                </c:pt>
                <c:pt idx="53" formatCode="0.00">
                  <c:v>13.083333333333334</c:v>
                </c:pt>
                <c:pt idx="54" formatCode="0.00">
                  <c:v>13.083333333333334</c:v>
                </c:pt>
                <c:pt idx="55" formatCode="0.00">
                  <c:v>13.083333333333334</c:v>
                </c:pt>
                <c:pt idx="56" formatCode="0.00">
                  <c:v>12.583333333333334</c:v>
                </c:pt>
                <c:pt idx="58">
                  <c:v>9.5</c:v>
                </c:pt>
                <c:pt idx="59" formatCode="0.00">
                  <c:v>10.833333333333334</c:v>
                </c:pt>
                <c:pt idx="60" formatCode="0.00">
                  <c:v>12</c:v>
                </c:pt>
                <c:pt idx="61">
                  <c:v>13.5</c:v>
                </c:pt>
                <c:pt idx="62">
                  <c:v>12</c:v>
                </c:pt>
                <c:pt idx="63" formatCode="0.0">
                  <c:v>13.5</c:v>
                </c:pt>
                <c:pt idx="65" formatCode="0.00">
                  <c:v>13.083333333333334</c:v>
                </c:pt>
                <c:pt idx="67" formatCode="0.00">
                  <c:v>7.166666666666667</c:v>
                </c:pt>
                <c:pt idx="68" formatCode="0.00">
                  <c:v>7.583333333333333</c:v>
                </c:pt>
                <c:pt idx="69">
                  <c:v>8.5</c:v>
                </c:pt>
                <c:pt idx="70">
                  <c:v>8</c:v>
                </c:pt>
                <c:pt idx="71">
                  <c:v>8.75</c:v>
                </c:pt>
                <c:pt idx="72">
                  <c:v>9</c:v>
                </c:pt>
                <c:pt idx="73" formatCode="0.00">
                  <c:v>9.0833333333333339</c:v>
                </c:pt>
                <c:pt idx="74" formatCode="0.00">
                  <c:v>9</c:v>
                </c:pt>
                <c:pt idx="75">
                  <c:v>9</c:v>
                </c:pt>
                <c:pt idx="76">
                  <c:v>8.5</c:v>
                </c:pt>
              </c:numCache>
            </c:numRef>
          </c:yVal>
          <c:smooth val="0"/>
          <c:extLst>
            <c:ext xmlns:c16="http://schemas.microsoft.com/office/drawing/2014/chart" uri="{C3380CC4-5D6E-409C-BE32-E72D297353CC}">
              <c16:uniqueId val="{00000007-433D-4FB9-8973-DA700FD9BD27}"/>
            </c:ext>
          </c:extLst>
        </c:ser>
        <c:ser>
          <c:idx val="0"/>
          <c:order val="1"/>
          <c:tx>
            <c:v>2-Blade</c:v>
          </c:tx>
          <c:spPr>
            <a:ln w="25400" cap="rnd">
              <a:noFill/>
              <a:round/>
            </a:ln>
            <a:effectLst/>
          </c:spPr>
          <c:marker>
            <c:symbol val="square"/>
            <c:size val="10"/>
            <c:spPr>
              <a:solidFill>
                <a:schemeClr val="bg1">
                  <a:lumMod val="85000"/>
                </a:schemeClr>
              </a:solidFill>
              <a:ln w="9525">
                <a:solidFill>
                  <a:schemeClr val="tx1"/>
                </a:solidFill>
              </a:ln>
              <a:effectLst/>
            </c:spPr>
          </c:marker>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Summary!$C$178:$CA$178</c:f>
              <c:numCache>
                <c:formatCode>General</c:formatCode>
                <c:ptCount val="77"/>
                <c:pt idx="67">
                  <c:v>7.166666666666667</c:v>
                </c:pt>
                <c:pt idx="68">
                  <c:v>7.583333333333333</c:v>
                </c:pt>
                <c:pt idx="69">
                  <c:v>8.5</c:v>
                </c:pt>
                <c:pt idx="70">
                  <c:v>8</c:v>
                </c:pt>
                <c:pt idx="71">
                  <c:v>8.75</c:v>
                </c:pt>
                <c:pt idx="72">
                  <c:v>9</c:v>
                </c:pt>
                <c:pt idx="73">
                  <c:v>9.0833333333333339</c:v>
                </c:pt>
                <c:pt idx="74">
                  <c:v>9</c:v>
                </c:pt>
                <c:pt idx="75">
                  <c:v>9</c:v>
                </c:pt>
                <c:pt idx="76">
                  <c:v>8.5</c:v>
                </c:pt>
              </c:numCache>
            </c:numRef>
          </c:yVal>
          <c:smooth val="0"/>
          <c:extLst>
            <c:ext xmlns:c16="http://schemas.microsoft.com/office/drawing/2014/chart" uri="{C3380CC4-5D6E-409C-BE32-E72D297353CC}">
              <c16:uniqueId val="{00000000-433D-4FB9-8973-DA700FD9BD27}"/>
            </c:ext>
          </c:extLst>
        </c:ser>
        <c:ser>
          <c:idx val="1"/>
          <c:order val="2"/>
          <c:tx>
            <c:v>3-Blade</c:v>
          </c:tx>
          <c:spPr>
            <a:ln w="25400" cap="rnd">
              <a:noFill/>
              <a:round/>
            </a:ln>
            <a:effectLst/>
          </c:spPr>
          <c:marker>
            <c:symbol val="triangle"/>
            <c:size val="10"/>
            <c:spPr>
              <a:solidFill>
                <a:schemeClr val="bg1">
                  <a:lumMod val="85000"/>
                </a:schemeClr>
              </a:solidFill>
              <a:ln w="9525">
                <a:solidFill>
                  <a:schemeClr val="tx1"/>
                </a:solidFill>
              </a:ln>
              <a:effectLst/>
            </c:spPr>
          </c:marker>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Summary!$C$179:$CA$179</c:f>
              <c:numCache>
                <c:formatCode>General</c:formatCode>
                <c:ptCount val="77"/>
                <c:pt idx="2">
                  <c:v>10</c:v>
                </c:pt>
                <c:pt idx="3">
                  <c:v>10.5</c:v>
                </c:pt>
                <c:pt idx="4">
                  <c:v>10.125</c:v>
                </c:pt>
                <c:pt idx="5">
                  <c:v>11</c:v>
                </c:pt>
                <c:pt idx="6">
                  <c:v>11</c:v>
                </c:pt>
                <c:pt idx="7">
                  <c:v>11</c:v>
                </c:pt>
                <c:pt idx="8">
                  <c:v>11</c:v>
                </c:pt>
                <c:pt idx="9">
                  <c:v>11</c:v>
                </c:pt>
                <c:pt idx="10">
                  <c:v>11</c:v>
                </c:pt>
                <c:pt idx="11">
                  <c:v>11</c:v>
                </c:pt>
                <c:pt idx="19">
                  <c:v>10.375</c:v>
                </c:pt>
                <c:pt idx="20">
                  <c:v>10.375</c:v>
                </c:pt>
                <c:pt idx="21">
                  <c:v>10.375</c:v>
                </c:pt>
                <c:pt idx="22">
                  <c:v>11.583333333333334</c:v>
                </c:pt>
                <c:pt idx="23">
                  <c:v>10.375</c:v>
                </c:pt>
                <c:pt idx="28">
                  <c:v>9</c:v>
                </c:pt>
                <c:pt idx="29">
                  <c:v>9</c:v>
                </c:pt>
                <c:pt idx="30">
                  <c:v>9</c:v>
                </c:pt>
                <c:pt idx="34">
                  <c:v>10.25</c:v>
                </c:pt>
                <c:pt idx="35">
                  <c:v>10.25</c:v>
                </c:pt>
                <c:pt idx="36">
                  <c:v>9</c:v>
                </c:pt>
                <c:pt idx="37">
                  <c:v>9</c:v>
                </c:pt>
                <c:pt idx="40">
                  <c:v>10.083333333333334</c:v>
                </c:pt>
                <c:pt idx="41">
                  <c:v>9.75</c:v>
                </c:pt>
                <c:pt idx="42">
                  <c:v>9.75</c:v>
                </c:pt>
                <c:pt idx="43">
                  <c:v>9.75</c:v>
                </c:pt>
                <c:pt idx="44">
                  <c:v>9.75</c:v>
                </c:pt>
                <c:pt idx="45">
                  <c:v>9.75</c:v>
                </c:pt>
                <c:pt idx="46">
                  <c:v>10</c:v>
                </c:pt>
                <c:pt idx="47">
                  <c:v>13.333333333333334</c:v>
                </c:pt>
                <c:pt idx="48">
                  <c:v>13.083333333333334</c:v>
                </c:pt>
                <c:pt idx="49">
                  <c:v>13.333333333333334</c:v>
                </c:pt>
                <c:pt idx="50">
                  <c:v>13.166666666666666</c:v>
                </c:pt>
                <c:pt idx="51">
                  <c:v>13.083333333333334</c:v>
                </c:pt>
                <c:pt idx="52">
                  <c:v>13.083333333333334</c:v>
                </c:pt>
                <c:pt idx="53">
                  <c:v>13.083333333333334</c:v>
                </c:pt>
                <c:pt idx="54">
                  <c:v>13.083333333333334</c:v>
                </c:pt>
                <c:pt idx="55">
                  <c:v>13.083333333333334</c:v>
                </c:pt>
                <c:pt idx="56">
                  <c:v>12.583333333333334</c:v>
                </c:pt>
                <c:pt idx="58">
                  <c:v>9.5</c:v>
                </c:pt>
                <c:pt idx="59">
                  <c:v>10.833333333333334</c:v>
                </c:pt>
                <c:pt idx="60">
                  <c:v>12</c:v>
                </c:pt>
                <c:pt idx="61">
                  <c:v>13.5</c:v>
                </c:pt>
                <c:pt idx="62">
                  <c:v>12</c:v>
                </c:pt>
                <c:pt idx="63">
                  <c:v>13.5</c:v>
                </c:pt>
                <c:pt idx="65">
                  <c:v>13.083333333333334</c:v>
                </c:pt>
              </c:numCache>
            </c:numRef>
          </c:yVal>
          <c:smooth val="0"/>
          <c:extLst>
            <c:ext xmlns:c16="http://schemas.microsoft.com/office/drawing/2014/chart" uri="{C3380CC4-5D6E-409C-BE32-E72D297353CC}">
              <c16:uniqueId val="{00000001-433D-4FB9-8973-DA700FD9BD27}"/>
            </c:ext>
          </c:extLst>
        </c:ser>
        <c:ser>
          <c:idx val="2"/>
          <c:order val="3"/>
          <c:tx>
            <c:v>4-Blade</c:v>
          </c:tx>
          <c:spPr>
            <a:ln w="25400" cap="rnd">
              <a:noFill/>
              <a:round/>
            </a:ln>
            <a:effectLst/>
          </c:spPr>
          <c:marker>
            <c:symbol val="diamond"/>
            <c:size val="12"/>
            <c:spPr>
              <a:solidFill>
                <a:schemeClr val="tx1">
                  <a:lumMod val="50000"/>
                  <a:lumOff val="50000"/>
                </a:schemeClr>
              </a:solidFill>
              <a:ln w="9525">
                <a:solidFill>
                  <a:schemeClr val="tx1"/>
                </a:solidFill>
              </a:ln>
              <a:effectLst/>
            </c:spPr>
          </c:marker>
          <c:xVal>
            <c:numRef>
              <c:f>Summary!$C$17:$CA$17</c:f>
              <c:numCache>
                <c:formatCode>General</c:formatCode>
                <c:ptCount val="7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pt idx="28">
                  <c:v>950</c:v>
                </c:pt>
                <c:pt idx="29">
                  <c:v>950</c:v>
                </c:pt>
                <c:pt idx="30">
                  <c:v>950</c:v>
                </c:pt>
                <c:pt idx="31">
                  <c:v>1200</c:v>
                </c:pt>
                <c:pt idx="32">
                  <c:v>1200</c:v>
                </c:pt>
                <c:pt idx="33">
                  <c:v>1200</c:v>
                </c:pt>
                <c:pt idx="34">
                  <c:v>1200</c:v>
                </c:pt>
                <c:pt idx="35">
                  <c:v>1200</c:v>
                </c:pt>
                <c:pt idx="36">
                  <c:v>950</c:v>
                </c:pt>
                <c:pt idx="37">
                  <c:v>950</c:v>
                </c:pt>
                <c:pt idx="38">
                  <c:v>1100</c:v>
                </c:pt>
                <c:pt idx="39">
                  <c:v>1200</c:v>
                </c:pt>
                <c:pt idx="40">
                  <c:v>1100</c:v>
                </c:pt>
                <c:pt idx="41">
                  <c:v>1200</c:v>
                </c:pt>
                <c:pt idx="42">
                  <c:v>1200</c:v>
                </c:pt>
                <c:pt idx="43">
                  <c:v>1200</c:v>
                </c:pt>
                <c:pt idx="44">
                  <c:v>1200</c:v>
                </c:pt>
                <c:pt idx="45">
                  <c:v>1200</c:v>
                </c:pt>
                <c:pt idx="46">
                  <c:v>1300</c:v>
                </c:pt>
                <c:pt idx="47">
                  <c:v>2000</c:v>
                </c:pt>
                <c:pt idx="48">
                  <c:v>2000</c:v>
                </c:pt>
                <c:pt idx="49">
                  <c:v>2100</c:v>
                </c:pt>
                <c:pt idx="50">
                  <c:v>2100</c:v>
                </c:pt>
                <c:pt idx="51">
                  <c:v>2000</c:v>
                </c:pt>
                <c:pt idx="52">
                  <c:v>2000</c:v>
                </c:pt>
                <c:pt idx="53">
                  <c:v>2000</c:v>
                </c:pt>
                <c:pt idx="54">
                  <c:v>2000</c:v>
                </c:pt>
                <c:pt idx="55">
                  <c:v>2000</c:v>
                </c:pt>
                <c:pt idx="56">
                  <c:v>2100</c:v>
                </c:pt>
                <c:pt idx="58">
                  <c:v>825</c:v>
                </c:pt>
                <c:pt idx="59">
                  <c:v>1300</c:v>
                </c:pt>
                <c:pt idx="60">
                  <c:v>1700</c:v>
                </c:pt>
                <c:pt idx="61">
                  <c:v>2700</c:v>
                </c:pt>
                <c:pt idx="62">
                  <c:v>1900</c:v>
                </c:pt>
                <c:pt idx="63">
                  <c:v>2500</c:v>
                </c:pt>
                <c:pt idx="65">
                  <c:v>1900</c:v>
                </c:pt>
                <c:pt idx="67">
                  <c:v>175</c:v>
                </c:pt>
                <c:pt idx="68">
                  <c:v>132</c:v>
                </c:pt>
                <c:pt idx="69">
                  <c:v>440</c:v>
                </c:pt>
                <c:pt idx="70">
                  <c:v>400</c:v>
                </c:pt>
                <c:pt idx="71">
                  <c:v>450</c:v>
                </c:pt>
                <c:pt idx="72">
                  <c:v>450</c:v>
                </c:pt>
                <c:pt idx="73">
                  <c:v>600</c:v>
                </c:pt>
                <c:pt idx="74">
                  <c:v>600</c:v>
                </c:pt>
                <c:pt idx="75">
                  <c:v>600</c:v>
                </c:pt>
                <c:pt idx="76">
                  <c:v>220</c:v>
                </c:pt>
              </c:numCache>
            </c:numRef>
          </c:xVal>
          <c:yVal>
            <c:numRef>
              <c:f>Summary!$C$180:$CA$180</c:f>
              <c:numCache>
                <c:formatCode>General</c:formatCode>
                <c:ptCount val="77"/>
                <c:pt idx="12">
                  <c:v>13</c:v>
                </c:pt>
                <c:pt idx="13">
                  <c:v>13</c:v>
                </c:pt>
                <c:pt idx="14">
                  <c:v>13</c:v>
                </c:pt>
                <c:pt idx="15">
                  <c:v>11.166666666666666</c:v>
                </c:pt>
                <c:pt idx="16">
                  <c:v>11.166666666666666</c:v>
                </c:pt>
                <c:pt idx="24">
                  <c:v>11</c:v>
                </c:pt>
                <c:pt idx="25">
                  <c:v>12.166666666666666</c:v>
                </c:pt>
                <c:pt idx="26">
                  <c:v>12.666666666666666</c:v>
                </c:pt>
              </c:numCache>
            </c:numRef>
          </c:yVal>
          <c:smooth val="0"/>
          <c:extLst>
            <c:ext xmlns:c16="http://schemas.microsoft.com/office/drawing/2014/chart" uri="{C3380CC4-5D6E-409C-BE32-E72D297353CC}">
              <c16:uniqueId val="{00000002-433D-4FB9-8973-DA700FD9BD27}"/>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a:t>
                </a:r>
                <a:r>
                  <a:rPr lang="en-US" baseline="0"/>
                  <a:t> Off Powr (HP)</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Dia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8511263557697338"/>
          <c:h val="0.20710490734112783"/>
        </c:manualLayout>
      </c:layout>
      <c:overlay val="1"/>
      <c:spPr>
        <a:solidFill>
          <a:schemeClr val="bg1"/>
        </a:solidFill>
        <a:ln>
          <a:solidFill>
            <a:schemeClr val="tx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Propulsion Controls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Summary!$C$97:$AC$97</c:f>
              <c:numCache>
                <c:formatCode>General</c:formatCode>
                <c:ptCount val="27"/>
                <c:pt idx="0">
                  <c:v>6</c:v>
                </c:pt>
                <c:pt idx="1">
                  <c:v>25</c:v>
                </c:pt>
                <c:pt idx="2">
                  <c:v>7</c:v>
                </c:pt>
                <c:pt idx="5">
                  <c:v>26</c:v>
                </c:pt>
                <c:pt idx="6">
                  <c:v>23</c:v>
                </c:pt>
                <c:pt idx="7">
                  <c:v>8</c:v>
                </c:pt>
                <c:pt idx="8">
                  <c:v>36</c:v>
                </c:pt>
                <c:pt idx="9">
                  <c:v>34</c:v>
                </c:pt>
                <c:pt idx="10">
                  <c:v>35</c:v>
                </c:pt>
                <c:pt idx="11">
                  <c:v>29</c:v>
                </c:pt>
                <c:pt idx="12">
                  <c:v>61</c:v>
                </c:pt>
                <c:pt idx="13">
                  <c:v>57.8</c:v>
                </c:pt>
                <c:pt idx="14">
                  <c:v>57.8</c:v>
                </c:pt>
                <c:pt idx="15">
                  <c:v>30</c:v>
                </c:pt>
                <c:pt idx="16">
                  <c:v>31</c:v>
                </c:pt>
                <c:pt idx="17">
                  <c:v>12</c:v>
                </c:pt>
                <c:pt idx="18">
                  <c:v>30.3</c:v>
                </c:pt>
                <c:pt idx="19">
                  <c:v>30.3</c:v>
                </c:pt>
                <c:pt idx="20">
                  <c:v>30</c:v>
                </c:pt>
                <c:pt idx="21">
                  <c:v>30.3</c:v>
                </c:pt>
                <c:pt idx="23">
                  <c:v>30.3</c:v>
                </c:pt>
                <c:pt idx="24">
                  <c:v>40</c:v>
                </c:pt>
                <c:pt idx="25">
                  <c:v>40.700000000000003</c:v>
                </c:pt>
                <c:pt idx="26">
                  <c:v>41</c:v>
                </c:pt>
              </c:numCache>
            </c:numRef>
          </c:yVal>
          <c:smooth val="0"/>
          <c:extLst>
            <c:ext xmlns:c16="http://schemas.microsoft.com/office/drawing/2014/chart" uri="{C3380CC4-5D6E-409C-BE32-E72D297353CC}">
              <c16:uniqueId val="{00000000-7734-4904-938D-7C18B30B925B}"/>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Summary!$AE$97:$BG$97</c:f>
              <c:numCache>
                <c:formatCode>General</c:formatCode>
                <c:ptCount val="29"/>
                <c:pt idx="6">
                  <c:v>12</c:v>
                </c:pt>
                <c:pt idx="7">
                  <c:v>12</c:v>
                </c:pt>
                <c:pt idx="8">
                  <c:v>11.3</c:v>
                </c:pt>
                <c:pt idx="9">
                  <c:v>11.8</c:v>
                </c:pt>
                <c:pt idx="13">
                  <c:v>22.5</c:v>
                </c:pt>
                <c:pt idx="14">
                  <c:v>23</c:v>
                </c:pt>
                <c:pt idx="15">
                  <c:v>25</c:v>
                </c:pt>
                <c:pt idx="16">
                  <c:v>27</c:v>
                </c:pt>
                <c:pt idx="17">
                  <c:v>25</c:v>
                </c:pt>
                <c:pt idx="18">
                  <c:v>20</c:v>
                </c:pt>
                <c:pt idx="19">
                  <c:v>45.1</c:v>
                </c:pt>
                <c:pt idx="20">
                  <c:v>49.2</c:v>
                </c:pt>
                <c:pt idx="21">
                  <c:v>60</c:v>
                </c:pt>
                <c:pt idx="22">
                  <c:v>60.7</c:v>
                </c:pt>
                <c:pt idx="23">
                  <c:v>36.5</c:v>
                </c:pt>
                <c:pt idx="24">
                  <c:v>30.8</c:v>
                </c:pt>
                <c:pt idx="25">
                  <c:v>30.8</c:v>
                </c:pt>
                <c:pt idx="26">
                  <c:v>31</c:v>
                </c:pt>
                <c:pt idx="27">
                  <c:v>30</c:v>
                </c:pt>
                <c:pt idx="28">
                  <c:v>35</c:v>
                </c:pt>
              </c:numCache>
            </c:numRef>
          </c:yVal>
          <c:smooth val="0"/>
          <c:extLst>
            <c:ext xmlns:c16="http://schemas.microsoft.com/office/drawing/2014/chart" uri="{C3380CC4-5D6E-409C-BE32-E72D297353CC}">
              <c16:uniqueId val="{00000001-7734-4904-938D-7C18B30B925B}"/>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Summary!$BI$97:$BP$97</c:f>
              <c:numCache>
                <c:formatCode>General</c:formatCode>
                <c:ptCount val="8"/>
                <c:pt idx="0">
                  <c:v>10</c:v>
                </c:pt>
                <c:pt idx="1">
                  <c:v>31</c:v>
                </c:pt>
                <c:pt idx="2">
                  <c:v>24.1</c:v>
                </c:pt>
                <c:pt idx="3">
                  <c:v>11</c:v>
                </c:pt>
                <c:pt idx="4">
                  <c:v>22</c:v>
                </c:pt>
                <c:pt idx="5">
                  <c:v>42</c:v>
                </c:pt>
                <c:pt idx="7">
                  <c:v>36</c:v>
                </c:pt>
              </c:numCache>
            </c:numRef>
          </c:yVal>
          <c:smooth val="0"/>
          <c:extLst>
            <c:ext xmlns:c16="http://schemas.microsoft.com/office/drawing/2014/chart" uri="{C3380CC4-5D6E-409C-BE32-E72D297353CC}">
              <c16:uniqueId val="{00000002-7734-4904-938D-7C18B30B925B}"/>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Summary!$BR$97:$CA$97</c:f>
              <c:numCache>
                <c:formatCode>General</c:formatCode>
                <c:ptCount val="10"/>
                <c:pt idx="0">
                  <c:v>6</c:v>
                </c:pt>
                <c:pt idx="1">
                  <c:v>10</c:v>
                </c:pt>
                <c:pt idx="2">
                  <c:v>12</c:v>
                </c:pt>
                <c:pt idx="3">
                  <c:v>15</c:v>
                </c:pt>
                <c:pt idx="4">
                  <c:v>16.57</c:v>
                </c:pt>
                <c:pt idx="5">
                  <c:v>20</c:v>
                </c:pt>
                <c:pt idx="6">
                  <c:v>22</c:v>
                </c:pt>
                <c:pt idx="7">
                  <c:v>22</c:v>
                </c:pt>
                <c:pt idx="8">
                  <c:v>12</c:v>
                </c:pt>
                <c:pt idx="9">
                  <c:v>11</c:v>
                </c:pt>
              </c:numCache>
            </c:numRef>
          </c:yVal>
          <c:smooth val="0"/>
          <c:extLst>
            <c:ext xmlns:c16="http://schemas.microsoft.com/office/drawing/2014/chart" uri="{C3380CC4-5D6E-409C-BE32-E72D297353CC}">
              <c16:uniqueId val="{00000003-7734-4904-938D-7C18B30B925B}"/>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 Off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Propulsion</a:t>
            </a:r>
            <a:r>
              <a:rPr lang="en-US" baseline="0"/>
              <a:t> Starting 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Summary!$C$17:$S$17</c:f>
              <c:numCache>
                <c:formatCode>General</c:formatCode>
                <c:ptCount val="1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numCache>
            </c:numRef>
          </c:xVal>
          <c:yVal>
            <c:numRef>
              <c:f>Summary!$C$102:$S$102</c:f>
              <c:numCache>
                <c:formatCode>General</c:formatCode>
                <c:ptCount val="17"/>
                <c:pt idx="0">
                  <c:v>27</c:v>
                </c:pt>
                <c:pt idx="1">
                  <c:v>43</c:v>
                </c:pt>
                <c:pt idx="2">
                  <c:v>40</c:v>
                </c:pt>
                <c:pt idx="5">
                  <c:v>43</c:v>
                </c:pt>
                <c:pt idx="6">
                  <c:v>46</c:v>
                </c:pt>
                <c:pt idx="7">
                  <c:v>34</c:v>
                </c:pt>
                <c:pt idx="8">
                  <c:v>45</c:v>
                </c:pt>
                <c:pt idx="9">
                  <c:v>8</c:v>
                </c:pt>
                <c:pt idx="10">
                  <c:v>46</c:v>
                </c:pt>
                <c:pt idx="11">
                  <c:v>45</c:v>
                </c:pt>
                <c:pt idx="12">
                  <c:v>57</c:v>
                </c:pt>
                <c:pt idx="13">
                  <c:v>56</c:v>
                </c:pt>
                <c:pt idx="14">
                  <c:v>56</c:v>
                </c:pt>
                <c:pt idx="15">
                  <c:v>25</c:v>
                </c:pt>
                <c:pt idx="16">
                  <c:v>22</c:v>
                </c:pt>
              </c:numCache>
            </c:numRef>
          </c:yVal>
          <c:smooth val="0"/>
          <c:extLst>
            <c:ext xmlns:c16="http://schemas.microsoft.com/office/drawing/2014/chart" uri="{C3380CC4-5D6E-409C-BE32-E72D297353CC}">
              <c16:uniqueId val="{00000000-48AE-4750-A0E8-0575BDAD03A7}"/>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Summary!$AE$102:$BG$102</c:f>
              <c:numCache>
                <c:formatCode>General</c:formatCode>
                <c:ptCount val="29"/>
                <c:pt idx="6">
                  <c:v>40</c:v>
                </c:pt>
                <c:pt idx="7">
                  <c:v>40</c:v>
                </c:pt>
                <c:pt idx="8">
                  <c:v>41.6</c:v>
                </c:pt>
                <c:pt idx="9">
                  <c:v>41.6</c:v>
                </c:pt>
                <c:pt idx="13">
                  <c:v>43</c:v>
                </c:pt>
                <c:pt idx="14">
                  <c:v>43</c:v>
                </c:pt>
                <c:pt idx="15">
                  <c:v>43</c:v>
                </c:pt>
                <c:pt idx="16">
                  <c:v>45</c:v>
                </c:pt>
                <c:pt idx="17">
                  <c:v>43</c:v>
                </c:pt>
                <c:pt idx="18">
                  <c:v>30</c:v>
                </c:pt>
                <c:pt idx="19">
                  <c:v>60.8</c:v>
                </c:pt>
                <c:pt idx="20">
                  <c:v>39.6</c:v>
                </c:pt>
                <c:pt idx="21">
                  <c:v>40</c:v>
                </c:pt>
                <c:pt idx="22">
                  <c:v>29.7</c:v>
                </c:pt>
                <c:pt idx="23">
                  <c:v>57</c:v>
                </c:pt>
                <c:pt idx="24">
                  <c:v>64</c:v>
                </c:pt>
                <c:pt idx="25">
                  <c:v>43.4</c:v>
                </c:pt>
                <c:pt idx="26">
                  <c:v>62</c:v>
                </c:pt>
                <c:pt idx="27">
                  <c:v>29</c:v>
                </c:pt>
                <c:pt idx="28">
                  <c:v>28</c:v>
                </c:pt>
              </c:numCache>
            </c:numRef>
          </c:yVal>
          <c:smooth val="0"/>
          <c:extLst>
            <c:ext xmlns:c16="http://schemas.microsoft.com/office/drawing/2014/chart" uri="{C3380CC4-5D6E-409C-BE32-E72D297353CC}">
              <c16:uniqueId val="{00000001-48AE-4750-A0E8-0575BDAD03A7}"/>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Summary!$BI$102:$BP$102</c:f>
              <c:numCache>
                <c:formatCode>General</c:formatCode>
                <c:ptCount val="8"/>
                <c:pt idx="0">
                  <c:v>43</c:v>
                </c:pt>
                <c:pt idx="1">
                  <c:v>49</c:v>
                </c:pt>
                <c:pt idx="2">
                  <c:v>58.7</c:v>
                </c:pt>
                <c:pt idx="3">
                  <c:v>41</c:v>
                </c:pt>
                <c:pt idx="4">
                  <c:v>40</c:v>
                </c:pt>
                <c:pt idx="5">
                  <c:v>44</c:v>
                </c:pt>
                <c:pt idx="7">
                  <c:v>50</c:v>
                </c:pt>
              </c:numCache>
            </c:numRef>
          </c:yVal>
          <c:smooth val="0"/>
          <c:extLst>
            <c:ext xmlns:c16="http://schemas.microsoft.com/office/drawing/2014/chart" uri="{C3380CC4-5D6E-409C-BE32-E72D297353CC}">
              <c16:uniqueId val="{00000002-48AE-4750-A0E8-0575BDAD03A7}"/>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Summary!$BR$102:$CA$102</c:f>
              <c:numCache>
                <c:formatCode>General</c:formatCode>
                <c:ptCount val="10"/>
                <c:pt idx="0">
                  <c:v>18</c:v>
                </c:pt>
                <c:pt idx="1">
                  <c:v>10</c:v>
                </c:pt>
                <c:pt idx="2">
                  <c:v>37</c:v>
                </c:pt>
                <c:pt idx="3">
                  <c:v>42</c:v>
                </c:pt>
                <c:pt idx="4">
                  <c:v>46.51</c:v>
                </c:pt>
                <c:pt idx="5">
                  <c:v>39</c:v>
                </c:pt>
                <c:pt idx="6">
                  <c:v>45</c:v>
                </c:pt>
                <c:pt idx="7">
                  <c:v>43</c:v>
                </c:pt>
                <c:pt idx="8">
                  <c:v>46</c:v>
                </c:pt>
                <c:pt idx="9">
                  <c:v>28</c:v>
                </c:pt>
              </c:numCache>
            </c:numRef>
          </c:yVal>
          <c:smooth val="0"/>
          <c:extLst>
            <c:ext xmlns:c16="http://schemas.microsoft.com/office/drawing/2014/chart" uri="{C3380CC4-5D6E-409C-BE32-E72D297353CC}">
              <c16:uniqueId val="{00000003-48AE-4750-A0E8-0575BDAD03A7}"/>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 Off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Propulsion</a:t>
            </a:r>
            <a:r>
              <a:rPr lang="en-US" baseline="0"/>
              <a:t> Starting 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Summary!$C$12:$S$12</c:f>
              <c:numCache>
                <c:formatCode>General</c:formatCode>
                <c:ptCount val="17"/>
                <c:pt idx="0">
                  <c:v>1340</c:v>
                </c:pt>
                <c:pt idx="1">
                  <c:v>1830</c:v>
                </c:pt>
                <c:pt idx="2">
                  <c:v>1830</c:v>
                </c:pt>
                <c:pt idx="3">
                  <c:v>1820</c:v>
                </c:pt>
                <c:pt idx="4">
                  <c:v>1830</c:v>
                </c:pt>
                <c:pt idx="5">
                  <c:v>1710</c:v>
                </c:pt>
                <c:pt idx="6">
                  <c:v>1710</c:v>
                </c:pt>
                <c:pt idx="7">
                  <c:v>1650</c:v>
                </c:pt>
                <c:pt idx="8">
                  <c:v>1710</c:v>
                </c:pt>
                <c:pt idx="9">
                  <c:v>1650</c:v>
                </c:pt>
                <c:pt idx="10">
                  <c:v>1710</c:v>
                </c:pt>
                <c:pt idx="11">
                  <c:v>1710</c:v>
                </c:pt>
                <c:pt idx="12">
                  <c:v>2800</c:v>
                </c:pt>
                <c:pt idx="13">
                  <c:v>2800</c:v>
                </c:pt>
                <c:pt idx="14">
                  <c:v>2800</c:v>
                </c:pt>
                <c:pt idx="15">
                  <c:v>1650</c:v>
                </c:pt>
                <c:pt idx="16">
                  <c:v>1650</c:v>
                </c:pt>
              </c:numCache>
            </c:numRef>
          </c:xVal>
          <c:yVal>
            <c:numRef>
              <c:f>Summary!$C$102:$S$102</c:f>
              <c:numCache>
                <c:formatCode>General</c:formatCode>
                <c:ptCount val="17"/>
                <c:pt idx="0">
                  <c:v>27</c:v>
                </c:pt>
                <c:pt idx="1">
                  <c:v>43</c:v>
                </c:pt>
                <c:pt idx="2">
                  <c:v>40</c:v>
                </c:pt>
                <c:pt idx="5">
                  <c:v>43</c:v>
                </c:pt>
                <c:pt idx="6">
                  <c:v>46</c:v>
                </c:pt>
                <c:pt idx="7">
                  <c:v>34</c:v>
                </c:pt>
                <c:pt idx="8">
                  <c:v>45</c:v>
                </c:pt>
                <c:pt idx="9">
                  <c:v>8</c:v>
                </c:pt>
                <c:pt idx="10">
                  <c:v>46</c:v>
                </c:pt>
                <c:pt idx="11">
                  <c:v>45</c:v>
                </c:pt>
                <c:pt idx="12">
                  <c:v>57</c:v>
                </c:pt>
                <c:pt idx="13">
                  <c:v>56</c:v>
                </c:pt>
                <c:pt idx="14">
                  <c:v>56</c:v>
                </c:pt>
                <c:pt idx="15">
                  <c:v>25</c:v>
                </c:pt>
                <c:pt idx="16">
                  <c:v>22</c:v>
                </c:pt>
              </c:numCache>
            </c:numRef>
          </c:yVal>
          <c:smooth val="0"/>
          <c:extLst>
            <c:ext xmlns:c16="http://schemas.microsoft.com/office/drawing/2014/chart" uri="{C3380CC4-5D6E-409C-BE32-E72D297353CC}">
              <c16:uniqueId val="{00000012-83DF-49B6-9881-90CF25A740F3}"/>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Summary!$AE$12:$BG$12</c:f>
              <c:numCache>
                <c:formatCode>General</c:formatCode>
                <c:ptCount val="29"/>
                <c:pt idx="0">
                  <c:v>1820</c:v>
                </c:pt>
                <c:pt idx="1">
                  <c:v>1820</c:v>
                </c:pt>
                <c:pt idx="2">
                  <c:v>1820</c:v>
                </c:pt>
                <c:pt idx="3">
                  <c:v>1820</c:v>
                </c:pt>
                <c:pt idx="4">
                  <c:v>1820</c:v>
                </c:pt>
                <c:pt idx="5">
                  <c:v>1820</c:v>
                </c:pt>
                <c:pt idx="6">
                  <c:v>1820</c:v>
                </c:pt>
                <c:pt idx="7">
                  <c:v>1820</c:v>
                </c:pt>
                <c:pt idx="8">
                  <c:v>1820</c:v>
                </c:pt>
                <c:pt idx="9">
                  <c:v>1820</c:v>
                </c:pt>
                <c:pt idx="10">
                  <c:v>1820</c:v>
                </c:pt>
                <c:pt idx="11">
                  <c:v>1820</c:v>
                </c:pt>
                <c:pt idx="12">
                  <c:v>1820</c:v>
                </c:pt>
                <c:pt idx="13">
                  <c:v>1830</c:v>
                </c:pt>
                <c:pt idx="14">
                  <c:v>1830</c:v>
                </c:pt>
                <c:pt idx="15">
                  <c:v>1830</c:v>
                </c:pt>
                <c:pt idx="16">
                  <c:v>1830</c:v>
                </c:pt>
                <c:pt idx="17">
                  <c:v>1830</c:v>
                </c:pt>
                <c:pt idx="18">
                  <c:v>1820</c:v>
                </c:pt>
                <c:pt idx="19">
                  <c:v>2800</c:v>
                </c:pt>
                <c:pt idx="20">
                  <c:v>2800</c:v>
                </c:pt>
                <c:pt idx="21">
                  <c:v>2800</c:v>
                </c:pt>
                <c:pt idx="22">
                  <c:v>2800</c:v>
                </c:pt>
                <c:pt idx="23">
                  <c:v>2800</c:v>
                </c:pt>
                <c:pt idx="24">
                  <c:v>2800</c:v>
                </c:pt>
                <c:pt idx="25">
                  <c:v>2800</c:v>
                </c:pt>
                <c:pt idx="26">
                  <c:v>2800</c:v>
                </c:pt>
                <c:pt idx="27">
                  <c:v>2800</c:v>
                </c:pt>
                <c:pt idx="28">
                  <c:v>2800</c:v>
                </c:pt>
              </c:numCache>
            </c:numRef>
          </c:xVal>
          <c:yVal>
            <c:numRef>
              <c:f>Summary!$AE$102:$BG$102</c:f>
              <c:numCache>
                <c:formatCode>General</c:formatCode>
                <c:ptCount val="29"/>
                <c:pt idx="6">
                  <c:v>40</c:v>
                </c:pt>
                <c:pt idx="7">
                  <c:v>40</c:v>
                </c:pt>
                <c:pt idx="8">
                  <c:v>41.6</c:v>
                </c:pt>
                <c:pt idx="9">
                  <c:v>41.6</c:v>
                </c:pt>
                <c:pt idx="13">
                  <c:v>43</c:v>
                </c:pt>
                <c:pt idx="14">
                  <c:v>43</c:v>
                </c:pt>
                <c:pt idx="15">
                  <c:v>43</c:v>
                </c:pt>
                <c:pt idx="16">
                  <c:v>45</c:v>
                </c:pt>
                <c:pt idx="17">
                  <c:v>43</c:v>
                </c:pt>
                <c:pt idx="18">
                  <c:v>30</c:v>
                </c:pt>
                <c:pt idx="19">
                  <c:v>60.8</c:v>
                </c:pt>
                <c:pt idx="20">
                  <c:v>39.6</c:v>
                </c:pt>
                <c:pt idx="21">
                  <c:v>40</c:v>
                </c:pt>
                <c:pt idx="22">
                  <c:v>29.7</c:v>
                </c:pt>
                <c:pt idx="23">
                  <c:v>57</c:v>
                </c:pt>
                <c:pt idx="24">
                  <c:v>64</c:v>
                </c:pt>
                <c:pt idx="25">
                  <c:v>43.4</c:v>
                </c:pt>
                <c:pt idx="26">
                  <c:v>62</c:v>
                </c:pt>
                <c:pt idx="27">
                  <c:v>29</c:v>
                </c:pt>
                <c:pt idx="28">
                  <c:v>28</c:v>
                </c:pt>
              </c:numCache>
            </c:numRef>
          </c:yVal>
          <c:smooth val="0"/>
          <c:extLst>
            <c:ext xmlns:c16="http://schemas.microsoft.com/office/drawing/2014/chart" uri="{C3380CC4-5D6E-409C-BE32-E72D297353CC}">
              <c16:uniqueId val="{00000029-83DF-49B6-9881-90CF25A740F3}"/>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Summary!$BI$12:$BP$12</c:f>
              <c:numCache>
                <c:formatCode>General</c:formatCode>
                <c:ptCount val="8"/>
                <c:pt idx="0">
                  <c:v>1535</c:v>
                </c:pt>
                <c:pt idx="1">
                  <c:v>1820</c:v>
                </c:pt>
                <c:pt idx="2">
                  <c:v>2600</c:v>
                </c:pt>
                <c:pt idx="3">
                  <c:v>3350</c:v>
                </c:pt>
                <c:pt idx="4">
                  <c:v>2600</c:v>
                </c:pt>
                <c:pt idx="5">
                  <c:v>3350</c:v>
                </c:pt>
                <c:pt idx="7">
                  <c:v>2600</c:v>
                </c:pt>
              </c:numCache>
            </c:numRef>
          </c:xVal>
          <c:yVal>
            <c:numRef>
              <c:f>Summary!$BI$102:$BP$102</c:f>
              <c:numCache>
                <c:formatCode>General</c:formatCode>
                <c:ptCount val="8"/>
                <c:pt idx="0">
                  <c:v>43</c:v>
                </c:pt>
                <c:pt idx="1">
                  <c:v>49</c:v>
                </c:pt>
                <c:pt idx="2">
                  <c:v>58.7</c:v>
                </c:pt>
                <c:pt idx="3">
                  <c:v>41</c:v>
                </c:pt>
                <c:pt idx="4">
                  <c:v>40</c:v>
                </c:pt>
                <c:pt idx="5">
                  <c:v>44</c:v>
                </c:pt>
                <c:pt idx="7">
                  <c:v>50</c:v>
                </c:pt>
              </c:numCache>
            </c:numRef>
          </c:yVal>
          <c:smooth val="0"/>
          <c:extLst>
            <c:ext xmlns:c16="http://schemas.microsoft.com/office/drawing/2014/chart" uri="{C3380CC4-5D6E-409C-BE32-E72D297353CC}">
              <c16:uniqueId val="{00000031-83DF-49B6-9881-90CF25A740F3}"/>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Summary!$BR$12:$CA$12</c:f>
              <c:numCache>
                <c:formatCode>General</c:formatCode>
                <c:ptCount val="10"/>
                <c:pt idx="0">
                  <c:v>440</c:v>
                </c:pt>
                <c:pt idx="1">
                  <c:v>440</c:v>
                </c:pt>
                <c:pt idx="2">
                  <c:v>985</c:v>
                </c:pt>
                <c:pt idx="3">
                  <c:v>975</c:v>
                </c:pt>
                <c:pt idx="4">
                  <c:v>985</c:v>
                </c:pt>
                <c:pt idx="5">
                  <c:v>985</c:v>
                </c:pt>
                <c:pt idx="6">
                  <c:v>1340</c:v>
                </c:pt>
                <c:pt idx="7">
                  <c:v>1340</c:v>
                </c:pt>
                <c:pt idx="8">
                  <c:v>1340</c:v>
                </c:pt>
                <c:pt idx="9">
                  <c:v>680</c:v>
                </c:pt>
              </c:numCache>
            </c:numRef>
          </c:xVal>
          <c:yVal>
            <c:numRef>
              <c:f>Summary!$BR$102:$CA$102</c:f>
              <c:numCache>
                <c:formatCode>General</c:formatCode>
                <c:ptCount val="10"/>
                <c:pt idx="0">
                  <c:v>18</c:v>
                </c:pt>
                <c:pt idx="1">
                  <c:v>10</c:v>
                </c:pt>
                <c:pt idx="2">
                  <c:v>37</c:v>
                </c:pt>
                <c:pt idx="3">
                  <c:v>42</c:v>
                </c:pt>
                <c:pt idx="4">
                  <c:v>46.51</c:v>
                </c:pt>
                <c:pt idx="5">
                  <c:v>39</c:v>
                </c:pt>
                <c:pt idx="6">
                  <c:v>45</c:v>
                </c:pt>
                <c:pt idx="7">
                  <c:v>43</c:v>
                </c:pt>
                <c:pt idx="8">
                  <c:v>46</c:v>
                </c:pt>
                <c:pt idx="9">
                  <c:v>28</c:v>
                </c:pt>
              </c:numCache>
            </c:numRef>
          </c:yVal>
          <c:smooth val="0"/>
          <c:extLst>
            <c:ext xmlns:c16="http://schemas.microsoft.com/office/drawing/2014/chart" uri="{C3380CC4-5D6E-409C-BE32-E72D297353CC}">
              <c16:uniqueId val="{0000003A-83DF-49B6-9881-90CF25A740F3}"/>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Engine Displacement (cu in)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Propulsion Cooling 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Summary!$C$12:$S$12</c:f>
              <c:numCache>
                <c:formatCode>General</c:formatCode>
                <c:ptCount val="17"/>
                <c:pt idx="0">
                  <c:v>1340</c:v>
                </c:pt>
                <c:pt idx="1">
                  <c:v>1830</c:v>
                </c:pt>
                <c:pt idx="2">
                  <c:v>1830</c:v>
                </c:pt>
                <c:pt idx="3">
                  <c:v>1820</c:v>
                </c:pt>
                <c:pt idx="4">
                  <c:v>1830</c:v>
                </c:pt>
                <c:pt idx="5">
                  <c:v>1710</c:v>
                </c:pt>
                <c:pt idx="6">
                  <c:v>1710</c:v>
                </c:pt>
                <c:pt idx="7">
                  <c:v>1650</c:v>
                </c:pt>
                <c:pt idx="8">
                  <c:v>1710</c:v>
                </c:pt>
                <c:pt idx="9">
                  <c:v>1650</c:v>
                </c:pt>
                <c:pt idx="10">
                  <c:v>1710</c:v>
                </c:pt>
                <c:pt idx="11">
                  <c:v>1710</c:v>
                </c:pt>
                <c:pt idx="12">
                  <c:v>2800</c:v>
                </c:pt>
                <c:pt idx="13">
                  <c:v>2800</c:v>
                </c:pt>
                <c:pt idx="14">
                  <c:v>2800</c:v>
                </c:pt>
                <c:pt idx="15">
                  <c:v>1650</c:v>
                </c:pt>
                <c:pt idx="16">
                  <c:v>1650</c:v>
                </c:pt>
              </c:numCache>
            </c:numRef>
          </c:xVal>
          <c:yVal>
            <c:numRef>
              <c:f>Summary!$C$106:$S$106</c:f>
              <c:numCache>
                <c:formatCode>General</c:formatCode>
                <c:ptCount val="17"/>
                <c:pt idx="5">
                  <c:v>294</c:v>
                </c:pt>
                <c:pt idx="6">
                  <c:v>292</c:v>
                </c:pt>
                <c:pt idx="7">
                  <c:v>306</c:v>
                </c:pt>
                <c:pt idx="8">
                  <c:v>294</c:v>
                </c:pt>
                <c:pt idx="9">
                  <c:v>305</c:v>
                </c:pt>
                <c:pt idx="10">
                  <c:v>294</c:v>
                </c:pt>
                <c:pt idx="15">
                  <c:v>663</c:v>
                </c:pt>
                <c:pt idx="16">
                  <c:v>604</c:v>
                </c:pt>
              </c:numCache>
            </c:numRef>
          </c:yVal>
          <c:smooth val="0"/>
          <c:extLst>
            <c:ext xmlns:c16="http://schemas.microsoft.com/office/drawing/2014/chart" uri="{C3380CC4-5D6E-409C-BE32-E72D297353CC}">
              <c16:uniqueId val="{00000000-F479-40DF-ADE6-83814336569A}"/>
            </c:ext>
          </c:extLst>
        </c:ser>
        <c:ser>
          <c:idx val="2"/>
          <c:order val="1"/>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Summary!$BI$12:$BP$12</c:f>
              <c:numCache>
                <c:formatCode>General</c:formatCode>
                <c:ptCount val="8"/>
                <c:pt idx="0">
                  <c:v>1535</c:v>
                </c:pt>
                <c:pt idx="1">
                  <c:v>1820</c:v>
                </c:pt>
                <c:pt idx="2">
                  <c:v>2600</c:v>
                </c:pt>
                <c:pt idx="3">
                  <c:v>3350</c:v>
                </c:pt>
                <c:pt idx="4">
                  <c:v>2600</c:v>
                </c:pt>
                <c:pt idx="5">
                  <c:v>3350</c:v>
                </c:pt>
                <c:pt idx="7">
                  <c:v>2600</c:v>
                </c:pt>
              </c:numCache>
            </c:numRef>
          </c:xVal>
          <c:yVal>
            <c:numRef>
              <c:f>Summary!$BI$106:$BP$106</c:f>
              <c:numCache>
                <c:formatCode>General</c:formatCode>
                <c:ptCount val="8"/>
              </c:numCache>
            </c:numRef>
          </c:yVal>
          <c:smooth val="0"/>
          <c:extLst>
            <c:ext xmlns:c16="http://schemas.microsoft.com/office/drawing/2014/chart" uri="{C3380CC4-5D6E-409C-BE32-E72D297353CC}">
              <c16:uniqueId val="{00000002-F479-40DF-ADE6-83814336569A}"/>
            </c:ext>
          </c:extLst>
        </c:ser>
        <c:ser>
          <c:idx val="3"/>
          <c:order val="2"/>
          <c:tx>
            <c:v>Trainers</c:v>
          </c:tx>
          <c:spPr>
            <a:ln w="25400" cap="rnd">
              <a:noFill/>
              <a:round/>
            </a:ln>
            <a:effectLst/>
          </c:spPr>
          <c:marker>
            <c:symbol val="triangle"/>
            <c:size val="9"/>
            <c:spPr>
              <a:solidFill>
                <a:srgbClr val="FFC000"/>
              </a:solidFill>
              <a:ln w="9525">
                <a:solidFill>
                  <a:srgbClr val="FFC000"/>
                </a:solidFill>
              </a:ln>
              <a:effectLst/>
            </c:spPr>
          </c:marker>
          <c:xVal>
            <c:numRef>
              <c:f>Summary!$BR$12:$CA$12</c:f>
              <c:numCache>
                <c:formatCode>General</c:formatCode>
                <c:ptCount val="10"/>
                <c:pt idx="0">
                  <c:v>440</c:v>
                </c:pt>
                <c:pt idx="1">
                  <c:v>440</c:v>
                </c:pt>
                <c:pt idx="2">
                  <c:v>985</c:v>
                </c:pt>
                <c:pt idx="3">
                  <c:v>975</c:v>
                </c:pt>
                <c:pt idx="4">
                  <c:v>985</c:v>
                </c:pt>
                <c:pt idx="5">
                  <c:v>985</c:v>
                </c:pt>
                <c:pt idx="6">
                  <c:v>1340</c:v>
                </c:pt>
                <c:pt idx="7">
                  <c:v>1340</c:v>
                </c:pt>
                <c:pt idx="8">
                  <c:v>1340</c:v>
                </c:pt>
                <c:pt idx="9">
                  <c:v>680</c:v>
                </c:pt>
              </c:numCache>
            </c:numRef>
          </c:xVal>
          <c:yVal>
            <c:numRef>
              <c:f>Summary!$BR$106:$CA$106</c:f>
              <c:numCache>
                <c:formatCode>General</c:formatCode>
                <c:ptCount val="10"/>
              </c:numCache>
            </c:numRef>
          </c:yVal>
          <c:smooth val="0"/>
          <c:extLst>
            <c:ext xmlns:c16="http://schemas.microsoft.com/office/drawing/2014/chart" uri="{C3380CC4-5D6E-409C-BE32-E72D297353CC}">
              <c16:uniqueId val="{00000003-F479-40DF-ADE6-83814336569A}"/>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 Off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1"/>
        <c:delete val="1"/>
      </c:legendEntry>
      <c:legendEntry>
        <c:idx val="2"/>
        <c:delete val="1"/>
      </c:legendEntry>
      <c:layout>
        <c:manualLayout>
          <c:xMode val="edge"/>
          <c:yMode val="edge"/>
          <c:x val="0.10166212572773514"/>
          <c:y val="0.11069641294838146"/>
          <c:w val="0.12523403807234834"/>
          <c:h val="6.5658895902229508E-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Overall Length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rgbClr val="0070C0"/>
              </a:solidFill>
              <a:ln w="9525">
                <a:solidFill>
                  <a:srgbClr val="0070C0"/>
                </a:solidFill>
              </a:ln>
              <a:effectLst/>
            </c:spPr>
          </c:marker>
          <c:trendline>
            <c:spPr>
              <a:ln w="19050" cap="rnd">
                <a:solidFill>
                  <a:schemeClr val="accent5"/>
                </a:solidFill>
                <a:prstDash val="sysDot"/>
              </a:ln>
              <a:effectLst/>
            </c:spPr>
            <c:trendlineType val="linear"/>
            <c:dispRSqr val="1"/>
            <c:dispEq val="1"/>
            <c:trendlineLbl>
              <c:layout>
                <c:manualLayout>
                  <c:x val="3.714347007222274E-2"/>
                  <c:y val="-5.1308770789725268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Summary!$C$46:$CA$46</c:f>
              <c:numCache>
                <c:formatCode>0.0</c:formatCode>
                <c:ptCount val="77"/>
                <c:pt idx="0" formatCode="0.00">
                  <c:v>23.833333333333332</c:v>
                </c:pt>
                <c:pt idx="1">
                  <c:v>25.33</c:v>
                </c:pt>
                <c:pt idx="2" formatCode="General">
                  <c:v>28.85</c:v>
                </c:pt>
                <c:pt idx="3" formatCode="General">
                  <c:v>28.8</c:v>
                </c:pt>
                <c:pt idx="4" formatCode="General">
                  <c:v>28.8</c:v>
                </c:pt>
                <c:pt idx="5">
                  <c:v>31.729166666666668</c:v>
                </c:pt>
                <c:pt idx="6">
                  <c:v>31.729166666666668</c:v>
                </c:pt>
                <c:pt idx="7">
                  <c:v>31.630208333333332</c:v>
                </c:pt>
                <c:pt idx="8" formatCode="0.00">
                  <c:v>33.309895833333336</c:v>
                </c:pt>
                <c:pt idx="9" formatCode="0.00">
                  <c:v>33.309895833333336</c:v>
                </c:pt>
                <c:pt idx="10" formatCode="0.00">
                  <c:v>33.309895833333336</c:v>
                </c:pt>
                <c:pt idx="11" formatCode="0.00">
                  <c:v>33.309895833333336</c:v>
                </c:pt>
                <c:pt idx="12" formatCode="General">
                  <c:v>35.340000000000003</c:v>
                </c:pt>
                <c:pt idx="13" formatCode="General">
                  <c:v>35.340000000000003</c:v>
                </c:pt>
                <c:pt idx="14" formatCode="General">
                  <c:v>35.340000000000003</c:v>
                </c:pt>
                <c:pt idx="18" formatCode="0.00">
                  <c:v>30.166666666666668</c:v>
                </c:pt>
                <c:pt idx="19" formatCode="General">
                  <c:v>30.13</c:v>
                </c:pt>
                <c:pt idx="20" formatCode="General">
                  <c:v>30.13</c:v>
                </c:pt>
                <c:pt idx="21" formatCode="General">
                  <c:v>30.13</c:v>
                </c:pt>
                <c:pt idx="22" formatCode="General">
                  <c:v>30.13</c:v>
                </c:pt>
                <c:pt idx="23" formatCode="General">
                  <c:v>30.13</c:v>
                </c:pt>
                <c:pt idx="24" formatCode="General">
                  <c:v>31.33</c:v>
                </c:pt>
                <c:pt idx="25" formatCode="General">
                  <c:v>31.33</c:v>
                </c:pt>
                <c:pt idx="26" formatCode="General">
                  <c:v>31.33</c:v>
                </c:pt>
                <c:pt idx="28" formatCode="0.00">
                  <c:v>25.614583333333332</c:v>
                </c:pt>
                <c:pt idx="29" formatCode="0.00">
                  <c:v>25.614583333333332</c:v>
                </c:pt>
                <c:pt idx="30" formatCode="0.00">
                  <c:v>25.614583333333332</c:v>
                </c:pt>
                <c:pt idx="31" formatCode="0.00">
                  <c:v>25.614583333333332</c:v>
                </c:pt>
                <c:pt idx="32" formatCode="0.00">
                  <c:v>25.614583333333332</c:v>
                </c:pt>
                <c:pt idx="33" formatCode="0.00">
                  <c:v>26.364583333333332</c:v>
                </c:pt>
                <c:pt idx="34" formatCode="0.00">
                  <c:v>26.364583333333332</c:v>
                </c:pt>
                <c:pt idx="35" formatCode="0.00">
                  <c:v>26.364583333333332</c:v>
                </c:pt>
                <c:pt idx="36" formatCode="0.00">
                  <c:v>26.005208333333332</c:v>
                </c:pt>
                <c:pt idx="37" formatCode="0.00">
                  <c:v>26.041666666666668</c:v>
                </c:pt>
                <c:pt idx="38" formatCode="0.00">
                  <c:v>26.005208333333332</c:v>
                </c:pt>
                <c:pt idx="39" formatCode="0.00">
                  <c:v>26.005208333333332</c:v>
                </c:pt>
                <c:pt idx="40" formatCode="0.00">
                  <c:v>26.005208333333332</c:v>
                </c:pt>
                <c:pt idx="41" formatCode="0.00">
                  <c:v>28.781666666666666</c:v>
                </c:pt>
                <c:pt idx="42" formatCode="0.00">
                  <c:v>28.781666666666666</c:v>
                </c:pt>
                <c:pt idx="43" formatCode="0.00">
                  <c:v>28.885416666666668</c:v>
                </c:pt>
                <c:pt idx="44" formatCode="0.00">
                  <c:v>28.885416666666668</c:v>
                </c:pt>
                <c:pt idx="45" formatCode="0.00">
                  <c:v>28.885416666666668</c:v>
                </c:pt>
                <c:pt idx="47" formatCode="0.00">
                  <c:v>33.344166666666666</c:v>
                </c:pt>
                <c:pt idx="48" formatCode="0.00">
                  <c:v>33.344166666666666</c:v>
                </c:pt>
                <c:pt idx="49" formatCode="General">
                  <c:v>33.25</c:v>
                </c:pt>
                <c:pt idx="50" formatCode="0.00">
                  <c:v>33.69166666666667</c:v>
                </c:pt>
                <c:pt idx="51" formatCode="0.00">
                  <c:v>33.833333333333336</c:v>
                </c:pt>
                <c:pt idx="52" formatCode="0.00">
                  <c:v>33.833333333333336</c:v>
                </c:pt>
                <c:pt idx="53" formatCode="0.00">
                  <c:v>33.833333333333336</c:v>
                </c:pt>
                <c:pt idx="54" formatCode="0.00">
                  <c:v>33.833333333333336</c:v>
                </c:pt>
                <c:pt idx="55" formatCode="0.00">
                  <c:v>33.833333333333336</c:v>
                </c:pt>
                <c:pt idx="56" formatCode="General">
                  <c:v>27.5</c:v>
                </c:pt>
                <c:pt idx="58" formatCode="General">
                  <c:v>32.1</c:v>
                </c:pt>
                <c:pt idx="59" formatCode="0.00">
                  <c:v>31.00888888888889</c:v>
                </c:pt>
                <c:pt idx="60" formatCode="0.00">
                  <c:v>39.75</c:v>
                </c:pt>
                <c:pt idx="61" formatCode="0.00">
                  <c:v>39.166666666666664</c:v>
                </c:pt>
                <c:pt idx="62" formatCode="General">
                  <c:v>33.61</c:v>
                </c:pt>
                <c:pt idx="63" formatCode="0.00">
                  <c:v>39.666666666666664</c:v>
                </c:pt>
                <c:pt idx="65" formatCode="General">
                  <c:v>39.9</c:v>
                </c:pt>
                <c:pt idx="70" formatCode="General">
                  <c:v>28</c:v>
                </c:pt>
                <c:pt idx="71" formatCode="0.00">
                  <c:v>29.161666666666665</c:v>
                </c:pt>
                <c:pt idx="72" formatCode="General">
                  <c:v>27.8</c:v>
                </c:pt>
                <c:pt idx="74" formatCode="0.00">
                  <c:v>28.989583333333332</c:v>
                </c:pt>
                <c:pt idx="75" formatCode="0.00">
                  <c:v>28.989583333333332</c:v>
                </c:pt>
              </c:numCache>
            </c:numRef>
          </c:yVal>
          <c:smooth val="0"/>
          <c:extLst>
            <c:ext xmlns:c16="http://schemas.microsoft.com/office/drawing/2014/chart" uri="{C3380CC4-5D6E-409C-BE32-E72D297353CC}">
              <c16:uniqueId val="{00000002-EF37-4328-8100-9AF0BEC2E777}"/>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Summary!$C$147:$AC$147</c:f>
              <c:numCache>
                <c:formatCode>General</c:formatCode>
                <c:ptCount val="27"/>
                <c:pt idx="0">
                  <c:v>2935</c:v>
                </c:pt>
                <c:pt idx="1">
                  <c:v>5599</c:v>
                </c:pt>
                <c:pt idx="2">
                  <c:v>5531</c:v>
                </c:pt>
                <c:pt idx="3">
                  <c:v>5689</c:v>
                </c:pt>
                <c:pt idx="4">
                  <c:v>5919</c:v>
                </c:pt>
                <c:pt idx="6">
                  <c:v>8427</c:v>
                </c:pt>
                <c:pt idx="12">
                  <c:v>13373</c:v>
                </c:pt>
                <c:pt idx="16">
                  <c:v>10119</c:v>
                </c:pt>
                <c:pt idx="17">
                  <c:v>5579</c:v>
                </c:pt>
                <c:pt idx="18">
                  <c:v>7403.5</c:v>
                </c:pt>
                <c:pt idx="20">
                  <c:v>7405</c:v>
                </c:pt>
              </c:numCache>
            </c:numRef>
          </c:xVal>
          <c:yVal>
            <c:numRef>
              <c:f>Summary!$C$46:$AC$46</c:f>
              <c:numCache>
                <c:formatCode>0.0</c:formatCode>
                <c:ptCount val="27"/>
                <c:pt idx="0" formatCode="0.00">
                  <c:v>23.833333333333332</c:v>
                </c:pt>
                <c:pt idx="1">
                  <c:v>25.33</c:v>
                </c:pt>
                <c:pt idx="2" formatCode="General">
                  <c:v>28.85</c:v>
                </c:pt>
                <c:pt idx="3" formatCode="General">
                  <c:v>28.8</c:v>
                </c:pt>
                <c:pt idx="4" formatCode="General">
                  <c:v>28.8</c:v>
                </c:pt>
                <c:pt idx="5">
                  <c:v>31.729166666666668</c:v>
                </c:pt>
                <c:pt idx="6">
                  <c:v>31.729166666666668</c:v>
                </c:pt>
                <c:pt idx="7">
                  <c:v>31.630208333333332</c:v>
                </c:pt>
                <c:pt idx="8" formatCode="0.00">
                  <c:v>33.309895833333336</c:v>
                </c:pt>
                <c:pt idx="9" formatCode="0.00">
                  <c:v>33.309895833333336</c:v>
                </c:pt>
                <c:pt idx="10" formatCode="0.00">
                  <c:v>33.309895833333336</c:v>
                </c:pt>
                <c:pt idx="11" formatCode="0.00">
                  <c:v>33.309895833333336</c:v>
                </c:pt>
                <c:pt idx="12" formatCode="General">
                  <c:v>35.340000000000003</c:v>
                </c:pt>
                <c:pt idx="13" formatCode="General">
                  <c:v>35.340000000000003</c:v>
                </c:pt>
                <c:pt idx="14" formatCode="General">
                  <c:v>35.340000000000003</c:v>
                </c:pt>
                <c:pt idx="18" formatCode="0.00">
                  <c:v>30.166666666666668</c:v>
                </c:pt>
                <c:pt idx="19" formatCode="General">
                  <c:v>30.13</c:v>
                </c:pt>
                <c:pt idx="20" formatCode="General">
                  <c:v>30.13</c:v>
                </c:pt>
                <c:pt idx="21" formatCode="General">
                  <c:v>30.13</c:v>
                </c:pt>
                <c:pt idx="22" formatCode="General">
                  <c:v>30.13</c:v>
                </c:pt>
                <c:pt idx="23" formatCode="General">
                  <c:v>30.13</c:v>
                </c:pt>
                <c:pt idx="24" formatCode="General">
                  <c:v>31.33</c:v>
                </c:pt>
                <c:pt idx="25" formatCode="General">
                  <c:v>31.33</c:v>
                </c:pt>
                <c:pt idx="26" formatCode="General">
                  <c:v>31.33</c:v>
                </c:pt>
              </c:numCache>
            </c:numRef>
          </c:yVal>
          <c:smooth val="0"/>
          <c:extLst>
            <c:ext xmlns:c16="http://schemas.microsoft.com/office/drawing/2014/chart" uri="{C3380CC4-5D6E-409C-BE32-E72D297353CC}">
              <c16:uniqueId val="{00000003-EF37-4328-8100-9AF0BEC2E777}"/>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Summary!$AE$46:$BG$46</c:f>
              <c:numCache>
                <c:formatCode>0.00</c:formatCode>
                <c:ptCount val="29"/>
                <c:pt idx="0">
                  <c:v>25.614583333333332</c:v>
                </c:pt>
                <c:pt idx="1">
                  <c:v>25.614583333333332</c:v>
                </c:pt>
                <c:pt idx="2">
                  <c:v>25.614583333333332</c:v>
                </c:pt>
                <c:pt idx="3">
                  <c:v>25.614583333333332</c:v>
                </c:pt>
                <c:pt idx="4">
                  <c:v>25.614583333333332</c:v>
                </c:pt>
                <c:pt idx="5">
                  <c:v>26.364583333333332</c:v>
                </c:pt>
                <c:pt idx="6">
                  <c:v>26.364583333333332</c:v>
                </c:pt>
                <c:pt idx="7">
                  <c:v>26.364583333333332</c:v>
                </c:pt>
                <c:pt idx="8">
                  <c:v>26.005208333333332</c:v>
                </c:pt>
                <c:pt idx="9">
                  <c:v>26.041666666666668</c:v>
                </c:pt>
                <c:pt idx="10">
                  <c:v>26.005208333333332</c:v>
                </c:pt>
                <c:pt idx="11">
                  <c:v>26.005208333333332</c:v>
                </c:pt>
                <c:pt idx="12">
                  <c:v>26.005208333333332</c:v>
                </c:pt>
                <c:pt idx="13">
                  <c:v>28.781666666666666</c:v>
                </c:pt>
                <c:pt idx="14">
                  <c:v>28.781666666666666</c:v>
                </c:pt>
                <c:pt idx="15">
                  <c:v>28.885416666666668</c:v>
                </c:pt>
                <c:pt idx="16">
                  <c:v>28.885416666666668</c:v>
                </c:pt>
                <c:pt idx="17">
                  <c:v>28.885416666666668</c:v>
                </c:pt>
                <c:pt idx="19">
                  <c:v>33.344166666666666</c:v>
                </c:pt>
                <c:pt idx="20">
                  <c:v>33.344166666666666</c:v>
                </c:pt>
                <c:pt idx="21" formatCode="General">
                  <c:v>33.25</c:v>
                </c:pt>
                <c:pt idx="22">
                  <c:v>33.69166666666667</c:v>
                </c:pt>
                <c:pt idx="23">
                  <c:v>33.833333333333336</c:v>
                </c:pt>
                <c:pt idx="24">
                  <c:v>33.833333333333336</c:v>
                </c:pt>
                <c:pt idx="25">
                  <c:v>33.833333333333336</c:v>
                </c:pt>
                <c:pt idx="26">
                  <c:v>33.833333333333336</c:v>
                </c:pt>
                <c:pt idx="27">
                  <c:v>33.833333333333336</c:v>
                </c:pt>
                <c:pt idx="28" formatCode="General">
                  <c:v>27.5</c:v>
                </c:pt>
              </c:numCache>
            </c:numRef>
          </c:yVal>
          <c:smooth val="0"/>
          <c:extLst>
            <c:ext xmlns:c16="http://schemas.microsoft.com/office/drawing/2014/chart" uri="{C3380CC4-5D6E-409C-BE32-E72D297353CC}">
              <c16:uniqueId val="{00000004-EF37-4328-8100-9AF0BEC2E777}"/>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Summary!$BI$46:$BP$46</c:f>
              <c:numCache>
                <c:formatCode>0.00</c:formatCode>
                <c:ptCount val="8"/>
                <c:pt idx="0" formatCode="General">
                  <c:v>32.1</c:v>
                </c:pt>
                <c:pt idx="1">
                  <c:v>31.00888888888889</c:v>
                </c:pt>
                <c:pt idx="2">
                  <c:v>39.75</c:v>
                </c:pt>
                <c:pt idx="3">
                  <c:v>39.166666666666664</c:v>
                </c:pt>
                <c:pt idx="4" formatCode="General">
                  <c:v>33.61</c:v>
                </c:pt>
                <c:pt idx="5">
                  <c:v>39.666666666666664</c:v>
                </c:pt>
                <c:pt idx="7" formatCode="General">
                  <c:v>39.9</c:v>
                </c:pt>
              </c:numCache>
            </c:numRef>
          </c:yVal>
          <c:smooth val="0"/>
          <c:extLst>
            <c:ext xmlns:c16="http://schemas.microsoft.com/office/drawing/2014/chart" uri="{C3380CC4-5D6E-409C-BE32-E72D297353CC}">
              <c16:uniqueId val="{00000006-EF37-4328-8100-9AF0BEC2E777}"/>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Summary!$BR$46:$CA$46</c:f>
              <c:numCache>
                <c:formatCode>General</c:formatCode>
                <c:ptCount val="10"/>
                <c:pt idx="3">
                  <c:v>28</c:v>
                </c:pt>
                <c:pt idx="4" formatCode="0.00">
                  <c:v>29.161666666666665</c:v>
                </c:pt>
                <c:pt idx="5">
                  <c:v>27.8</c:v>
                </c:pt>
                <c:pt idx="7" formatCode="0.00">
                  <c:v>28.989583333333332</c:v>
                </c:pt>
                <c:pt idx="8" formatCode="0.00">
                  <c:v>28.989583333333332</c:v>
                </c:pt>
              </c:numCache>
            </c:numRef>
          </c:yVal>
          <c:smooth val="0"/>
          <c:extLst>
            <c:ext xmlns:c16="http://schemas.microsoft.com/office/drawing/2014/chart" uri="{C3380CC4-5D6E-409C-BE32-E72D297353CC}">
              <c16:uniqueId val="{00000007-EF37-4328-8100-9AF0BEC2E777}"/>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21259154848917861"/>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Lube Oil </a:t>
            </a:r>
            <a:r>
              <a:rPr lang="en-US" baseline="0"/>
              <a:t>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Summary!$C$107:$AC$107</c:f>
              <c:numCache>
                <c:formatCode>General</c:formatCode>
                <c:ptCount val="27"/>
                <c:pt idx="0">
                  <c:v>20</c:v>
                </c:pt>
                <c:pt idx="1">
                  <c:v>32</c:v>
                </c:pt>
                <c:pt idx="2">
                  <c:v>27</c:v>
                </c:pt>
                <c:pt idx="5">
                  <c:v>61</c:v>
                </c:pt>
                <c:pt idx="6">
                  <c:v>62</c:v>
                </c:pt>
                <c:pt idx="7">
                  <c:v>64</c:v>
                </c:pt>
                <c:pt idx="8">
                  <c:v>116</c:v>
                </c:pt>
                <c:pt idx="9">
                  <c:v>116</c:v>
                </c:pt>
                <c:pt idx="10">
                  <c:v>117</c:v>
                </c:pt>
                <c:pt idx="12">
                  <c:v>132</c:v>
                </c:pt>
                <c:pt idx="13">
                  <c:v>117.9</c:v>
                </c:pt>
                <c:pt idx="14">
                  <c:v>138.1</c:v>
                </c:pt>
                <c:pt idx="15">
                  <c:v>101</c:v>
                </c:pt>
                <c:pt idx="16">
                  <c:v>112</c:v>
                </c:pt>
                <c:pt idx="17">
                  <c:v>24</c:v>
                </c:pt>
                <c:pt idx="18">
                  <c:v>56.2</c:v>
                </c:pt>
                <c:pt idx="19">
                  <c:v>56.2</c:v>
                </c:pt>
                <c:pt idx="20">
                  <c:v>56</c:v>
                </c:pt>
                <c:pt idx="21">
                  <c:v>63.6</c:v>
                </c:pt>
                <c:pt idx="23">
                  <c:v>60.6</c:v>
                </c:pt>
                <c:pt idx="24">
                  <c:v>137</c:v>
                </c:pt>
                <c:pt idx="25">
                  <c:v>134.9</c:v>
                </c:pt>
                <c:pt idx="26">
                  <c:v>135</c:v>
                </c:pt>
              </c:numCache>
            </c:numRef>
          </c:yVal>
          <c:smooth val="0"/>
          <c:extLst>
            <c:ext xmlns:c16="http://schemas.microsoft.com/office/drawing/2014/chart" uri="{C3380CC4-5D6E-409C-BE32-E72D297353CC}">
              <c16:uniqueId val="{00000012-6405-4C88-82AC-E39B5E7A4621}"/>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Summary!$AE$107:$BG$107</c:f>
              <c:numCache>
                <c:formatCode>General</c:formatCode>
                <c:ptCount val="29"/>
                <c:pt idx="6">
                  <c:v>87</c:v>
                </c:pt>
                <c:pt idx="7">
                  <c:v>87</c:v>
                </c:pt>
                <c:pt idx="8">
                  <c:v>26.7</c:v>
                </c:pt>
                <c:pt idx="9">
                  <c:v>26.7</c:v>
                </c:pt>
                <c:pt idx="13">
                  <c:v>30</c:v>
                </c:pt>
                <c:pt idx="14">
                  <c:v>30</c:v>
                </c:pt>
                <c:pt idx="15">
                  <c:v>35</c:v>
                </c:pt>
                <c:pt idx="16">
                  <c:v>94</c:v>
                </c:pt>
                <c:pt idx="17">
                  <c:v>35</c:v>
                </c:pt>
                <c:pt idx="18">
                  <c:v>99</c:v>
                </c:pt>
                <c:pt idx="19">
                  <c:v>143.19999999999999</c:v>
                </c:pt>
                <c:pt idx="20">
                  <c:v>128.6</c:v>
                </c:pt>
                <c:pt idx="21">
                  <c:v>163</c:v>
                </c:pt>
                <c:pt idx="22">
                  <c:v>175.8</c:v>
                </c:pt>
                <c:pt idx="23">
                  <c:v>144.30000000000001</c:v>
                </c:pt>
                <c:pt idx="24">
                  <c:v>150.6</c:v>
                </c:pt>
                <c:pt idx="25">
                  <c:v>148.5</c:v>
                </c:pt>
                <c:pt idx="26">
                  <c:v>151</c:v>
                </c:pt>
                <c:pt idx="27">
                  <c:v>149</c:v>
                </c:pt>
                <c:pt idx="28">
                  <c:v>151</c:v>
                </c:pt>
              </c:numCache>
            </c:numRef>
          </c:yVal>
          <c:smooth val="0"/>
          <c:extLst>
            <c:ext xmlns:c16="http://schemas.microsoft.com/office/drawing/2014/chart" uri="{C3380CC4-5D6E-409C-BE32-E72D297353CC}">
              <c16:uniqueId val="{00000029-6405-4C88-82AC-E39B5E7A4621}"/>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Summary!$BI$107:$BP$107</c:f>
              <c:numCache>
                <c:formatCode>General</c:formatCode>
                <c:ptCount val="8"/>
                <c:pt idx="0">
                  <c:v>32</c:v>
                </c:pt>
                <c:pt idx="1">
                  <c:v>127</c:v>
                </c:pt>
                <c:pt idx="2">
                  <c:v>182.2</c:v>
                </c:pt>
                <c:pt idx="3">
                  <c:v>135</c:v>
                </c:pt>
                <c:pt idx="4">
                  <c:v>116</c:v>
                </c:pt>
                <c:pt idx="5">
                  <c:v>123</c:v>
                </c:pt>
                <c:pt idx="7">
                  <c:v>145</c:v>
                </c:pt>
              </c:numCache>
            </c:numRef>
          </c:yVal>
          <c:smooth val="0"/>
          <c:extLst>
            <c:ext xmlns:c16="http://schemas.microsoft.com/office/drawing/2014/chart" uri="{C3380CC4-5D6E-409C-BE32-E72D297353CC}">
              <c16:uniqueId val="{0000002A-6405-4C88-82AC-E39B5E7A4621}"/>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Summary!$BR$107:$CA$107</c:f>
              <c:numCache>
                <c:formatCode>General</c:formatCode>
                <c:ptCount val="10"/>
                <c:pt idx="0">
                  <c:v>9</c:v>
                </c:pt>
                <c:pt idx="1">
                  <c:v>8</c:v>
                </c:pt>
                <c:pt idx="2">
                  <c:v>21</c:v>
                </c:pt>
                <c:pt idx="3">
                  <c:v>17</c:v>
                </c:pt>
                <c:pt idx="4">
                  <c:v>52.09</c:v>
                </c:pt>
                <c:pt idx="5">
                  <c:v>21</c:v>
                </c:pt>
                <c:pt idx="6">
                  <c:v>24</c:v>
                </c:pt>
                <c:pt idx="7">
                  <c:v>30</c:v>
                </c:pt>
                <c:pt idx="8">
                  <c:v>73</c:v>
                </c:pt>
                <c:pt idx="9">
                  <c:v>12</c:v>
                </c:pt>
              </c:numCache>
            </c:numRef>
          </c:yVal>
          <c:smooth val="0"/>
          <c:extLst>
            <c:ext xmlns:c16="http://schemas.microsoft.com/office/drawing/2014/chart" uri="{C3380CC4-5D6E-409C-BE32-E72D297353CC}">
              <c16:uniqueId val="{0000002B-6405-4C88-82AC-E39B5E7A4621}"/>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a:t>
                </a:r>
                <a:r>
                  <a:rPr lang="en-US" baseline="0"/>
                  <a:t> Off Power (HP)</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Fuel Oil </a:t>
            </a:r>
            <a:r>
              <a:rPr lang="en-US" baseline="0"/>
              <a:t>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Summary!$C$56:$S$56</c:f>
              <c:numCache>
                <c:formatCode>General</c:formatCode>
                <c:ptCount val="17"/>
                <c:pt idx="5" formatCode="0.0">
                  <c:v>13.3</c:v>
                </c:pt>
                <c:pt idx="6" formatCode="0.0">
                  <c:v>13.3</c:v>
                </c:pt>
                <c:pt idx="7" formatCode="0.0">
                  <c:v>13.3</c:v>
                </c:pt>
                <c:pt idx="8" formatCode="0.0">
                  <c:v>13.3</c:v>
                </c:pt>
                <c:pt idx="10" formatCode="0.0">
                  <c:v>13.3</c:v>
                </c:pt>
                <c:pt idx="11" formatCode="0.0">
                  <c:v>10</c:v>
                </c:pt>
                <c:pt idx="16">
                  <c:v>13.8</c:v>
                </c:pt>
              </c:numCache>
            </c:numRef>
          </c:xVal>
          <c:yVal>
            <c:numRef>
              <c:f>Summary!$C$107:$S$107</c:f>
              <c:numCache>
                <c:formatCode>General</c:formatCode>
                <c:ptCount val="17"/>
                <c:pt idx="0">
                  <c:v>20</c:v>
                </c:pt>
                <c:pt idx="1">
                  <c:v>32</c:v>
                </c:pt>
                <c:pt idx="2">
                  <c:v>27</c:v>
                </c:pt>
                <c:pt idx="5">
                  <c:v>61</c:v>
                </c:pt>
                <c:pt idx="6">
                  <c:v>62</c:v>
                </c:pt>
                <c:pt idx="7">
                  <c:v>64</c:v>
                </c:pt>
                <c:pt idx="8">
                  <c:v>116</c:v>
                </c:pt>
                <c:pt idx="9">
                  <c:v>116</c:v>
                </c:pt>
                <c:pt idx="10">
                  <c:v>117</c:v>
                </c:pt>
                <c:pt idx="12">
                  <c:v>132</c:v>
                </c:pt>
                <c:pt idx="13">
                  <c:v>117.9</c:v>
                </c:pt>
                <c:pt idx="14">
                  <c:v>138.1</c:v>
                </c:pt>
                <c:pt idx="15">
                  <c:v>101</c:v>
                </c:pt>
                <c:pt idx="16">
                  <c:v>112</c:v>
                </c:pt>
              </c:numCache>
            </c:numRef>
          </c:yVal>
          <c:smooth val="0"/>
          <c:extLst>
            <c:ext xmlns:c16="http://schemas.microsoft.com/office/drawing/2014/chart" uri="{C3380CC4-5D6E-409C-BE32-E72D297353CC}">
              <c16:uniqueId val="{00000000-6627-4B93-A9E9-DD02020E51B7}"/>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Summary!$AE$56:$BG$56</c:f>
              <c:numCache>
                <c:formatCode>General</c:formatCode>
                <c:ptCount val="29"/>
                <c:pt idx="13">
                  <c:v>11</c:v>
                </c:pt>
                <c:pt idx="14">
                  <c:v>11</c:v>
                </c:pt>
                <c:pt idx="15">
                  <c:v>11</c:v>
                </c:pt>
                <c:pt idx="16">
                  <c:v>11</c:v>
                </c:pt>
                <c:pt idx="17">
                  <c:v>11</c:v>
                </c:pt>
                <c:pt idx="19">
                  <c:v>20</c:v>
                </c:pt>
                <c:pt idx="20">
                  <c:v>24.25</c:v>
                </c:pt>
                <c:pt idx="21">
                  <c:v>23.5</c:v>
                </c:pt>
                <c:pt idx="22">
                  <c:v>23.5</c:v>
                </c:pt>
                <c:pt idx="23">
                  <c:v>19</c:v>
                </c:pt>
                <c:pt idx="24">
                  <c:v>19</c:v>
                </c:pt>
                <c:pt idx="25">
                  <c:v>19</c:v>
                </c:pt>
                <c:pt idx="26">
                  <c:v>19</c:v>
                </c:pt>
                <c:pt idx="27">
                  <c:v>19</c:v>
                </c:pt>
                <c:pt idx="28">
                  <c:v>17</c:v>
                </c:pt>
              </c:numCache>
            </c:numRef>
          </c:xVal>
          <c:yVal>
            <c:numRef>
              <c:f>Summary!$AE$107:$BG$107</c:f>
              <c:numCache>
                <c:formatCode>General</c:formatCode>
                <c:ptCount val="29"/>
                <c:pt idx="6">
                  <c:v>87</c:v>
                </c:pt>
                <c:pt idx="7">
                  <c:v>87</c:v>
                </c:pt>
                <c:pt idx="8">
                  <c:v>26.7</c:v>
                </c:pt>
                <c:pt idx="9">
                  <c:v>26.7</c:v>
                </c:pt>
                <c:pt idx="13">
                  <c:v>30</c:v>
                </c:pt>
                <c:pt idx="14">
                  <c:v>30</c:v>
                </c:pt>
                <c:pt idx="15">
                  <c:v>35</c:v>
                </c:pt>
                <c:pt idx="16">
                  <c:v>94</c:v>
                </c:pt>
                <c:pt idx="17">
                  <c:v>35</c:v>
                </c:pt>
                <c:pt idx="18">
                  <c:v>99</c:v>
                </c:pt>
                <c:pt idx="19">
                  <c:v>143.19999999999999</c:v>
                </c:pt>
                <c:pt idx="20">
                  <c:v>128.6</c:v>
                </c:pt>
                <c:pt idx="21">
                  <c:v>163</c:v>
                </c:pt>
                <c:pt idx="22">
                  <c:v>175.8</c:v>
                </c:pt>
                <c:pt idx="23">
                  <c:v>144.30000000000001</c:v>
                </c:pt>
                <c:pt idx="24">
                  <c:v>150.6</c:v>
                </c:pt>
                <c:pt idx="25">
                  <c:v>148.5</c:v>
                </c:pt>
                <c:pt idx="26">
                  <c:v>151</c:v>
                </c:pt>
                <c:pt idx="27">
                  <c:v>149</c:v>
                </c:pt>
                <c:pt idx="28">
                  <c:v>151</c:v>
                </c:pt>
              </c:numCache>
            </c:numRef>
          </c:yVal>
          <c:smooth val="0"/>
          <c:extLst>
            <c:ext xmlns:c16="http://schemas.microsoft.com/office/drawing/2014/chart" uri="{C3380CC4-5D6E-409C-BE32-E72D297353CC}">
              <c16:uniqueId val="{00000001-6627-4B93-A9E9-DD02020E51B7}"/>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Summary!$BI$56:$BP$56</c:f>
              <c:numCache>
                <c:formatCode>General</c:formatCode>
                <c:ptCount val="8"/>
                <c:pt idx="2">
                  <c:v>12.5</c:v>
                </c:pt>
              </c:numCache>
            </c:numRef>
          </c:xVal>
          <c:yVal>
            <c:numRef>
              <c:f>Summary!$BI$107:$BP$107</c:f>
              <c:numCache>
                <c:formatCode>General</c:formatCode>
                <c:ptCount val="8"/>
                <c:pt idx="0">
                  <c:v>32</c:v>
                </c:pt>
                <c:pt idx="1">
                  <c:v>127</c:v>
                </c:pt>
                <c:pt idx="2">
                  <c:v>182.2</c:v>
                </c:pt>
                <c:pt idx="3">
                  <c:v>135</c:v>
                </c:pt>
                <c:pt idx="4">
                  <c:v>116</c:v>
                </c:pt>
                <c:pt idx="5">
                  <c:v>123</c:v>
                </c:pt>
                <c:pt idx="7">
                  <c:v>145</c:v>
                </c:pt>
              </c:numCache>
            </c:numRef>
          </c:yVal>
          <c:smooth val="0"/>
          <c:extLst>
            <c:ext xmlns:c16="http://schemas.microsoft.com/office/drawing/2014/chart" uri="{C3380CC4-5D6E-409C-BE32-E72D297353CC}">
              <c16:uniqueId val="{00000002-6627-4B93-A9E9-DD02020E51B7}"/>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Summary!$BR$56:$CA$56</c:f>
              <c:numCache>
                <c:formatCode>General</c:formatCode>
                <c:ptCount val="10"/>
                <c:pt idx="7">
                  <c:v>15.5</c:v>
                </c:pt>
                <c:pt idx="8">
                  <c:v>12.2</c:v>
                </c:pt>
              </c:numCache>
            </c:numRef>
          </c:xVal>
          <c:yVal>
            <c:numRef>
              <c:f>Summary!$BR$107:$CA$107</c:f>
              <c:numCache>
                <c:formatCode>General</c:formatCode>
                <c:ptCount val="10"/>
                <c:pt idx="0">
                  <c:v>9</c:v>
                </c:pt>
                <c:pt idx="1">
                  <c:v>8</c:v>
                </c:pt>
                <c:pt idx="2">
                  <c:v>21</c:v>
                </c:pt>
                <c:pt idx="3">
                  <c:v>17</c:v>
                </c:pt>
                <c:pt idx="4">
                  <c:v>52.09</c:v>
                </c:pt>
                <c:pt idx="5">
                  <c:v>21</c:v>
                </c:pt>
                <c:pt idx="6">
                  <c:v>24</c:v>
                </c:pt>
                <c:pt idx="7">
                  <c:v>30</c:v>
                </c:pt>
                <c:pt idx="8">
                  <c:v>73</c:v>
                </c:pt>
                <c:pt idx="9">
                  <c:v>12</c:v>
                </c:pt>
              </c:numCache>
            </c:numRef>
          </c:yVal>
          <c:smooth val="0"/>
          <c:extLst>
            <c:ext xmlns:c16="http://schemas.microsoft.com/office/drawing/2014/chart" uri="{C3380CC4-5D6E-409C-BE32-E72D297353CC}">
              <c16:uniqueId val="{00000003-6627-4B93-A9E9-DD02020E51B7}"/>
            </c:ext>
          </c:extLst>
        </c:ser>
        <c:dLbls>
          <c:showLegendKey val="0"/>
          <c:showVal val="0"/>
          <c:showCatName val="0"/>
          <c:showSerName val="0"/>
          <c:showPercent val="0"/>
          <c:showBubbleSize val="0"/>
        </c:dLbls>
        <c:axId val="642505167"/>
        <c:axId val="649103391"/>
      </c:scatterChart>
      <c:valAx>
        <c:axId val="642505167"/>
        <c:scaling>
          <c:logBase val="10"/>
          <c:orientation val="minMax"/>
          <c:max val="50"/>
          <c:min val="2"/>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Oil Capacity (gal)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logBase val="10"/>
          <c:orientation val="minMax"/>
          <c:max val="300"/>
          <c:min val="5"/>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Fuel Oil </a:t>
            </a:r>
            <a:r>
              <a:rPr lang="en-US" baseline="0"/>
              <a:t>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Summary!$C$17:$AC$17</c:f>
              <c:numCache>
                <c:formatCode>General</c:formatCode>
                <c:ptCount val="27"/>
                <c:pt idx="0">
                  <c:v>500</c:v>
                </c:pt>
                <c:pt idx="1">
                  <c:v>950</c:v>
                </c:pt>
                <c:pt idx="2">
                  <c:v>1050</c:v>
                </c:pt>
                <c:pt idx="3">
                  <c:v>1100</c:v>
                </c:pt>
                <c:pt idx="4">
                  <c:v>1100</c:v>
                </c:pt>
                <c:pt idx="5">
                  <c:v>1150</c:v>
                </c:pt>
                <c:pt idx="6">
                  <c:v>1150</c:v>
                </c:pt>
                <c:pt idx="7">
                  <c:v>1390</c:v>
                </c:pt>
                <c:pt idx="8">
                  <c:v>1325</c:v>
                </c:pt>
                <c:pt idx="9">
                  <c:v>1385</c:v>
                </c:pt>
                <c:pt idx="10">
                  <c:v>1360</c:v>
                </c:pt>
                <c:pt idx="11">
                  <c:v>1200</c:v>
                </c:pt>
                <c:pt idx="12">
                  <c:v>2000</c:v>
                </c:pt>
                <c:pt idx="14">
                  <c:v>2000</c:v>
                </c:pt>
                <c:pt idx="15">
                  <c:v>1280</c:v>
                </c:pt>
                <c:pt idx="16">
                  <c:v>1315</c:v>
                </c:pt>
                <c:pt idx="17">
                  <c:v>700</c:v>
                </c:pt>
                <c:pt idx="19">
                  <c:v>1150</c:v>
                </c:pt>
                <c:pt idx="20">
                  <c:v>1150</c:v>
                </c:pt>
                <c:pt idx="21">
                  <c:v>1325</c:v>
                </c:pt>
                <c:pt idx="22">
                  <c:v>1200</c:v>
                </c:pt>
                <c:pt idx="23">
                  <c:v>1150</c:v>
                </c:pt>
                <c:pt idx="24">
                  <c:v>1325</c:v>
                </c:pt>
                <c:pt idx="25">
                  <c:v>1325</c:v>
                </c:pt>
                <c:pt idx="26">
                  <c:v>1325</c:v>
                </c:pt>
              </c:numCache>
            </c:numRef>
          </c:xVal>
          <c:yVal>
            <c:numRef>
              <c:f>Summary!$C$110:$AC$110</c:f>
              <c:numCache>
                <c:formatCode>General</c:formatCode>
                <c:ptCount val="27"/>
                <c:pt idx="0">
                  <c:v>80</c:v>
                </c:pt>
                <c:pt idx="1">
                  <c:v>25</c:v>
                </c:pt>
                <c:pt idx="2">
                  <c:v>154</c:v>
                </c:pt>
                <c:pt idx="5">
                  <c:v>425</c:v>
                </c:pt>
                <c:pt idx="6">
                  <c:v>418</c:v>
                </c:pt>
                <c:pt idx="7">
                  <c:v>437</c:v>
                </c:pt>
                <c:pt idx="8">
                  <c:v>425</c:v>
                </c:pt>
                <c:pt idx="9">
                  <c:v>322</c:v>
                </c:pt>
                <c:pt idx="10">
                  <c:v>428</c:v>
                </c:pt>
                <c:pt idx="12">
                  <c:v>309</c:v>
                </c:pt>
                <c:pt idx="13">
                  <c:v>332.3</c:v>
                </c:pt>
                <c:pt idx="14">
                  <c:v>422.2</c:v>
                </c:pt>
                <c:pt idx="15">
                  <c:v>320</c:v>
                </c:pt>
                <c:pt idx="16">
                  <c:v>363</c:v>
                </c:pt>
                <c:pt idx="17">
                  <c:v>107</c:v>
                </c:pt>
                <c:pt idx="18">
                  <c:v>289.2</c:v>
                </c:pt>
                <c:pt idx="19">
                  <c:v>289.2</c:v>
                </c:pt>
                <c:pt idx="20">
                  <c:v>201</c:v>
                </c:pt>
                <c:pt idx="21">
                  <c:v>291.7</c:v>
                </c:pt>
                <c:pt idx="23">
                  <c:v>267.3</c:v>
                </c:pt>
                <c:pt idx="24">
                  <c:v>298</c:v>
                </c:pt>
                <c:pt idx="25">
                  <c:v>342.7</c:v>
                </c:pt>
                <c:pt idx="26">
                  <c:v>343</c:v>
                </c:pt>
              </c:numCache>
            </c:numRef>
          </c:yVal>
          <c:smooth val="0"/>
          <c:extLst>
            <c:ext xmlns:c16="http://schemas.microsoft.com/office/drawing/2014/chart" uri="{C3380CC4-5D6E-409C-BE32-E72D297353CC}">
              <c16:uniqueId val="{00000012-A5C2-4E88-858D-B5DDD32B4F74}"/>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Summary!$AE$17:$BG$17</c:f>
              <c:numCache>
                <c:formatCode>General</c:formatCode>
                <c:ptCount val="29"/>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pt idx="14">
                  <c:v>1200</c:v>
                </c:pt>
                <c:pt idx="15">
                  <c:v>1200</c:v>
                </c:pt>
                <c:pt idx="16">
                  <c:v>1200</c:v>
                </c:pt>
                <c:pt idx="17">
                  <c:v>1200</c:v>
                </c:pt>
                <c:pt idx="18">
                  <c:v>1300</c:v>
                </c:pt>
                <c:pt idx="19">
                  <c:v>2000</c:v>
                </c:pt>
                <c:pt idx="20">
                  <c:v>2000</c:v>
                </c:pt>
                <c:pt idx="21">
                  <c:v>2100</c:v>
                </c:pt>
                <c:pt idx="22">
                  <c:v>2100</c:v>
                </c:pt>
                <c:pt idx="23">
                  <c:v>2000</c:v>
                </c:pt>
                <c:pt idx="24">
                  <c:v>2000</c:v>
                </c:pt>
                <c:pt idx="25">
                  <c:v>2000</c:v>
                </c:pt>
                <c:pt idx="26">
                  <c:v>2000</c:v>
                </c:pt>
                <c:pt idx="27">
                  <c:v>2000</c:v>
                </c:pt>
                <c:pt idx="28">
                  <c:v>2100</c:v>
                </c:pt>
              </c:numCache>
            </c:numRef>
          </c:xVal>
          <c:yVal>
            <c:numRef>
              <c:f>Summary!$AE$110:$BG$110</c:f>
              <c:numCache>
                <c:formatCode>General</c:formatCode>
                <c:ptCount val="29"/>
                <c:pt idx="6">
                  <c:v>286</c:v>
                </c:pt>
                <c:pt idx="7">
                  <c:v>271</c:v>
                </c:pt>
                <c:pt idx="8">
                  <c:v>27.6</c:v>
                </c:pt>
                <c:pt idx="9">
                  <c:v>27.6</c:v>
                </c:pt>
                <c:pt idx="13">
                  <c:v>233.5</c:v>
                </c:pt>
                <c:pt idx="14">
                  <c:v>242</c:v>
                </c:pt>
                <c:pt idx="15">
                  <c:v>264.5</c:v>
                </c:pt>
                <c:pt idx="16">
                  <c:v>277</c:v>
                </c:pt>
                <c:pt idx="17">
                  <c:v>264.5</c:v>
                </c:pt>
                <c:pt idx="18">
                  <c:v>232</c:v>
                </c:pt>
                <c:pt idx="19">
                  <c:v>286.79999999999995</c:v>
                </c:pt>
                <c:pt idx="20">
                  <c:v>266.89999999999998</c:v>
                </c:pt>
                <c:pt idx="21">
                  <c:v>247</c:v>
                </c:pt>
                <c:pt idx="22">
                  <c:v>255.3</c:v>
                </c:pt>
                <c:pt idx="23">
                  <c:v>458.5</c:v>
                </c:pt>
                <c:pt idx="24">
                  <c:v>429.9</c:v>
                </c:pt>
                <c:pt idx="25">
                  <c:v>467.5</c:v>
                </c:pt>
                <c:pt idx="26">
                  <c:v>445</c:v>
                </c:pt>
                <c:pt idx="27">
                  <c:v>444</c:v>
                </c:pt>
                <c:pt idx="28">
                  <c:v>227</c:v>
                </c:pt>
              </c:numCache>
            </c:numRef>
          </c:yVal>
          <c:smooth val="0"/>
          <c:extLst>
            <c:ext xmlns:c16="http://schemas.microsoft.com/office/drawing/2014/chart" uri="{C3380CC4-5D6E-409C-BE32-E72D297353CC}">
              <c16:uniqueId val="{00000029-A5C2-4E88-858D-B5DDD32B4F74}"/>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Summary!$BI$17:$BP$17</c:f>
              <c:numCache>
                <c:formatCode>General</c:formatCode>
                <c:ptCount val="8"/>
                <c:pt idx="0">
                  <c:v>825</c:v>
                </c:pt>
                <c:pt idx="1">
                  <c:v>1300</c:v>
                </c:pt>
                <c:pt idx="2">
                  <c:v>1700</c:v>
                </c:pt>
                <c:pt idx="3">
                  <c:v>2700</c:v>
                </c:pt>
                <c:pt idx="4">
                  <c:v>1900</c:v>
                </c:pt>
                <c:pt idx="5">
                  <c:v>2500</c:v>
                </c:pt>
                <c:pt idx="7">
                  <c:v>1900</c:v>
                </c:pt>
              </c:numCache>
            </c:numRef>
          </c:xVal>
          <c:yVal>
            <c:numRef>
              <c:f>Summary!$BI$110:$BP$110</c:f>
              <c:numCache>
                <c:formatCode>General</c:formatCode>
                <c:ptCount val="8"/>
                <c:pt idx="0">
                  <c:v>204</c:v>
                </c:pt>
                <c:pt idx="1">
                  <c:v>361</c:v>
                </c:pt>
                <c:pt idx="2">
                  <c:v>565.70000000000005</c:v>
                </c:pt>
                <c:pt idx="3">
                  <c:v>342</c:v>
                </c:pt>
                <c:pt idx="4">
                  <c:v>501</c:v>
                </c:pt>
                <c:pt idx="5">
                  <c:v>324</c:v>
                </c:pt>
                <c:pt idx="7">
                  <c:v>377</c:v>
                </c:pt>
              </c:numCache>
            </c:numRef>
          </c:yVal>
          <c:smooth val="0"/>
          <c:extLst>
            <c:ext xmlns:c16="http://schemas.microsoft.com/office/drawing/2014/chart" uri="{C3380CC4-5D6E-409C-BE32-E72D297353CC}">
              <c16:uniqueId val="{0000002A-A5C2-4E88-858D-B5DDD32B4F74}"/>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Summary!$BR$17:$CA$17</c:f>
              <c:numCache>
                <c:formatCode>General</c:formatCode>
                <c:ptCount val="10"/>
                <c:pt idx="0">
                  <c:v>175</c:v>
                </c:pt>
                <c:pt idx="1">
                  <c:v>132</c:v>
                </c:pt>
                <c:pt idx="2">
                  <c:v>440</c:v>
                </c:pt>
                <c:pt idx="3">
                  <c:v>400</c:v>
                </c:pt>
                <c:pt idx="4">
                  <c:v>450</c:v>
                </c:pt>
                <c:pt idx="5">
                  <c:v>450</c:v>
                </c:pt>
                <c:pt idx="6">
                  <c:v>600</c:v>
                </c:pt>
                <c:pt idx="7">
                  <c:v>600</c:v>
                </c:pt>
                <c:pt idx="8">
                  <c:v>600</c:v>
                </c:pt>
                <c:pt idx="9">
                  <c:v>220</c:v>
                </c:pt>
              </c:numCache>
            </c:numRef>
          </c:xVal>
          <c:yVal>
            <c:numRef>
              <c:f>Summary!$BR$110:$CA$110</c:f>
              <c:numCache>
                <c:formatCode>General</c:formatCode>
                <c:ptCount val="10"/>
                <c:pt idx="0">
                  <c:v>43</c:v>
                </c:pt>
                <c:pt idx="1">
                  <c:v>28</c:v>
                </c:pt>
                <c:pt idx="2">
                  <c:v>29</c:v>
                </c:pt>
                <c:pt idx="3">
                  <c:v>107</c:v>
                </c:pt>
                <c:pt idx="4">
                  <c:v>33.11</c:v>
                </c:pt>
                <c:pt idx="5">
                  <c:v>25</c:v>
                </c:pt>
                <c:pt idx="6">
                  <c:v>117</c:v>
                </c:pt>
                <c:pt idx="7">
                  <c:v>123</c:v>
                </c:pt>
                <c:pt idx="8">
                  <c:v>126</c:v>
                </c:pt>
                <c:pt idx="9">
                  <c:v>55</c:v>
                </c:pt>
              </c:numCache>
            </c:numRef>
          </c:yVal>
          <c:smooth val="0"/>
          <c:extLst>
            <c:ext xmlns:c16="http://schemas.microsoft.com/office/drawing/2014/chart" uri="{C3380CC4-5D6E-409C-BE32-E72D297353CC}">
              <c16:uniqueId val="{0000002B-A5C2-4E88-858D-B5DDD32B4F74}"/>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Take Off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Fuel Oil </a:t>
            </a:r>
            <a:r>
              <a:rPr lang="en-US" baseline="0"/>
              <a:t>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Summary!$C$132:$S$132</c:f>
              <c:numCache>
                <c:formatCode>General</c:formatCode>
                <c:ptCount val="17"/>
                <c:pt idx="0">
                  <c:v>330</c:v>
                </c:pt>
                <c:pt idx="1">
                  <c:v>660</c:v>
                </c:pt>
                <c:pt idx="2">
                  <c:v>630</c:v>
                </c:pt>
                <c:pt idx="3">
                  <c:v>630</c:v>
                </c:pt>
                <c:pt idx="4">
                  <c:v>630</c:v>
                </c:pt>
                <c:pt idx="6">
                  <c:v>888</c:v>
                </c:pt>
                <c:pt idx="12">
                  <c:v>1830</c:v>
                </c:pt>
                <c:pt idx="16">
                  <c:v>1614</c:v>
                </c:pt>
              </c:numCache>
            </c:numRef>
          </c:xVal>
          <c:yVal>
            <c:numRef>
              <c:f>Summary!$C$110:$S$110</c:f>
              <c:numCache>
                <c:formatCode>General</c:formatCode>
                <c:ptCount val="17"/>
                <c:pt idx="0">
                  <c:v>80</c:v>
                </c:pt>
                <c:pt idx="1">
                  <c:v>25</c:v>
                </c:pt>
                <c:pt idx="2">
                  <c:v>154</c:v>
                </c:pt>
                <c:pt idx="5">
                  <c:v>425</c:v>
                </c:pt>
                <c:pt idx="6">
                  <c:v>418</c:v>
                </c:pt>
                <c:pt idx="7">
                  <c:v>437</c:v>
                </c:pt>
                <c:pt idx="8">
                  <c:v>425</c:v>
                </c:pt>
                <c:pt idx="9">
                  <c:v>322</c:v>
                </c:pt>
                <c:pt idx="10">
                  <c:v>428</c:v>
                </c:pt>
                <c:pt idx="12">
                  <c:v>309</c:v>
                </c:pt>
                <c:pt idx="13">
                  <c:v>332.3</c:v>
                </c:pt>
                <c:pt idx="14">
                  <c:v>422.2</c:v>
                </c:pt>
                <c:pt idx="15">
                  <c:v>320</c:v>
                </c:pt>
                <c:pt idx="16">
                  <c:v>363</c:v>
                </c:pt>
              </c:numCache>
            </c:numRef>
          </c:yVal>
          <c:smooth val="0"/>
          <c:extLst>
            <c:ext xmlns:c16="http://schemas.microsoft.com/office/drawing/2014/chart" uri="{C3380CC4-5D6E-409C-BE32-E72D297353CC}">
              <c16:uniqueId val="{00000000-1FD9-4BB8-AFA7-9750E71E4964}"/>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Summary!$AE$132:$BG$132</c:f>
              <c:numCache>
                <c:formatCode>General</c:formatCode>
                <c:ptCount val="29"/>
                <c:pt idx="0">
                  <c:v>660</c:v>
                </c:pt>
                <c:pt idx="1">
                  <c:v>660</c:v>
                </c:pt>
                <c:pt idx="2">
                  <c:v>660</c:v>
                </c:pt>
                <c:pt idx="3">
                  <c:v>660</c:v>
                </c:pt>
                <c:pt idx="4">
                  <c:v>660</c:v>
                </c:pt>
                <c:pt idx="5">
                  <c:v>660</c:v>
                </c:pt>
                <c:pt idx="7">
                  <c:v>960</c:v>
                </c:pt>
                <c:pt idx="9">
                  <c:v>660</c:v>
                </c:pt>
                <c:pt idx="10">
                  <c:v>660</c:v>
                </c:pt>
                <c:pt idx="11">
                  <c:v>660</c:v>
                </c:pt>
                <c:pt idx="12">
                  <c:v>660</c:v>
                </c:pt>
                <c:pt idx="14">
                  <c:v>660</c:v>
                </c:pt>
                <c:pt idx="16">
                  <c:v>864</c:v>
                </c:pt>
                <c:pt idx="17">
                  <c:v>660</c:v>
                </c:pt>
                <c:pt idx="19">
                  <c:v>1068</c:v>
                </c:pt>
                <c:pt idx="20">
                  <c:v>1068</c:v>
                </c:pt>
                <c:pt idx="21">
                  <c:v>1404</c:v>
                </c:pt>
                <c:pt idx="22">
                  <c:v>1404</c:v>
                </c:pt>
                <c:pt idx="24">
                  <c:v>1092</c:v>
                </c:pt>
                <c:pt idx="26">
                  <c:v>1500</c:v>
                </c:pt>
                <c:pt idx="27">
                  <c:v>1500</c:v>
                </c:pt>
                <c:pt idx="28">
                  <c:v>1110</c:v>
                </c:pt>
              </c:numCache>
            </c:numRef>
          </c:xVal>
          <c:yVal>
            <c:numRef>
              <c:f>Summary!$AE$110:$BG$110</c:f>
              <c:numCache>
                <c:formatCode>General</c:formatCode>
                <c:ptCount val="29"/>
                <c:pt idx="6">
                  <c:v>286</c:v>
                </c:pt>
                <c:pt idx="7">
                  <c:v>271</c:v>
                </c:pt>
                <c:pt idx="8">
                  <c:v>27.6</c:v>
                </c:pt>
                <c:pt idx="9">
                  <c:v>27.6</c:v>
                </c:pt>
                <c:pt idx="13">
                  <c:v>233.5</c:v>
                </c:pt>
                <c:pt idx="14">
                  <c:v>242</c:v>
                </c:pt>
                <c:pt idx="15">
                  <c:v>264.5</c:v>
                </c:pt>
                <c:pt idx="16">
                  <c:v>277</c:v>
                </c:pt>
                <c:pt idx="17">
                  <c:v>264.5</c:v>
                </c:pt>
                <c:pt idx="18">
                  <c:v>232</c:v>
                </c:pt>
                <c:pt idx="19">
                  <c:v>286.79999999999995</c:v>
                </c:pt>
                <c:pt idx="20">
                  <c:v>266.89999999999998</c:v>
                </c:pt>
                <c:pt idx="21">
                  <c:v>247</c:v>
                </c:pt>
                <c:pt idx="22">
                  <c:v>255.3</c:v>
                </c:pt>
                <c:pt idx="23">
                  <c:v>458.5</c:v>
                </c:pt>
                <c:pt idx="24">
                  <c:v>429.9</c:v>
                </c:pt>
                <c:pt idx="25">
                  <c:v>467.5</c:v>
                </c:pt>
                <c:pt idx="26">
                  <c:v>445</c:v>
                </c:pt>
                <c:pt idx="27">
                  <c:v>444</c:v>
                </c:pt>
                <c:pt idx="28">
                  <c:v>227</c:v>
                </c:pt>
              </c:numCache>
            </c:numRef>
          </c:yVal>
          <c:smooth val="0"/>
          <c:extLst>
            <c:ext xmlns:c16="http://schemas.microsoft.com/office/drawing/2014/chart" uri="{C3380CC4-5D6E-409C-BE32-E72D297353CC}">
              <c16:uniqueId val="{00000001-1FD9-4BB8-AFA7-9750E71E4964}"/>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Summary!$BI$132:$BP$132</c:f>
              <c:numCache>
                <c:formatCode>General</c:formatCode>
                <c:ptCount val="8"/>
                <c:pt idx="0">
                  <c:v>907</c:v>
                </c:pt>
                <c:pt idx="1">
                  <c:v>1704</c:v>
                </c:pt>
                <c:pt idx="3">
                  <c:v>2280</c:v>
                </c:pt>
                <c:pt idx="4">
                  <c:v>2130</c:v>
                </c:pt>
                <c:pt idx="5">
                  <c:v>2100</c:v>
                </c:pt>
                <c:pt idx="7">
                  <c:v>2010</c:v>
                </c:pt>
              </c:numCache>
            </c:numRef>
          </c:xVal>
          <c:yVal>
            <c:numRef>
              <c:f>Summary!$BI$110:$BP$110</c:f>
              <c:numCache>
                <c:formatCode>General</c:formatCode>
                <c:ptCount val="8"/>
                <c:pt idx="0">
                  <c:v>204</c:v>
                </c:pt>
                <c:pt idx="1">
                  <c:v>361</c:v>
                </c:pt>
                <c:pt idx="2">
                  <c:v>565.70000000000005</c:v>
                </c:pt>
                <c:pt idx="3">
                  <c:v>342</c:v>
                </c:pt>
                <c:pt idx="4">
                  <c:v>501</c:v>
                </c:pt>
                <c:pt idx="5">
                  <c:v>324</c:v>
                </c:pt>
                <c:pt idx="7">
                  <c:v>377</c:v>
                </c:pt>
              </c:numCache>
            </c:numRef>
          </c:yVal>
          <c:smooth val="0"/>
          <c:extLst>
            <c:ext xmlns:c16="http://schemas.microsoft.com/office/drawing/2014/chart" uri="{C3380CC4-5D6E-409C-BE32-E72D297353CC}">
              <c16:uniqueId val="{00000002-1FD9-4BB8-AFA7-9750E71E4964}"/>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Summary!$BR$132:$CA$132</c:f>
              <c:numCache>
                <c:formatCode>General</c:formatCode>
                <c:ptCount val="10"/>
                <c:pt idx="0">
                  <c:v>270</c:v>
                </c:pt>
                <c:pt idx="1">
                  <c:v>144</c:v>
                </c:pt>
                <c:pt idx="2">
                  <c:v>600</c:v>
                </c:pt>
                <c:pt idx="3">
                  <c:v>624</c:v>
                </c:pt>
                <c:pt idx="4">
                  <c:v>720</c:v>
                </c:pt>
                <c:pt idx="5">
                  <c:v>552</c:v>
                </c:pt>
                <c:pt idx="6">
                  <c:v>666</c:v>
                </c:pt>
                <c:pt idx="7">
                  <c:v>666</c:v>
                </c:pt>
                <c:pt idx="8">
                  <c:v>666</c:v>
                </c:pt>
                <c:pt idx="9">
                  <c:v>255</c:v>
                </c:pt>
              </c:numCache>
            </c:numRef>
          </c:xVal>
          <c:yVal>
            <c:numRef>
              <c:f>Summary!$BR$110:$CA$110</c:f>
              <c:numCache>
                <c:formatCode>General</c:formatCode>
                <c:ptCount val="10"/>
                <c:pt idx="0">
                  <c:v>43</c:v>
                </c:pt>
                <c:pt idx="1">
                  <c:v>28</c:v>
                </c:pt>
                <c:pt idx="2">
                  <c:v>29</c:v>
                </c:pt>
                <c:pt idx="3">
                  <c:v>107</c:v>
                </c:pt>
                <c:pt idx="4">
                  <c:v>33.11</c:v>
                </c:pt>
                <c:pt idx="5">
                  <c:v>25</c:v>
                </c:pt>
                <c:pt idx="6">
                  <c:v>117</c:v>
                </c:pt>
                <c:pt idx="7">
                  <c:v>123</c:v>
                </c:pt>
                <c:pt idx="8">
                  <c:v>126</c:v>
                </c:pt>
                <c:pt idx="9">
                  <c:v>55</c:v>
                </c:pt>
              </c:numCache>
            </c:numRef>
          </c:yVal>
          <c:smooth val="0"/>
          <c:extLst>
            <c:ext xmlns:c16="http://schemas.microsoft.com/office/drawing/2014/chart" uri="{C3380CC4-5D6E-409C-BE32-E72D297353CC}">
              <c16:uniqueId val="{00000003-1FD9-4BB8-AFA7-9750E71E4964}"/>
            </c:ext>
          </c:extLst>
        </c:ser>
        <c:dLbls>
          <c:showLegendKey val="0"/>
          <c:showVal val="0"/>
          <c:showCatName val="0"/>
          <c:showSerName val="0"/>
          <c:showPercent val="0"/>
          <c:showBubbleSize val="0"/>
        </c:dLbls>
        <c:axId val="642505167"/>
        <c:axId val="649103391"/>
      </c:scatterChart>
      <c:valAx>
        <c:axId val="642505167"/>
        <c:scaling>
          <c:logBase val="10"/>
          <c:orientation val="minMax"/>
          <c:min val="1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Fuel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logBase val="10"/>
          <c:orientation val="minMax"/>
          <c:min val="1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Fuel Oil </a:t>
            </a:r>
            <a:r>
              <a:rPr lang="en-US" baseline="0"/>
              <a:t>System  </a:t>
            </a:r>
            <a:r>
              <a:rPr lang="en-US"/>
              <a:t>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Summary!$C$53:$S$53</c:f>
              <c:numCache>
                <c:formatCode>General</c:formatCode>
                <c:ptCount val="17"/>
                <c:pt idx="2">
                  <c:v>163</c:v>
                </c:pt>
                <c:pt idx="3">
                  <c:v>163</c:v>
                </c:pt>
                <c:pt idx="4">
                  <c:v>163</c:v>
                </c:pt>
                <c:pt idx="5">
                  <c:v>143</c:v>
                </c:pt>
                <c:pt idx="6">
                  <c:v>144</c:v>
                </c:pt>
                <c:pt idx="7">
                  <c:v>145</c:v>
                </c:pt>
                <c:pt idx="8">
                  <c:v>146</c:v>
                </c:pt>
                <c:pt idx="9">
                  <c:v>147</c:v>
                </c:pt>
                <c:pt idx="10">
                  <c:v>148</c:v>
                </c:pt>
                <c:pt idx="11">
                  <c:v>154</c:v>
                </c:pt>
                <c:pt idx="16">
                  <c:v>269.8</c:v>
                </c:pt>
              </c:numCache>
            </c:numRef>
          </c:xVal>
          <c:yVal>
            <c:numRef>
              <c:f>Summary!$C$110:$S$110</c:f>
              <c:numCache>
                <c:formatCode>General</c:formatCode>
                <c:ptCount val="17"/>
                <c:pt idx="0">
                  <c:v>80</c:v>
                </c:pt>
                <c:pt idx="1">
                  <c:v>25</c:v>
                </c:pt>
                <c:pt idx="2">
                  <c:v>154</c:v>
                </c:pt>
                <c:pt idx="5">
                  <c:v>425</c:v>
                </c:pt>
                <c:pt idx="6">
                  <c:v>418</c:v>
                </c:pt>
                <c:pt idx="7">
                  <c:v>437</c:v>
                </c:pt>
                <c:pt idx="8">
                  <c:v>425</c:v>
                </c:pt>
                <c:pt idx="9">
                  <c:v>322</c:v>
                </c:pt>
                <c:pt idx="10">
                  <c:v>428</c:v>
                </c:pt>
                <c:pt idx="12">
                  <c:v>309</c:v>
                </c:pt>
                <c:pt idx="13">
                  <c:v>332.3</c:v>
                </c:pt>
                <c:pt idx="14">
                  <c:v>422.2</c:v>
                </c:pt>
                <c:pt idx="15">
                  <c:v>320</c:v>
                </c:pt>
                <c:pt idx="16">
                  <c:v>363</c:v>
                </c:pt>
              </c:numCache>
            </c:numRef>
          </c:yVal>
          <c:smooth val="0"/>
          <c:extLst>
            <c:ext xmlns:c16="http://schemas.microsoft.com/office/drawing/2014/chart" uri="{C3380CC4-5D6E-409C-BE32-E72D297353CC}">
              <c16:uniqueId val="{00000000-C205-41EC-AD25-6413B372B954}"/>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Summary!$AE$53:$BG$53</c:f>
              <c:numCache>
                <c:formatCode>General</c:formatCode>
                <c:ptCount val="29"/>
                <c:pt idx="13">
                  <c:v>147</c:v>
                </c:pt>
                <c:pt idx="14">
                  <c:v>147</c:v>
                </c:pt>
                <c:pt idx="15">
                  <c:v>144</c:v>
                </c:pt>
                <c:pt idx="16">
                  <c:v>144</c:v>
                </c:pt>
                <c:pt idx="17">
                  <c:v>144</c:v>
                </c:pt>
                <c:pt idx="19">
                  <c:v>178</c:v>
                </c:pt>
                <c:pt idx="20">
                  <c:v>237</c:v>
                </c:pt>
                <c:pt idx="21">
                  <c:v>234</c:v>
                </c:pt>
                <c:pt idx="22">
                  <c:v>250</c:v>
                </c:pt>
                <c:pt idx="23">
                  <c:v>175</c:v>
                </c:pt>
                <c:pt idx="24">
                  <c:v>175</c:v>
                </c:pt>
                <c:pt idx="25">
                  <c:v>175</c:v>
                </c:pt>
                <c:pt idx="26">
                  <c:v>175</c:v>
                </c:pt>
                <c:pt idx="27">
                  <c:v>175</c:v>
                </c:pt>
                <c:pt idx="28">
                  <c:v>185</c:v>
                </c:pt>
              </c:numCache>
            </c:numRef>
          </c:xVal>
          <c:yVal>
            <c:numRef>
              <c:f>Summary!$AE$110:$BG$110</c:f>
              <c:numCache>
                <c:formatCode>General</c:formatCode>
                <c:ptCount val="29"/>
                <c:pt idx="6">
                  <c:v>286</c:v>
                </c:pt>
                <c:pt idx="7">
                  <c:v>271</c:v>
                </c:pt>
                <c:pt idx="8">
                  <c:v>27.6</c:v>
                </c:pt>
                <c:pt idx="9">
                  <c:v>27.6</c:v>
                </c:pt>
                <c:pt idx="13">
                  <c:v>233.5</c:v>
                </c:pt>
                <c:pt idx="14">
                  <c:v>242</c:v>
                </c:pt>
                <c:pt idx="15">
                  <c:v>264.5</c:v>
                </c:pt>
                <c:pt idx="16">
                  <c:v>277</c:v>
                </c:pt>
                <c:pt idx="17">
                  <c:v>264.5</c:v>
                </c:pt>
                <c:pt idx="18">
                  <c:v>232</c:v>
                </c:pt>
                <c:pt idx="19">
                  <c:v>286.79999999999995</c:v>
                </c:pt>
                <c:pt idx="20">
                  <c:v>266.89999999999998</c:v>
                </c:pt>
                <c:pt idx="21">
                  <c:v>247</c:v>
                </c:pt>
                <c:pt idx="22">
                  <c:v>255.3</c:v>
                </c:pt>
                <c:pt idx="23">
                  <c:v>458.5</c:v>
                </c:pt>
                <c:pt idx="24">
                  <c:v>429.9</c:v>
                </c:pt>
                <c:pt idx="25">
                  <c:v>467.5</c:v>
                </c:pt>
                <c:pt idx="26">
                  <c:v>445</c:v>
                </c:pt>
                <c:pt idx="27">
                  <c:v>444</c:v>
                </c:pt>
                <c:pt idx="28">
                  <c:v>227</c:v>
                </c:pt>
              </c:numCache>
            </c:numRef>
          </c:yVal>
          <c:smooth val="0"/>
          <c:extLst>
            <c:ext xmlns:c16="http://schemas.microsoft.com/office/drawing/2014/chart" uri="{C3380CC4-5D6E-409C-BE32-E72D297353CC}">
              <c16:uniqueId val="{00000001-C205-41EC-AD25-6413B372B954}"/>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Summary!$BI$53:$BP$53</c:f>
              <c:numCache>
                <c:formatCode>General</c:formatCode>
                <c:ptCount val="8"/>
                <c:pt idx="1">
                  <c:v>260</c:v>
                </c:pt>
                <c:pt idx="2">
                  <c:v>286</c:v>
                </c:pt>
              </c:numCache>
            </c:numRef>
          </c:xVal>
          <c:yVal>
            <c:numRef>
              <c:f>Summary!$BI$110:$BP$110</c:f>
              <c:numCache>
                <c:formatCode>General</c:formatCode>
                <c:ptCount val="8"/>
                <c:pt idx="0">
                  <c:v>204</c:v>
                </c:pt>
                <c:pt idx="1">
                  <c:v>361</c:v>
                </c:pt>
                <c:pt idx="2">
                  <c:v>565.70000000000005</c:v>
                </c:pt>
                <c:pt idx="3">
                  <c:v>342</c:v>
                </c:pt>
                <c:pt idx="4">
                  <c:v>501</c:v>
                </c:pt>
                <c:pt idx="5">
                  <c:v>324</c:v>
                </c:pt>
                <c:pt idx="7">
                  <c:v>377</c:v>
                </c:pt>
              </c:numCache>
            </c:numRef>
          </c:yVal>
          <c:smooth val="0"/>
          <c:extLst>
            <c:ext xmlns:c16="http://schemas.microsoft.com/office/drawing/2014/chart" uri="{C3380CC4-5D6E-409C-BE32-E72D297353CC}">
              <c16:uniqueId val="{00000002-C205-41EC-AD25-6413B372B954}"/>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Summary!$BR$53:$CA$53</c:f>
              <c:numCache>
                <c:formatCode>General</c:formatCode>
                <c:ptCount val="10"/>
                <c:pt idx="7">
                  <c:v>178</c:v>
                </c:pt>
                <c:pt idx="8">
                  <c:v>110.4</c:v>
                </c:pt>
              </c:numCache>
            </c:numRef>
          </c:xVal>
          <c:yVal>
            <c:numRef>
              <c:f>Summary!$BR$110:$CA$110</c:f>
              <c:numCache>
                <c:formatCode>General</c:formatCode>
                <c:ptCount val="10"/>
                <c:pt idx="0">
                  <c:v>43</c:v>
                </c:pt>
                <c:pt idx="1">
                  <c:v>28</c:v>
                </c:pt>
                <c:pt idx="2">
                  <c:v>29</c:v>
                </c:pt>
                <c:pt idx="3">
                  <c:v>107</c:v>
                </c:pt>
                <c:pt idx="4">
                  <c:v>33.11</c:v>
                </c:pt>
                <c:pt idx="5">
                  <c:v>25</c:v>
                </c:pt>
                <c:pt idx="6">
                  <c:v>117</c:v>
                </c:pt>
                <c:pt idx="7">
                  <c:v>123</c:v>
                </c:pt>
                <c:pt idx="8">
                  <c:v>126</c:v>
                </c:pt>
                <c:pt idx="9">
                  <c:v>55</c:v>
                </c:pt>
              </c:numCache>
            </c:numRef>
          </c:yVal>
          <c:smooth val="0"/>
          <c:extLst>
            <c:ext xmlns:c16="http://schemas.microsoft.com/office/drawing/2014/chart" uri="{C3380CC4-5D6E-409C-BE32-E72D297353CC}">
              <c16:uniqueId val="{00000003-C205-41EC-AD25-6413B372B954}"/>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Fuel Capacity (gal)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Total Structural Group</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1"/>
            <c:dispEq val="1"/>
            <c:trendlineLbl>
              <c:layout>
                <c:manualLayout>
                  <c:x val="-1.8720390200466831E-2"/>
                  <c:y val="-6.6327519772833285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Summary!$C$67:$CA$67</c:f>
              <c:numCache>
                <c:formatCode>General</c:formatCode>
                <c:ptCount val="77"/>
                <c:pt idx="0">
                  <c:v>998</c:v>
                </c:pt>
                <c:pt idx="1">
                  <c:v>2043</c:v>
                </c:pt>
                <c:pt idx="2">
                  <c:v>1923</c:v>
                </c:pt>
                <c:pt idx="3">
                  <c:v>2041</c:v>
                </c:pt>
                <c:pt idx="4">
                  <c:v>2062</c:v>
                </c:pt>
                <c:pt idx="5">
                  <c:v>2744</c:v>
                </c:pt>
                <c:pt idx="6">
                  <c:v>2550</c:v>
                </c:pt>
                <c:pt idx="7">
                  <c:v>2605</c:v>
                </c:pt>
                <c:pt idx="8">
                  <c:v>2578</c:v>
                </c:pt>
                <c:pt idx="9">
                  <c:v>2614</c:v>
                </c:pt>
                <c:pt idx="10">
                  <c:v>2580</c:v>
                </c:pt>
                <c:pt idx="11">
                  <c:v>2863</c:v>
                </c:pt>
                <c:pt idx="12">
                  <c:v>4613</c:v>
                </c:pt>
                <c:pt idx="13">
                  <c:v>4655.6000000000004</c:v>
                </c:pt>
                <c:pt idx="14">
                  <c:v>4631.3999999999996</c:v>
                </c:pt>
                <c:pt idx="15">
                  <c:v>2813</c:v>
                </c:pt>
                <c:pt idx="16">
                  <c:v>2693</c:v>
                </c:pt>
                <c:pt idx="17">
                  <c:v>1902</c:v>
                </c:pt>
                <c:pt idx="18">
                  <c:v>2185.5</c:v>
                </c:pt>
                <c:pt idx="19">
                  <c:v>1567.1999999999998</c:v>
                </c:pt>
                <c:pt idx="20">
                  <c:v>2157</c:v>
                </c:pt>
                <c:pt idx="21">
                  <c:v>1565</c:v>
                </c:pt>
                <c:pt idx="23">
                  <c:v>1558.8</c:v>
                </c:pt>
                <c:pt idx="24">
                  <c:v>2411</c:v>
                </c:pt>
                <c:pt idx="25">
                  <c:v>2547.4</c:v>
                </c:pt>
                <c:pt idx="26">
                  <c:v>2613</c:v>
                </c:pt>
                <c:pt idx="28">
                  <c:v>1757.84</c:v>
                </c:pt>
                <c:pt idx="29">
                  <c:v>1806.8000000000002</c:v>
                </c:pt>
                <c:pt idx="30">
                  <c:v>1803.5</c:v>
                </c:pt>
                <c:pt idx="32">
                  <c:v>1812.3000000000002</c:v>
                </c:pt>
                <c:pt idx="33">
                  <c:v>2038.6999999999998</c:v>
                </c:pt>
                <c:pt idx="34">
                  <c:v>1954</c:v>
                </c:pt>
                <c:pt idx="35">
                  <c:v>2057</c:v>
                </c:pt>
                <c:pt idx="36">
                  <c:v>1782.1999999999998</c:v>
                </c:pt>
                <c:pt idx="37">
                  <c:v>1802.5</c:v>
                </c:pt>
                <c:pt idx="38">
                  <c:v>1719.1</c:v>
                </c:pt>
                <c:pt idx="39">
                  <c:v>1953.7</c:v>
                </c:pt>
                <c:pt idx="40">
                  <c:v>1887.8</c:v>
                </c:pt>
                <c:pt idx="41">
                  <c:v>2207</c:v>
                </c:pt>
                <c:pt idx="42">
                  <c:v>2200</c:v>
                </c:pt>
                <c:pt idx="43">
                  <c:v>2532</c:v>
                </c:pt>
                <c:pt idx="44">
                  <c:v>2484</c:v>
                </c:pt>
                <c:pt idx="45">
                  <c:v>2561</c:v>
                </c:pt>
                <c:pt idx="46">
                  <c:v>2469</c:v>
                </c:pt>
                <c:pt idx="47">
                  <c:v>4067.0999999999995</c:v>
                </c:pt>
                <c:pt idx="48">
                  <c:v>4141.7000000000007</c:v>
                </c:pt>
                <c:pt idx="49">
                  <c:v>4238</c:v>
                </c:pt>
                <c:pt idx="50">
                  <c:v>4232.3</c:v>
                </c:pt>
                <c:pt idx="51">
                  <c:v>4094.7000000000003</c:v>
                </c:pt>
                <c:pt idx="52">
                  <c:v>4094.2</c:v>
                </c:pt>
                <c:pt idx="53">
                  <c:v>4181.5999999999995</c:v>
                </c:pt>
                <c:pt idx="54">
                  <c:v>4142</c:v>
                </c:pt>
                <c:pt idx="55">
                  <c:v>4189</c:v>
                </c:pt>
                <c:pt idx="56">
                  <c:v>2886</c:v>
                </c:pt>
                <c:pt idx="58">
                  <c:v>2403</c:v>
                </c:pt>
                <c:pt idx="59">
                  <c:v>2832</c:v>
                </c:pt>
                <c:pt idx="61">
                  <c:v>5641</c:v>
                </c:pt>
                <c:pt idx="62">
                  <c:v>5697</c:v>
                </c:pt>
                <c:pt idx="63">
                  <c:v>4746</c:v>
                </c:pt>
                <c:pt idx="65">
                  <c:v>5353</c:v>
                </c:pt>
                <c:pt idx="67">
                  <c:v>1030</c:v>
                </c:pt>
                <c:pt idx="68">
                  <c:v>695</c:v>
                </c:pt>
                <c:pt idx="69">
                  <c:v>1434</c:v>
                </c:pt>
                <c:pt idx="70">
                  <c:v>1621</c:v>
                </c:pt>
                <c:pt idx="71">
                  <c:v>1923.61</c:v>
                </c:pt>
                <c:pt idx="72">
                  <c:v>1630</c:v>
                </c:pt>
                <c:pt idx="73">
                  <c:v>1950</c:v>
                </c:pt>
                <c:pt idx="74">
                  <c:v>1995</c:v>
                </c:pt>
                <c:pt idx="75">
                  <c:v>1960</c:v>
                </c:pt>
                <c:pt idx="76">
                  <c:v>1051</c:v>
                </c:pt>
              </c:numCache>
            </c:numRef>
          </c:yVal>
          <c:smooth val="0"/>
          <c:extLst>
            <c:ext xmlns:c16="http://schemas.microsoft.com/office/drawing/2014/chart" uri="{C3380CC4-5D6E-409C-BE32-E72D297353CC}">
              <c16:uniqueId val="{00000000-1F45-48D1-8C2C-23CF3DB84DB3}"/>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Summary!$C$67:$S$67</c:f>
              <c:numCache>
                <c:formatCode>General</c:formatCode>
                <c:ptCount val="17"/>
                <c:pt idx="0">
                  <c:v>998</c:v>
                </c:pt>
                <c:pt idx="1">
                  <c:v>2043</c:v>
                </c:pt>
                <c:pt idx="2">
                  <c:v>1923</c:v>
                </c:pt>
                <c:pt idx="3">
                  <c:v>2041</c:v>
                </c:pt>
                <c:pt idx="4">
                  <c:v>2062</c:v>
                </c:pt>
                <c:pt idx="5">
                  <c:v>2744</c:v>
                </c:pt>
                <c:pt idx="6">
                  <c:v>2550</c:v>
                </c:pt>
                <c:pt idx="7">
                  <c:v>2605</c:v>
                </c:pt>
                <c:pt idx="8">
                  <c:v>2578</c:v>
                </c:pt>
                <c:pt idx="9">
                  <c:v>2614</c:v>
                </c:pt>
                <c:pt idx="10">
                  <c:v>2580</c:v>
                </c:pt>
                <c:pt idx="11">
                  <c:v>2863</c:v>
                </c:pt>
                <c:pt idx="12">
                  <c:v>4613</c:v>
                </c:pt>
                <c:pt idx="13">
                  <c:v>4655.6000000000004</c:v>
                </c:pt>
                <c:pt idx="14">
                  <c:v>4631.3999999999996</c:v>
                </c:pt>
                <c:pt idx="15">
                  <c:v>2813</c:v>
                </c:pt>
                <c:pt idx="16">
                  <c:v>2693</c:v>
                </c:pt>
              </c:numCache>
            </c:numRef>
          </c:yVal>
          <c:smooth val="0"/>
          <c:extLst>
            <c:ext xmlns:c16="http://schemas.microsoft.com/office/drawing/2014/chart" uri="{C3380CC4-5D6E-409C-BE32-E72D297353CC}">
              <c16:uniqueId val="{00000000-3435-4B67-B785-14C1355C7470}"/>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Summary!$AE$67:$BG$67</c:f>
              <c:numCache>
                <c:formatCode>General</c:formatCode>
                <c:ptCount val="29"/>
                <c:pt idx="0">
                  <c:v>1757.84</c:v>
                </c:pt>
                <c:pt idx="1">
                  <c:v>1806.8000000000002</c:v>
                </c:pt>
                <c:pt idx="2">
                  <c:v>1803.5</c:v>
                </c:pt>
                <c:pt idx="4">
                  <c:v>1812.3000000000002</c:v>
                </c:pt>
                <c:pt idx="5">
                  <c:v>2038.6999999999998</c:v>
                </c:pt>
                <c:pt idx="6">
                  <c:v>1954</c:v>
                </c:pt>
                <c:pt idx="7">
                  <c:v>2057</c:v>
                </c:pt>
                <c:pt idx="8">
                  <c:v>1782.1999999999998</c:v>
                </c:pt>
                <c:pt idx="9">
                  <c:v>1802.5</c:v>
                </c:pt>
                <c:pt idx="10">
                  <c:v>1719.1</c:v>
                </c:pt>
                <c:pt idx="11">
                  <c:v>1953.7</c:v>
                </c:pt>
                <c:pt idx="12">
                  <c:v>1887.8</c:v>
                </c:pt>
                <c:pt idx="13">
                  <c:v>2207</c:v>
                </c:pt>
                <c:pt idx="14">
                  <c:v>2200</c:v>
                </c:pt>
                <c:pt idx="15">
                  <c:v>2532</c:v>
                </c:pt>
                <c:pt idx="16">
                  <c:v>2484</c:v>
                </c:pt>
                <c:pt idx="17">
                  <c:v>2561</c:v>
                </c:pt>
                <c:pt idx="18">
                  <c:v>2469</c:v>
                </c:pt>
                <c:pt idx="19">
                  <c:v>4067.0999999999995</c:v>
                </c:pt>
                <c:pt idx="20">
                  <c:v>4141.7000000000007</c:v>
                </c:pt>
                <c:pt idx="21">
                  <c:v>4238</c:v>
                </c:pt>
                <c:pt idx="22">
                  <c:v>4232.3</c:v>
                </c:pt>
                <c:pt idx="23">
                  <c:v>4094.7000000000003</c:v>
                </c:pt>
                <c:pt idx="24">
                  <c:v>4094.2</c:v>
                </c:pt>
                <c:pt idx="25">
                  <c:v>4181.5999999999995</c:v>
                </c:pt>
                <c:pt idx="26">
                  <c:v>4142</c:v>
                </c:pt>
                <c:pt idx="27">
                  <c:v>4189</c:v>
                </c:pt>
                <c:pt idx="28">
                  <c:v>2886</c:v>
                </c:pt>
              </c:numCache>
            </c:numRef>
          </c:yVal>
          <c:smooth val="0"/>
          <c:extLst>
            <c:ext xmlns:c16="http://schemas.microsoft.com/office/drawing/2014/chart" uri="{C3380CC4-5D6E-409C-BE32-E72D297353CC}">
              <c16:uniqueId val="{00000001-3435-4B67-B785-14C1355C7470}"/>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Summary!$BI$67:$BP$67</c:f>
              <c:numCache>
                <c:formatCode>General</c:formatCode>
                <c:ptCount val="8"/>
                <c:pt idx="0">
                  <c:v>2403</c:v>
                </c:pt>
                <c:pt idx="1">
                  <c:v>2832</c:v>
                </c:pt>
                <c:pt idx="3">
                  <c:v>5641</c:v>
                </c:pt>
                <c:pt idx="4">
                  <c:v>5697</c:v>
                </c:pt>
                <c:pt idx="5">
                  <c:v>4746</c:v>
                </c:pt>
                <c:pt idx="7">
                  <c:v>5353</c:v>
                </c:pt>
              </c:numCache>
            </c:numRef>
          </c:yVal>
          <c:smooth val="0"/>
          <c:extLst>
            <c:ext xmlns:c16="http://schemas.microsoft.com/office/drawing/2014/chart" uri="{C3380CC4-5D6E-409C-BE32-E72D297353CC}">
              <c16:uniqueId val="{00000002-3435-4B67-B785-14C1355C7470}"/>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Summary!$BR$67:$CA$67</c:f>
              <c:numCache>
                <c:formatCode>General</c:formatCode>
                <c:ptCount val="10"/>
                <c:pt idx="0">
                  <c:v>1030</c:v>
                </c:pt>
                <c:pt idx="1">
                  <c:v>695</c:v>
                </c:pt>
                <c:pt idx="2">
                  <c:v>1434</c:v>
                </c:pt>
                <c:pt idx="3">
                  <c:v>1621</c:v>
                </c:pt>
                <c:pt idx="4">
                  <c:v>1923.61</c:v>
                </c:pt>
                <c:pt idx="5">
                  <c:v>1630</c:v>
                </c:pt>
                <c:pt idx="6">
                  <c:v>1950</c:v>
                </c:pt>
                <c:pt idx="7">
                  <c:v>1995</c:v>
                </c:pt>
                <c:pt idx="8">
                  <c:v>1960</c:v>
                </c:pt>
                <c:pt idx="9">
                  <c:v>1051</c:v>
                </c:pt>
              </c:numCache>
            </c:numRef>
          </c:yVal>
          <c:smooth val="0"/>
          <c:extLst>
            <c:ext xmlns:c16="http://schemas.microsoft.com/office/drawing/2014/chart" uri="{C3380CC4-5D6E-409C-BE32-E72D297353CC}">
              <c16:uniqueId val="{00000003-3435-4B67-B785-14C1355C7470}"/>
            </c:ext>
          </c:extLst>
        </c:ser>
        <c:dLbls>
          <c:showLegendKey val="0"/>
          <c:showVal val="0"/>
          <c:showCatName val="0"/>
          <c:showSerName val="0"/>
          <c:showPercent val="0"/>
          <c:showBubbleSize val="0"/>
        </c:dLbls>
        <c:axId val="642505167"/>
        <c:axId val="649103391"/>
      </c:scatterChart>
      <c:valAx>
        <c:axId val="642505167"/>
        <c:scaling>
          <c:orientation val="minMax"/>
          <c:min val="2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Body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Summary!$C$48:$S$48</c:f>
              <c:numCache>
                <c:formatCode>0.0</c:formatCode>
                <c:ptCount val="17"/>
                <c:pt idx="0" formatCode="0.00">
                  <c:v>22.813333333333333</c:v>
                </c:pt>
                <c:pt idx="1">
                  <c:v>24.150000000000002</c:v>
                </c:pt>
                <c:pt idx="2" formatCode="General">
                  <c:v>26.799999999999997</c:v>
                </c:pt>
                <c:pt idx="5">
                  <c:v>31.616666666666664</c:v>
                </c:pt>
                <c:pt idx="6">
                  <c:v>31.616666666666664</c:v>
                </c:pt>
                <c:pt idx="7">
                  <c:v>31.616666666666664</c:v>
                </c:pt>
                <c:pt idx="8" formatCode="0.00">
                  <c:v>33.309895833333336</c:v>
                </c:pt>
                <c:pt idx="9" formatCode="0.00">
                  <c:v>33.309895833333336</c:v>
                </c:pt>
                <c:pt idx="10" formatCode="0.00">
                  <c:v>33.309895833333336</c:v>
                </c:pt>
                <c:pt idx="11" formatCode="0.00">
                  <c:v>33.3125</c:v>
                </c:pt>
                <c:pt idx="12" formatCode="0.00">
                  <c:v>33.43333333333333</c:v>
                </c:pt>
                <c:pt idx="13" formatCode="0.00">
                  <c:v>33.43333333333333</c:v>
                </c:pt>
                <c:pt idx="14" formatCode="0.00">
                  <c:v>33.43333333333333</c:v>
                </c:pt>
              </c:numCache>
            </c:numRef>
          </c:xVal>
          <c:yVal>
            <c:numRef>
              <c:f>Summary!$C$83:$S$83</c:f>
              <c:numCache>
                <c:formatCode>General</c:formatCode>
                <c:ptCount val="17"/>
                <c:pt idx="0">
                  <c:v>261</c:v>
                </c:pt>
                <c:pt idx="1">
                  <c:v>669</c:v>
                </c:pt>
                <c:pt idx="2">
                  <c:v>470</c:v>
                </c:pt>
                <c:pt idx="3">
                  <c:v>515</c:v>
                </c:pt>
                <c:pt idx="4">
                  <c:v>543</c:v>
                </c:pt>
                <c:pt idx="5">
                  <c:v>794</c:v>
                </c:pt>
                <c:pt idx="6">
                  <c:v>792</c:v>
                </c:pt>
                <c:pt idx="7">
                  <c:v>767</c:v>
                </c:pt>
                <c:pt idx="8">
                  <c:v>784</c:v>
                </c:pt>
                <c:pt idx="9">
                  <c:v>787</c:v>
                </c:pt>
                <c:pt idx="10">
                  <c:v>779</c:v>
                </c:pt>
                <c:pt idx="11">
                  <c:v>759</c:v>
                </c:pt>
                <c:pt idx="12">
                  <c:v>1539</c:v>
                </c:pt>
                <c:pt idx="13">
                  <c:v>1822.5</c:v>
                </c:pt>
                <c:pt idx="14">
                  <c:v>1808.5</c:v>
                </c:pt>
                <c:pt idx="15">
                  <c:v>783</c:v>
                </c:pt>
                <c:pt idx="16">
                  <c:v>725</c:v>
                </c:pt>
              </c:numCache>
            </c:numRef>
          </c:yVal>
          <c:smooth val="0"/>
          <c:extLst>
            <c:ext xmlns:c16="http://schemas.microsoft.com/office/drawing/2014/chart" uri="{C3380CC4-5D6E-409C-BE32-E72D297353CC}">
              <c16:uniqueId val="{00000000-DD6D-453E-9383-DC38461096E8}"/>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Summary!$AE$48:$BG$48</c:f>
              <c:numCache>
                <c:formatCode>0.00</c:formatCode>
                <c:ptCount val="29"/>
                <c:pt idx="0">
                  <c:v>24.12</c:v>
                </c:pt>
                <c:pt idx="1">
                  <c:v>24.12</c:v>
                </c:pt>
                <c:pt idx="2">
                  <c:v>24.12</c:v>
                </c:pt>
                <c:pt idx="3">
                  <c:v>24.12</c:v>
                </c:pt>
                <c:pt idx="4">
                  <c:v>24.12</c:v>
                </c:pt>
                <c:pt idx="5">
                  <c:v>24.12</c:v>
                </c:pt>
                <c:pt idx="6">
                  <c:v>24.12</c:v>
                </c:pt>
                <c:pt idx="7">
                  <c:v>24.4</c:v>
                </c:pt>
                <c:pt idx="8">
                  <c:v>24.12</c:v>
                </c:pt>
                <c:pt idx="10">
                  <c:v>24.12</c:v>
                </c:pt>
                <c:pt idx="11">
                  <c:v>24.12</c:v>
                </c:pt>
                <c:pt idx="12">
                  <c:v>24.12</c:v>
                </c:pt>
                <c:pt idx="13">
                  <c:v>25.934999999999999</c:v>
                </c:pt>
                <c:pt idx="14">
                  <c:v>25.934999999999999</c:v>
                </c:pt>
                <c:pt idx="15">
                  <c:v>25.934999999999999</c:v>
                </c:pt>
                <c:pt idx="16">
                  <c:v>25.934999999999999</c:v>
                </c:pt>
                <c:pt idx="17">
                  <c:v>25.934999999999999</c:v>
                </c:pt>
                <c:pt idx="18" formatCode="General">
                  <c:v>25.934999999999999</c:v>
                </c:pt>
                <c:pt idx="19">
                  <c:v>29.833333333333332</c:v>
                </c:pt>
                <c:pt idx="20">
                  <c:v>29.833333333333332</c:v>
                </c:pt>
                <c:pt idx="21">
                  <c:v>29.833333333333332</c:v>
                </c:pt>
                <c:pt idx="22">
                  <c:v>29.833333333333332</c:v>
                </c:pt>
                <c:pt idx="23" formatCode="General">
                  <c:v>33.450000000000003</c:v>
                </c:pt>
                <c:pt idx="24">
                  <c:v>33.450000000000003</c:v>
                </c:pt>
                <c:pt idx="25" formatCode="General">
                  <c:v>33.450000000000003</c:v>
                </c:pt>
                <c:pt idx="26" formatCode="General">
                  <c:v>33.450000000000003</c:v>
                </c:pt>
                <c:pt idx="27" formatCode="General">
                  <c:v>33.450000000000003</c:v>
                </c:pt>
                <c:pt idx="28" formatCode="General">
                  <c:v>27.3</c:v>
                </c:pt>
              </c:numCache>
            </c:numRef>
          </c:xVal>
          <c:yVal>
            <c:numRef>
              <c:f>Summary!$AE$83:$BG$83</c:f>
              <c:numCache>
                <c:formatCode>General</c:formatCode>
                <c:ptCount val="29"/>
                <c:pt idx="6">
                  <c:v>587</c:v>
                </c:pt>
                <c:pt idx="7">
                  <c:v>656</c:v>
                </c:pt>
                <c:pt idx="8">
                  <c:v>553.6</c:v>
                </c:pt>
                <c:pt idx="9">
                  <c:v>553.6</c:v>
                </c:pt>
                <c:pt idx="13">
                  <c:v>819</c:v>
                </c:pt>
                <c:pt idx="14">
                  <c:v>793</c:v>
                </c:pt>
                <c:pt idx="15">
                  <c:v>852</c:v>
                </c:pt>
                <c:pt idx="16">
                  <c:v>842</c:v>
                </c:pt>
                <c:pt idx="17">
                  <c:v>852</c:v>
                </c:pt>
                <c:pt idx="18">
                  <c:v>723</c:v>
                </c:pt>
                <c:pt idx="19">
                  <c:v>1064.9000000000001</c:v>
                </c:pt>
                <c:pt idx="20">
                  <c:v>1080.3</c:v>
                </c:pt>
                <c:pt idx="21">
                  <c:v>1139</c:v>
                </c:pt>
                <c:pt idx="22">
                  <c:v>1121.2</c:v>
                </c:pt>
                <c:pt idx="23">
                  <c:v>1027.5999999999999</c:v>
                </c:pt>
                <c:pt idx="24">
                  <c:v>1040.8</c:v>
                </c:pt>
                <c:pt idx="25">
                  <c:v>1074.0999999999999</c:v>
                </c:pt>
                <c:pt idx="26">
                  <c:v>1070</c:v>
                </c:pt>
                <c:pt idx="27">
                  <c:v>1082</c:v>
                </c:pt>
                <c:pt idx="28">
                  <c:v>908</c:v>
                </c:pt>
              </c:numCache>
            </c:numRef>
          </c:yVal>
          <c:smooth val="0"/>
          <c:extLst>
            <c:ext xmlns:c16="http://schemas.microsoft.com/office/drawing/2014/chart" uri="{C3380CC4-5D6E-409C-BE32-E72D297353CC}">
              <c16:uniqueId val="{00000001-DD6D-453E-9383-DC38461096E8}"/>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Summary!$BI$48:$BP$48</c:f>
              <c:numCache>
                <c:formatCode>0.00</c:formatCode>
                <c:ptCount val="8"/>
                <c:pt idx="0">
                  <c:v>30.537499999999998</c:v>
                </c:pt>
                <c:pt idx="1">
                  <c:v>30.916666666666668</c:v>
                </c:pt>
                <c:pt idx="4">
                  <c:v>33.6</c:v>
                </c:pt>
                <c:pt idx="7">
                  <c:v>37.858333333333327</c:v>
                </c:pt>
              </c:numCache>
            </c:numRef>
          </c:xVal>
          <c:yVal>
            <c:numRef>
              <c:f>Summary!$BI$83:$BP$83</c:f>
              <c:numCache>
                <c:formatCode>General</c:formatCode>
                <c:ptCount val="8"/>
                <c:pt idx="0">
                  <c:v>623</c:v>
                </c:pt>
                <c:pt idx="1">
                  <c:v>836</c:v>
                </c:pt>
                <c:pt idx="2">
                  <c:v>1552.3</c:v>
                </c:pt>
                <c:pt idx="3">
                  <c:v>1510</c:v>
                </c:pt>
                <c:pt idx="4">
                  <c:v>1374</c:v>
                </c:pt>
                <c:pt idx="5">
                  <c:v>1218</c:v>
                </c:pt>
                <c:pt idx="7">
                  <c:v>1577</c:v>
                </c:pt>
              </c:numCache>
            </c:numRef>
          </c:yVal>
          <c:smooth val="0"/>
          <c:extLst>
            <c:ext xmlns:c16="http://schemas.microsoft.com/office/drawing/2014/chart" uri="{C3380CC4-5D6E-409C-BE32-E72D297353CC}">
              <c16:uniqueId val="{00000000-7C7F-466B-B794-661AF2CA760E}"/>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Summary!$BR$48:$CA$48</c:f>
              <c:numCache>
                <c:formatCode>General</c:formatCode>
                <c:ptCount val="10"/>
                <c:pt idx="3" formatCode="0.00">
                  <c:v>26.373333333333335</c:v>
                </c:pt>
                <c:pt idx="5">
                  <c:v>27.8</c:v>
                </c:pt>
                <c:pt idx="7" formatCode="0.00">
                  <c:v>20.5390625</c:v>
                </c:pt>
                <c:pt idx="8" formatCode="0.00">
                  <c:v>20.5390625</c:v>
                </c:pt>
                <c:pt idx="9">
                  <c:v>24.75</c:v>
                </c:pt>
              </c:numCache>
            </c:numRef>
          </c:xVal>
          <c:yVal>
            <c:numRef>
              <c:f>Summary!$BR$83:$CA$83</c:f>
              <c:numCache>
                <c:formatCode>General</c:formatCode>
                <c:ptCount val="10"/>
                <c:pt idx="0">
                  <c:v>302</c:v>
                </c:pt>
                <c:pt idx="1">
                  <c:v>220</c:v>
                </c:pt>
                <c:pt idx="2">
                  <c:v>433</c:v>
                </c:pt>
                <c:pt idx="3">
                  <c:v>532</c:v>
                </c:pt>
                <c:pt idx="4">
                  <c:v>671</c:v>
                </c:pt>
                <c:pt idx="5">
                  <c:v>539</c:v>
                </c:pt>
                <c:pt idx="6">
                  <c:v>659</c:v>
                </c:pt>
                <c:pt idx="7">
                  <c:v>671</c:v>
                </c:pt>
                <c:pt idx="8">
                  <c:v>641</c:v>
                </c:pt>
                <c:pt idx="9">
                  <c:v>274</c:v>
                </c:pt>
              </c:numCache>
            </c:numRef>
          </c:yVal>
          <c:smooth val="0"/>
          <c:extLst>
            <c:ext xmlns:c16="http://schemas.microsoft.com/office/drawing/2014/chart" uri="{C3380CC4-5D6E-409C-BE32-E72D297353CC}">
              <c16:uniqueId val="{00000000-C244-4DE7-8580-7A15A97A9F81}"/>
            </c:ext>
          </c:extLst>
        </c:ser>
        <c:dLbls>
          <c:showLegendKey val="0"/>
          <c:showVal val="0"/>
          <c:showCatName val="0"/>
          <c:showSerName val="0"/>
          <c:showPercent val="0"/>
          <c:showBubbleSize val="0"/>
        </c:dLbls>
        <c:axId val="642505167"/>
        <c:axId val="649103391"/>
      </c:scatterChart>
      <c:valAx>
        <c:axId val="642505167"/>
        <c:scaling>
          <c:orientation val="minMax"/>
          <c:min val="2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Body Length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Body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Summary!$C$83:$S$83</c:f>
              <c:numCache>
                <c:formatCode>General</c:formatCode>
                <c:ptCount val="17"/>
                <c:pt idx="0">
                  <c:v>261</c:v>
                </c:pt>
                <c:pt idx="1">
                  <c:v>669</c:v>
                </c:pt>
                <c:pt idx="2">
                  <c:v>470</c:v>
                </c:pt>
                <c:pt idx="3">
                  <c:v>515</c:v>
                </c:pt>
                <c:pt idx="4">
                  <c:v>543</c:v>
                </c:pt>
                <c:pt idx="5">
                  <c:v>794</c:v>
                </c:pt>
                <c:pt idx="6">
                  <c:v>792</c:v>
                </c:pt>
                <c:pt idx="7">
                  <c:v>767</c:v>
                </c:pt>
                <c:pt idx="8">
                  <c:v>784</c:v>
                </c:pt>
                <c:pt idx="9">
                  <c:v>787</c:v>
                </c:pt>
                <c:pt idx="10">
                  <c:v>779</c:v>
                </c:pt>
                <c:pt idx="11">
                  <c:v>759</c:v>
                </c:pt>
                <c:pt idx="12">
                  <c:v>1539</c:v>
                </c:pt>
                <c:pt idx="13">
                  <c:v>1822.5</c:v>
                </c:pt>
                <c:pt idx="14">
                  <c:v>1808.5</c:v>
                </c:pt>
                <c:pt idx="15">
                  <c:v>783</c:v>
                </c:pt>
                <c:pt idx="16">
                  <c:v>725</c:v>
                </c:pt>
              </c:numCache>
            </c:numRef>
          </c:yVal>
          <c:smooth val="0"/>
          <c:extLst>
            <c:ext xmlns:c16="http://schemas.microsoft.com/office/drawing/2014/chart" uri="{C3380CC4-5D6E-409C-BE32-E72D297353CC}">
              <c16:uniqueId val="{00000000-B990-421C-B460-8DD8F203EDE0}"/>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Summary!$AE$83:$BG$83</c:f>
              <c:numCache>
                <c:formatCode>General</c:formatCode>
                <c:ptCount val="29"/>
                <c:pt idx="6">
                  <c:v>587</c:v>
                </c:pt>
                <c:pt idx="7">
                  <c:v>656</c:v>
                </c:pt>
                <c:pt idx="8">
                  <c:v>553.6</c:v>
                </c:pt>
                <c:pt idx="9">
                  <c:v>553.6</c:v>
                </c:pt>
                <c:pt idx="13">
                  <c:v>819</c:v>
                </c:pt>
                <c:pt idx="14">
                  <c:v>793</c:v>
                </c:pt>
                <c:pt idx="15">
                  <c:v>852</c:v>
                </c:pt>
                <c:pt idx="16">
                  <c:v>842</c:v>
                </c:pt>
                <c:pt idx="17">
                  <c:v>852</c:v>
                </c:pt>
                <c:pt idx="18">
                  <c:v>723</c:v>
                </c:pt>
                <c:pt idx="19">
                  <c:v>1064.9000000000001</c:v>
                </c:pt>
                <c:pt idx="20">
                  <c:v>1080.3</c:v>
                </c:pt>
                <c:pt idx="21">
                  <c:v>1139</c:v>
                </c:pt>
                <c:pt idx="22">
                  <c:v>1121.2</c:v>
                </c:pt>
                <c:pt idx="23">
                  <c:v>1027.5999999999999</c:v>
                </c:pt>
                <c:pt idx="24">
                  <c:v>1040.8</c:v>
                </c:pt>
                <c:pt idx="25">
                  <c:v>1074.0999999999999</c:v>
                </c:pt>
                <c:pt idx="26">
                  <c:v>1070</c:v>
                </c:pt>
                <c:pt idx="27">
                  <c:v>1082</c:v>
                </c:pt>
                <c:pt idx="28">
                  <c:v>908</c:v>
                </c:pt>
              </c:numCache>
            </c:numRef>
          </c:yVal>
          <c:smooth val="0"/>
          <c:extLst>
            <c:ext xmlns:c16="http://schemas.microsoft.com/office/drawing/2014/chart" uri="{C3380CC4-5D6E-409C-BE32-E72D297353CC}">
              <c16:uniqueId val="{00000001-B990-421C-B460-8DD8F203EDE0}"/>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Summary!$BI$83:$BP$83</c:f>
              <c:numCache>
                <c:formatCode>General</c:formatCode>
                <c:ptCount val="8"/>
                <c:pt idx="0">
                  <c:v>623</c:v>
                </c:pt>
                <c:pt idx="1">
                  <c:v>836</c:v>
                </c:pt>
                <c:pt idx="2">
                  <c:v>1552.3</c:v>
                </c:pt>
                <c:pt idx="3">
                  <c:v>1510</c:v>
                </c:pt>
                <c:pt idx="4">
                  <c:v>1374</c:v>
                </c:pt>
                <c:pt idx="5">
                  <c:v>1218</c:v>
                </c:pt>
                <c:pt idx="7">
                  <c:v>1577</c:v>
                </c:pt>
              </c:numCache>
            </c:numRef>
          </c:yVal>
          <c:smooth val="0"/>
          <c:extLst>
            <c:ext xmlns:c16="http://schemas.microsoft.com/office/drawing/2014/chart" uri="{C3380CC4-5D6E-409C-BE32-E72D297353CC}">
              <c16:uniqueId val="{00000002-B990-421C-B460-8DD8F203EDE0}"/>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Summary!$BR$83:$CA$83</c:f>
              <c:numCache>
                <c:formatCode>General</c:formatCode>
                <c:ptCount val="10"/>
                <c:pt idx="0">
                  <c:v>302</c:v>
                </c:pt>
                <c:pt idx="1">
                  <c:v>220</c:v>
                </c:pt>
                <c:pt idx="2">
                  <c:v>433</c:v>
                </c:pt>
                <c:pt idx="3">
                  <c:v>532</c:v>
                </c:pt>
                <c:pt idx="4">
                  <c:v>671</c:v>
                </c:pt>
                <c:pt idx="5">
                  <c:v>539</c:v>
                </c:pt>
                <c:pt idx="6">
                  <c:v>659</c:v>
                </c:pt>
                <c:pt idx="7">
                  <c:v>671</c:v>
                </c:pt>
                <c:pt idx="8">
                  <c:v>641</c:v>
                </c:pt>
                <c:pt idx="9">
                  <c:v>274</c:v>
                </c:pt>
              </c:numCache>
            </c:numRef>
          </c:yVal>
          <c:smooth val="0"/>
          <c:extLst>
            <c:ext xmlns:c16="http://schemas.microsoft.com/office/drawing/2014/chart" uri="{C3380CC4-5D6E-409C-BE32-E72D297353CC}">
              <c16:uniqueId val="{00000003-B990-421C-B460-8DD8F203EDE0}"/>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a:t>
                </a:r>
                <a:r>
                  <a:rPr lang="en-US" baseline="0"/>
                  <a:t> Mission Weight (lb)</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Body Wt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Summary!$C$52:$AC$52</c:f>
            </c:numRef>
          </c:xVal>
          <c:yVal>
            <c:numRef>
              <c:f>Summary!$C$83:$AC$83</c:f>
              <c:numCache>
                <c:formatCode>General</c:formatCode>
                <c:ptCount val="27"/>
                <c:pt idx="0">
                  <c:v>261</c:v>
                </c:pt>
                <c:pt idx="1">
                  <c:v>669</c:v>
                </c:pt>
                <c:pt idx="2">
                  <c:v>470</c:v>
                </c:pt>
                <c:pt idx="3">
                  <c:v>515</c:v>
                </c:pt>
                <c:pt idx="4">
                  <c:v>543</c:v>
                </c:pt>
                <c:pt idx="5">
                  <c:v>794</c:v>
                </c:pt>
                <c:pt idx="6">
                  <c:v>792</c:v>
                </c:pt>
                <c:pt idx="7">
                  <c:v>767</c:v>
                </c:pt>
                <c:pt idx="8">
                  <c:v>784</c:v>
                </c:pt>
                <c:pt idx="9">
                  <c:v>787</c:v>
                </c:pt>
                <c:pt idx="10">
                  <c:v>779</c:v>
                </c:pt>
                <c:pt idx="11">
                  <c:v>759</c:v>
                </c:pt>
                <c:pt idx="12">
                  <c:v>1539</c:v>
                </c:pt>
                <c:pt idx="13">
                  <c:v>1822.5</c:v>
                </c:pt>
                <c:pt idx="14">
                  <c:v>1808.5</c:v>
                </c:pt>
                <c:pt idx="15">
                  <c:v>783</c:v>
                </c:pt>
                <c:pt idx="16">
                  <c:v>725</c:v>
                </c:pt>
                <c:pt idx="17">
                  <c:v>534</c:v>
                </c:pt>
                <c:pt idx="18">
                  <c:v>618.29999999999995</c:v>
                </c:pt>
                <c:pt idx="20">
                  <c:v>608</c:v>
                </c:pt>
                <c:pt idx="24">
                  <c:v>602</c:v>
                </c:pt>
                <c:pt idx="25">
                  <c:v>628.70000000000005</c:v>
                </c:pt>
                <c:pt idx="26">
                  <c:v>676</c:v>
                </c:pt>
              </c:numCache>
            </c:numRef>
          </c:yVal>
          <c:smooth val="0"/>
          <c:extLst>
            <c:ext xmlns:c16="http://schemas.microsoft.com/office/drawing/2014/chart" uri="{C3380CC4-5D6E-409C-BE32-E72D297353CC}">
              <c16:uniqueId val="{00000000-CDE3-415A-ABF4-4D4F47AD0305}"/>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Summary!$AE$52:$BG$52</c:f>
            </c:numRef>
          </c:xVal>
          <c:yVal>
            <c:numRef>
              <c:f>Summary!$AE$83:$BG$83</c:f>
              <c:numCache>
                <c:formatCode>General</c:formatCode>
                <c:ptCount val="29"/>
                <c:pt idx="6">
                  <c:v>587</c:v>
                </c:pt>
                <c:pt idx="7">
                  <c:v>656</c:v>
                </c:pt>
                <c:pt idx="8">
                  <c:v>553.6</c:v>
                </c:pt>
                <c:pt idx="9">
                  <c:v>553.6</c:v>
                </c:pt>
                <c:pt idx="13">
                  <c:v>819</c:v>
                </c:pt>
                <c:pt idx="14">
                  <c:v>793</c:v>
                </c:pt>
                <c:pt idx="15">
                  <c:v>852</c:v>
                </c:pt>
                <c:pt idx="16">
                  <c:v>842</c:v>
                </c:pt>
                <c:pt idx="17">
                  <c:v>852</c:v>
                </c:pt>
                <c:pt idx="18">
                  <c:v>723</c:v>
                </c:pt>
                <c:pt idx="19">
                  <c:v>1064.9000000000001</c:v>
                </c:pt>
                <c:pt idx="20">
                  <c:v>1080.3</c:v>
                </c:pt>
                <c:pt idx="21">
                  <c:v>1139</c:v>
                </c:pt>
                <c:pt idx="22">
                  <c:v>1121.2</c:v>
                </c:pt>
                <c:pt idx="23">
                  <c:v>1027.5999999999999</c:v>
                </c:pt>
                <c:pt idx="24">
                  <c:v>1040.8</c:v>
                </c:pt>
                <c:pt idx="25">
                  <c:v>1074.0999999999999</c:v>
                </c:pt>
                <c:pt idx="26">
                  <c:v>1070</c:v>
                </c:pt>
                <c:pt idx="27">
                  <c:v>1082</c:v>
                </c:pt>
                <c:pt idx="28">
                  <c:v>908</c:v>
                </c:pt>
              </c:numCache>
            </c:numRef>
          </c:yVal>
          <c:smooth val="0"/>
          <c:extLst>
            <c:ext xmlns:c16="http://schemas.microsoft.com/office/drawing/2014/chart" uri="{C3380CC4-5D6E-409C-BE32-E72D297353CC}">
              <c16:uniqueId val="{00000001-CDE3-415A-ABF4-4D4F47AD0305}"/>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Summary!$BI$52:$BP$52</c:f>
            </c:numRef>
          </c:xVal>
          <c:yVal>
            <c:numRef>
              <c:f>Summary!$BI$83:$BP$83</c:f>
              <c:numCache>
                <c:formatCode>General</c:formatCode>
                <c:ptCount val="8"/>
                <c:pt idx="0">
                  <c:v>623</c:v>
                </c:pt>
                <c:pt idx="1">
                  <c:v>836</c:v>
                </c:pt>
                <c:pt idx="2">
                  <c:v>1552.3</c:v>
                </c:pt>
                <c:pt idx="3">
                  <c:v>1510</c:v>
                </c:pt>
                <c:pt idx="4">
                  <c:v>1374</c:v>
                </c:pt>
                <c:pt idx="5">
                  <c:v>1218</c:v>
                </c:pt>
                <c:pt idx="7">
                  <c:v>1577</c:v>
                </c:pt>
              </c:numCache>
            </c:numRef>
          </c:yVal>
          <c:smooth val="0"/>
          <c:extLst>
            <c:ext xmlns:c16="http://schemas.microsoft.com/office/drawing/2014/chart" uri="{C3380CC4-5D6E-409C-BE32-E72D297353CC}">
              <c16:uniqueId val="{00000002-CDE3-415A-ABF4-4D4F47AD0305}"/>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yVal>
            <c:numRef>
              <c:f>Summary!$BR$83:$CA$83</c:f>
              <c:numCache>
                <c:formatCode>General</c:formatCode>
                <c:ptCount val="10"/>
                <c:pt idx="0">
                  <c:v>302</c:v>
                </c:pt>
                <c:pt idx="1">
                  <c:v>220</c:v>
                </c:pt>
                <c:pt idx="2">
                  <c:v>433</c:v>
                </c:pt>
                <c:pt idx="3">
                  <c:v>532</c:v>
                </c:pt>
                <c:pt idx="4">
                  <c:v>671</c:v>
                </c:pt>
                <c:pt idx="5">
                  <c:v>539</c:v>
                </c:pt>
                <c:pt idx="6">
                  <c:v>659</c:v>
                </c:pt>
                <c:pt idx="7">
                  <c:v>671</c:v>
                </c:pt>
                <c:pt idx="8">
                  <c:v>641</c:v>
                </c:pt>
                <c:pt idx="9">
                  <c:v>274</c:v>
                </c:pt>
              </c:numCache>
            </c:numRef>
          </c:yVal>
          <c:smooth val="0"/>
          <c:extLst>
            <c:ext xmlns:c16="http://schemas.microsoft.com/office/drawing/2014/chart" uri="{C3380CC4-5D6E-409C-BE32-E72D297353CC}">
              <c16:uniqueId val="{00000003-CDE3-415A-ABF4-4D4F47AD0305}"/>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Length * Eng Dia^2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Fuselage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Summary!$C$84:$S$84</c:f>
              <c:numCache>
                <c:formatCode>General</c:formatCode>
                <c:ptCount val="17"/>
                <c:pt idx="5">
                  <c:v>449</c:v>
                </c:pt>
                <c:pt idx="7">
                  <c:v>418</c:v>
                </c:pt>
                <c:pt idx="8">
                  <c:v>435</c:v>
                </c:pt>
                <c:pt idx="9">
                  <c:v>437</c:v>
                </c:pt>
                <c:pt idx="10">
                  <c:v>434</c:v>
                </c:pt>
                <c:pt idx="11">
                  <c:v>424</c:v>
                </c:pt>
                <c:pt idx="13">
                  <c:v>1443.5</c:v>
                </c:pt>
                <c:pt idx="14">
                  <c:v>1425.5</c:v>
                </c:pt>
                <c:pt idx="15">
                  <c:v>509</c:v>
                </c:pt>
              </c:numCache>
            </c:numRef>
          </c:yVal>
          <c:smooth val="0"/>
          <c:extLst>
            <c:ext xmlns:c16="http://schemas.microsoft.com/office/drawing/2014/chart" uri="{C3380CC4-5D6E-409C-BE32-E72D297353CC}">
              <c16:uniqueId val="{00000000-A2F8-4656-9CE1-748B67241A7F}"/>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Summary!$AE$84:$BG$84</c:f>
              <c:numCache>
                <c:formatCode>General</c:formatCode>
                <c:ptCount val="29"/>
                <c:pt idx="6">
                  <c:v>350</c:v>
                </c:pt>
                <c:pt idx="8">
                  <c:v>410.2</c:v>
                </c:pt>
                <c:pt idx="9">
                  <c:v>410.2</c:v>
                </c:pt>
                <c:pt idx="13">
                  <c:v>525</c:v>
                </c:pt>
                <c:pt idx="14">
                  <c:v>495</c:v>
                </c:pt>
                <c:pt idx="15">
                  <c:v>517</c:v>
                </c:pt>
                <c:pt idx="17">
                  <c:v>517</c:v>
                </c:pt>
                <c:pt idx="18">
                  <c:v>470</c:v>
                </c:pt>
                <c:pt idx="19">
                  <c:v>757.5</c:v>
                </c:pt>
                <c:pt idx="20">
                  <c:v>772.1</c:v>
                </c:pt>
                <c:pt idx="22">
                  <c:v>761.5</c:v>
                </c:pt>
                <c:pt idx="23">
                  <c:v>616</c:v>
                </c:pt>
                <c:pt idx="24">
                  <c:v>635.9</c:v>
                </c:pt>
                <c:pt idx="25">
                  <c:v>647.9</c:v>
                </c:pt>
              </c:numCache>
            </c:numRef>
          </c:yVal>
          <c:smooth val="0"/>
          <c:extLst>
            <c:ext xmlns:c16="http://schemas.microsoft.com/office/drawing/2014/chart" uri="{C3380CC4-5D6E-409C-BE32-E72D297353CC}">
              <c16:uniqueId val="{00000001-A2F8-4656-9CE1-748B67241A7F}"/>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Summary!$BI$84:$BP$84</c:f>
              <c:numCache>
                <c:formatCode>General</c:formatCode>
                <c:ptCount val="8"/>
                <c:pt idx="2">
                  <c:v>1169.0999999999999</c:v>
                </c:pt>
              </c:numCache>
            </c:numRef>
          </c:yVal>
          <c:smooth val="0"/>
          <c:extLst>
            <c:ext xmlns:c16="http://schemas.microsoft.com/office/drawing/2014/chart" uri="{C3380CC4-5D6E-409C-BE32-E72D297353CC}">
              <c16:uniqueId val="{00000002-A2F8-4656-9CE1-748B67241A7F}"/>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Summary!$BR$84:$CA$84</c:f>
              <c:numCache>
                <c:formatCode>General</c:formatCode>
                <c:ptCount val="10"/>
                <c:pt idx="4">
                  <c:v>512.98</c:v>
                </c:pt>
              </c:numCache>
            </c:numRef>
          </c:yVal>
          <c:smooth val="0"/>
          <c:extLst>
            <c:ext xmlns:c16="http://schemas.microsoft.com/office/drawing/2014/chart" uri="{C3380CC4-5D6E-409C-BE32-E72D297353CC}">
              <c16:uniqueId val="{00000003-A2F8-4656-9CE1-748B67241A7F}"/>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a:t>
                </a:r>
                <a:r>
                  <a:rPr lang="en-US" baseline="0"/>
                  <a:t> Mission Weight (lb)</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Horizontal Tail Area</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5"/>
          <c:order val="0"/>
          <c:tx>
            <c:v>All Fighters</c:v>
          </c:tx>
          <c:spPr>
            <a:ln w="25400" cap="rnd">
              <a:noFill/>
              <a:round/>
            </a:ln>
            <a:effectLst/>
          </c:spPr>
          <c:marker>
            <c:symbol val="dot"/>
            <c:size val="2"/>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1"/>
            <c:dispEq val="1"/>
            <c:trendlineLbl>
              <c:layout>
                <c:manualLayout>
                  <c:x val="0.24531115633050471"/>
                  <c:y val="9.1185091278132416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Summary!$C$147:$BG$147</c:f>
              <c:numCache>
                <c:formatCode>General</c:formatCode>
                <c:ptCount val="5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numCache>
            </c:numRef>
          </c:xVal>
          <c:yVal>
            <c:numRef>
              <c:f>Summary!$C$41:$BP$41</c:f>
              <c:numCache>
                <c:formatCode>General</c:formatCode>
                <c:ptCount val="66"/>
                <c:pt idx="0">
                  <c:v>24.7</c:v>
                </c:pt>
                <c:pt idx="1">
                  <c:v>35.1</c:v>
                </c:pt>
                <c:pt idx="2">
                  <c:v>48</c:v>
                </c:pt>
                <c:pt idx="3">
                  <c:v>48</c:v>
                </c:pt>
                <c:pt idx="4">
                  <c:v>48</c:v>
                </c:pt>
                <c:pt idx="5">
                  <c:v>48.3</c:v>
                </c:pt>
                <c:pt idx="6">
                  <c:v>48.3</c:v>
                </c:pt>
                <c:pt idx="7">
                  <c:v>48.3</c:v>
                </c:pt>
                <c:pt idx="8">
                  <c:v>48.3</c:v>
                </c:pt>
                <c:pt idx="9">
                  <c:v>48</c:v>
                </c:pt>
                <c:pt idx="10">
                  <c:v>48</c:v>
                </c:pt>
                <c:pt idx="11">
                  <c:v>48.3</c:v>
                </c:pt>
                <c:pt idx="12">
                  <c:v>59.6</c:v>
                </c:pt>
                <c:pt idx="13">
                  <c:v>59.6</c:v>
                </c:pt>
                <c:pt idx="14">
                  <c:v>55</c:v>
                </c:pt>
                <c:pt idx="15">
                  <c:v>41.03</c:v>
                </c:pt>
                <c:pt idx="17">
                  <c:v>40.1</c:v>
                </c:pt>
                <c:pt idx="19">
                  <c:v>40.04</c:v>
                </c:pt>
                <c:pt idx="20">
                  <c:v>40.04</c:v>
                </c:pt>
                <c:pt idx="21">
                  <c:v>41.2</c:v>
                </c:pt>
                <c:pt idx="22">
                  <c:v>40.04</c:v>
                </c:pt>
                <c:pt idx="23">
                  <c:v>40.04</c:v>
                </c:pt>
                <c:pt idx="24">
                  <c:v>44.01</c:v>
                </c:pt>
                <c:pt idx="25">
                  <c:v>44.01</c:v>
                </c:pt>
                <c:pt idx="26">
                  <c:v>46.53</c:v>
                </c:pt>
                <c:pt idx="28">
                  <c:v>39.5</c:v>
                </c:pt>
                <c:pt idx="29">
                  <c:v>39.5</c:v>
                </c:pt>
                <c:pt idx="30">
                  <c:v>39.5</c:v>
                </c:pt>
                <c:pt idx="31">
                  <c:v>39.5</c:v>
                </c:pt>
                <c:pt idx="32">
                  <c:v>39.5</c:v>
                </c:pt>
                <c:pt idx="33">
                  <c:v>39.5</c:v>
                </c:pt>
                <c:pt idx="34">
                  <c:v>39.5</c:v>
                </c:pt>
                <c:pt idx="35">
                  <c:v>39.5</c:v>
                </c:pt>
                <c:pt idx="36">
                  <c:v>39.5</c:v>
                </c:pt>
                <c:pt idx="37">
                  <c:v>39.5</c:v>
                </c:pt>
                <c:pt idx="38">
                  <c:v>39.5</c:v>
                </c:pt>
                <c:pt idx="39">
                  <c:v>39.5</c:v>
                </c:pt>
                <c:pt idx="40">
                  <c:v>39.5</c:v>
                </c:pt>
                <c:pt idx="41">
                  <c:v>49.05</c:v>
                </c:pt>
                <c:pt idx="42">
                  <c:v>49.05</c:v>
                </c:pt>
                <c:pt idx="43">
                  <c:v>49.05</c:v>
                </c:pt>
                <c:pt idx="44">
                  <c:v>49.05</c:v>
                </c:pt>
                <c:pt idx="45">
                  <c:v>49.05</c:v>
                </c:pt>
                <c:pt idx="46">
                  <c:v>49.05</c:v>
                </c:pt>
                <c:pt idx="47">
                  <c:v>57.9</c:v>
                </c:pt>
                <c:pt idx="48">
                  <c:v>57.9</c:v>
                </c:pt>
                <c:pt idx="49">
                  <c:v>57.9</c:v>
                </c:pt>
                <c:pt idx="50">
                  <c:v>57.9</c:v>
                </c:pt>
                <c:pt idx="51">
                  <c:v>76.7</c:v>
                </c:pt>
                <c:pt idx="52">
                  <c:v>77.8</c:v>
                </c:pt>
                <c:pt idx="53">
                  <c:v>76.7</c:v>
                </c:pt>
                <c:pt idx="54">
                  <c:v>76.7</c:v>
                </c:pt>
                <c:pt idx="55">
                  <c:v>76.7</c:v>
                </c:pt>
                <c:pt idx="56">
                  <c:v>52.27</c:v>
                </c:pt>
                <c:pt idx="58">
                  <c:v>64.06</c:v>
                </c:pt>
                <c:pt idx="59">
                  <c:v>70.760000000000005</c:v>
                </c:pt>
                <c:pt idx="62">
                  <c:v>107.4</c:v>
                </c:pt>
                <c:pt idx="65">
                  <c:v>102.65</c:v>
                </c:pt>
              </c:numCache>
            </c:numRef>
          </c:yVal>
          <c:smooth val="0"/>
          <c:extLst>
            <c:ext xmlns:c16="http://schemas.microsoft.com/office/drawing/2014/chart" uri="{C3380CC4-5D6E-409C-BE32-E72D297353CC}">
              <c16:uniqueId val="{00000001-19DA-432F-8DFD-5697204745F4}"/>
            </c:ext>
          </c:extLst>
        </c:ser>
        <c:ser>
          <c:idx val="4"/>
          <c:order val="1"/>
          <c:tx>
            <c:v>All</c:v>
          </c:tx>
          <c:spPr>
            <a:ln w="25400" cap="rnd">
              <a:noFill/>
              <a:round/>
            </a:ln>
            <a:effectLst/>
          </c:spPr>
          <c:marker>
            <c:symbol val="dot"/>
            <c:size val="2"/>
            <c:spPr>
              <a:solidFill>
                <a:srgbClr val="FFC000"/>
              </a:solidFill>
              <a:ln w="9525">
                <a:solidFill>
                  <a:srgbClr val="FFC000"/>
                </a:solidFill>
              </a:ln>
              <a:effectLst/>
            </c:spPr>
          </c:marker>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Summary!$C$41:$CA$41</c:f>
              <c:numCache>
                <c:formatCode>General</c:formatCode>
                <c:ptCount val="77"/>
                <c:pt idx="0">
                  <c:v>24.7</c:v>
                </c:pt>
                <c:pt idx="1">
                  <c:v>35.1</c:v>
                </c:pt>
                <c:pt idx="2">
                  <c:v>48</c:v>
                </c:pt>
                <c:pt idx="3">
                  <c:v>48</c:v>
                </c:pt>
                <c:pt idx="4">
                  <c:v>48</c:v>
                </c:pt>
                <c:pt idx="5">
                  <c:v>48.3</c:v>
                </c:pt>
                <c:pt idx="6">
                  <c:v>48.3</c:v>
                </c:pt>
                <c:pt idx="7">
                  <c:v>48.3</c:v>
                </c:pt>
                <c:pt idx="8">
                  <c:v>48.3</c:v>
                </c:pt>
                <c:pt idx="9">
                  <c:v>48</c:v>
                </c:pt>
                <c:pt idx="10">
                  <c:v>48</c:v>
                </c:pt>
                <c:pt idx="11">
                  <c:v>48.3</c:v>
                </c:pt>
                <c:pt idx="12">
                  <c:v>59.6</c:v>
                </c:pt>
                <c:pt idx="13">
                  <c:v>59.6</c:v>
                </c:pt>
                <c:pt idx="14">
                  <c:v>55</c:v>
                </c:pt>
                <c:pt idx="15">
                  <c:v>41.03</c:v>
                </c:pt>
                <c:pt idx="17">
                  <c:v>40.1</c:v>
                </c:pt>
                <c:pt idx="19">
                  <c:v>40.04</c:v>
                </c:pt>
                <c:pt idx="20">
                  <c:v>40.04</c:v>
                </c:pt>
                <c:pt idx="21">
                  <c:v>41.2</c:v>
                </c:pt>
                <c:pt idx="22">
                  <c:v>40.04</c:v>
                </c:pt>
                <c:pt idx="23">
                  <c:v>40.04</c:v>
                </c:pt>
                <c:pt idx="24">
                  <c:v>44.01</c:v>
                </c:pt>
                <c:pt idx="25">
                  <c:v>44.01</c:v>
                </c:pt>
                <c:pt idx="26">
                  <c:v>46.53</c:v>
                </c:pt>
                <c:pt idx="28">
                  <c:v>39.5</c:v>
                </c:pt>
                <c:pt idx="29">
                  <c:v>39.5</c:v>
                </c:pt>
                <c:pt idx="30">
                  <c:v>39.5</c:v>
                </c:pt>
                <c:pt idx="31">
                  <c:v>39.5</c:v>
                </c:pt>
                <c:pt idx="32">
                  <c:v>39.5</c:v>
                </c:pt>
                <c:pt idx="33">
                  <c:v>39.5</c:v>
                </c:pt>
                <c:pt idx="34">
                  <c:v>39.5</c:v>
                </c:pt>
                <c:pt idx="35">
                  <c:v>39.5</c:v>
                </c:pt>
                <c:pt idx="36">
                  <c:v>39.5</c:v>
                </c:pt>
                <c:pt idx="37">
                  <c:v>39.5</c:v>
                </c:pt>
                <c:pt idx="38">
                  <c:v>39.5</c:v>
                </c:pt>
                <c:pt idx="39">
                  <c:v>39.5</c:v>
                </c:pt>
                <c:pt idx="40">
                  <c:v>39.5</c:v>
                </c:pt>
                <c:pt idx="41">
                  <c:v>49.05</c:v>
                </c:pt>
                <c:pt idx="42">
                  <c:v>49.05</c:v>
                </c:pt>
                <c:pt idx="43">
                  <c:v>49.05</c:v>
                </c:pt>
                <c:pt idx="44">
                  <c:v>49.05</c:v>
                </c:pt>
                <c:pt idx="45">
                  <c:v>49.05</c:v>
                </c:pt>
                <c:pt idx="46">
                  <c:v>49.05</c:v>
                </c:pt>
                <c:pt idx="47">
                  <c:v>57.9</c:v>
                </c:pt>
                <c:pt idx="48">
                  <c:v>57.9</c:v>
                </c:pt>
                <c:pt idx="49">
                  <c:v>57.9</c:v>
                </c:pt>
                <c:pt idx="50">
                  <c:v>57.9</c:v>
                </c:pt>
                <c:pt idx="51">
                  <c:v>76.7</c:v>
                </c:pt>
                <c:pt idx="52">
                  <c:v>77.8</c:v>
                </c:pt>
                <c:pt idx="53">
                  <c:v>76.7</c:v>
                </c:pt>
                <c:pt idx="54">
                  <c:v>76.7</c:v>
                </c:pt>
                <c:pt idx="55">
                  <c:v>76.7</c:v>
                </c:pt>
                <c:pt idx="56">
                  <c:v>52.27</c:v>
                </c:pt>
                <c:pt idx="58">
                  <c:v>64.06</c:v>
                </c:pt>
                <c:pt idx="59">
                  <c:v>70.760000000000005</c:v>
                </c:pt>
                <c:pt idx="62">
                  <c:v>107.4</c:v>
                </c:pt>
                <c:pt idx="65">
                  <c:v>102.65</c:v>
                </c:pt>
                <c:pt idx="70">
                  <c:v>40.200000000000003</c:v>
                </c:pt>
                <c:pt idx="71">
                  <c:v>43.679999999999993</c:v>
                </c:pt>
                <c:pt idx="72">
                  <c:v>53.08</c:v>
                </c:pt>
                <c:pt idx="74">
                  <c:v>50.11</c:v>
                </c:pt>
                <c:pt idx="75">
                  <c:v>50.11</c:v>
                </c:pt>
              </c:numCache>
            </c:numRef>
          </c:yVal>
          <c:smooth val="0"/>
          <c:extLst>
            <c:ext xmlns:c16="http://schemas.microsoft.com/office/drawing/2014/chart" uri="{C3380CC4-5D6E-409C-BE32-E72D297353CC}">
              <c16:uniqueId val="{00000002-19DA-432F-8DFD-5697204745F4}"/>
            </c:ext>
          </c:extLst>
        </c:ser>
        <c:ser>
          <c:idx val="0"/>
          <c:order val="2"/>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Summary!$C$147:$AC$147</c:f>
              <c:numCache>
                <c:formatCode>General</c:formatCode>
                <c:ptCount val="27"/>
                <c:pt idx="0">
                  <c:v>2935</c:v>
                </c:pt>
                <c:pt idx="1">
                  <c:v>5599</c:v>
                </c:pt>
                <c:pt idx="2">
                  <c:v>5531</c:v>
                </c:pt>
                <c:pt idx="3">
                  <c:v>5689</c:v>
                </c:pt>
                <c:pt idx="4">
                  <c:v>5919</c:v>
                </c:pt>
                <c:pt idx="6">
                  <c:v>8427</c:v>
                </c:pt>
                <c:pt idx="12">
                  <c:v>13373</c:v>
                </c:pt>
                <c:pt idx="16">
                  <c:v>10119</c:v>
                </c:pt>
                <c:pt idx="17">
                  <c:v>5579</c:v>
                </c:pt>
                <c:pt idx="18">
                  <c:v>7403.5</c:v>
                </c:pt>
                <c:pt idx="20">
                  <c:v>7405</c:v>
                </c:pt>
              </c:numCache>
            </c:numRef>
          </c:xVal>
          <c:yVal>
            <c:numRef>
              <c:f>Summary!$C$41:$AC$41</c:f>
              <c:numCache>
                <c:formatCode>General</c:formatCode>
                <c:ptCount val="27"/>
                <c:pt idx="0">
                  <c:v>24.7</c:v>
                </c:pt>
                <c:pt idx="1">
                  <c:v>35.1</c:v>
                </c:pt>
                <c:pt idx="2">
                  <c:v>48</c:v>
                </c:pt>
                <c:pt idx="3">
                  <c:v>48</c:v>
                </c:pt>
                <c:pt idx="4">
                  <c:v>48</c:v>
                </c:pt>
                <c:pt idx="5">
                  <c:v>48.3</c:v>
                </c:pt>
                <c:pt idx="6">
                  <c:v>48.3</c:v>
                </c:pt>
                <c:pt idx="7">
                  <c:v>48.3</c:v>
                </c:pt>
                <c:pt idx="8">
                  <c:v>48.3</c:v>
                </c:pt>
                <c:pt idx="9">
                  <c:v>48</c:v>
                </c:pt>
                <c:pt idx="10">
                  <c:v>48</c:v>
                </c:pt>
                <c:pt idx="11">
                  <c:v>48.3</c:v>
                </c:pt>
                <c:pt idx="12">
                  <c:v>59.6</c:v>
                </c:pt>
                <c:pt idx="13">
                  <c:v>59.6</c:v>
                </c:pt>
                <c:pt idx="14">
                  <c:v>55</c:v>
                </c:pt>
                <c:pt idx="15">
                  <c:v>41.03</c:v>
                </c:pt>
                <c:pt idx="17">
                  <c:v>40.1</c:v>
                </c:pt>
                <c:pt idx="19">
                  <c:v>40.04</c:v>
                </c:pt>
                <c:pt idx="20">
                  <c:v>40.04</c:v>
                </c:pt>
                <c:pt idx="21">
                  <c:v>41.2</c:v>
                </c:pt>
                <c:pt idx="22">
                  <c:v>40.04</c:v>
                </c:pt>
                <c:pt idx="23">
                  <c:v>40.04</c:v>
                </c:pt>
                <c:pt idx="24">
                  <c:v>44.01</c:v>
                </c:pt>
                <c:pt idx="25">
                  <c:v>44.01</c:v>
                </c:pt>
                <c:pt idx="26">
                  <c:v>46.53</c:v>
                </c:pt>
              </c:numCache>
            </c:numRef>
          </c:yVal>
          <c:smooth val="0"/>
          <c:extLst>
            <c:ext xmlns:c16="http://schemas.microsoft.com/office/drawing/2014/chart" uri="{C3380CC4-5D6E-409C-BE32-E72D297353CC}">
              <c16:uniqueId val="{00000003-19DA-432F-8DFD-5697204745F4}"/>
            </c:ext>
          </c:extLst>
        </c:ser>
        <c:ser>
          <c:idx val="1"/>
          <c:order val="3"/>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Summary!$AE$41:$BG$41</c:f>
              <c:numCache>
                <c:formatCode>General</c:formatCode>
                <c:ptCount val="29"/>
                <c:pt idx="0">
                  <c:v>39.5</c:v>
                </c:pt>
                <c:pt idx="1">
                  <c:v>39.5</c:v>
                </c:pt>
                <c:pt idx="2">
                  <c:v>39.5</c:v>
                </c:pt>
                <c:pt idx="3">
                  <c:v>39.5</c:v>
                </c:pt>
                <c:pt idx="4">
                  <c:v>39.5</c:v>
                </c:pt>
                <c:pt idx="5">
                  <c:v>39.5</c:v>
                </c:pt>
                <c:pt idx="6">
                  <c:v>39.5</c:v>
                </c:pt>
                <c:pt idx="7">
                  <c:v>39.5</c:v>
                </c:pt>
                <c:pt idx="8">
                  <c:v>39.5</c:v>
                </c:pt>
                <c:pt idx="9">
                  <c:v>39.5</c:v>
                </c:pt>
                <c:pt idx="10">
                  <c:v>39.5</c:v>
                </c:pt>
                <c:pt idx="11">
                  <c:v>39.5</c:v>
                </c:pt>
                <c:pt idx="12">
                  <c:v>39.5</c:v>
                </c:pt>
                <c:pt idx="13">
                  <c:v>49.05</c:v>
                </c:pt>
                <c:pt idx="14">
                  <c:v>49.05</c:v>
                </c:pt>
                <c:pt idx="15">
                  <c:v>49.05</c:v>
                </c:pt>
                <c:pt idx="16">
                  <c:v>49.05</c:v>
                </c:pt>
                <c:pt idx="17">
                  <c:v>49.05</c:v>
                </c:pt>
                <c:pt idx="18">
                  <c:v>49.05</c:v>
                </c:pt>
                <c:pt idx="19">
                  <c:v>57.9</c:v>
                </c:pt>
                <c:pt idx="20">
                  <c:v>57.9</c:v>
                </c:pt>
                <c:pt idx="21">
                  <c:v>57.9</c:v>
                </c:pt>
                <c:pt idx="22">
                  <c:v>57.9</c:v>
                </c:pt>
                <c:pt idx="23">
                  <c:v>76.7</c:v>
                </c:pt>
                <c:pt idx="24">
                  <c:v>77.8</c:v>
                </c:pt>
                <c:pt idx="25">
                  <c:v>76.7</c:v>
                </c:pt>
                <c:pt idx="26">
                  <c:v>76.7</c:v>
                </c:pt>
                <c:pt idx="27">
                  <c:v>76.7</c:v>
                </c:pt>
                <c:pt idx="28">
                  <c:v>52.27</c:v>
                </c:pt>
              </c:numCache>
            </c:numRef>
          </c:yVal>
          <c:smooth val="0"/>
          <c:extLst>
            <c:ext xmlns:c16="http://schemas.microsoft.com/office/drawing/2014/chart" uri="{C3380CC4-5D6E-409C-BE32-E72D297353CC}">
              <c16:uniqueId val="{00000004-19DA-432F-8DFD-5697204745F4}"/>
            </c:ext>
          </c:extLst>
        </c:ser>
        <c:ser>
          <c:idx val="2"/>
          <c:order val="4"/>
          <c:tx>
            <c:v>Attack/Dive Bomber</c:v>
          </c:tx>
          <c:spPr>
            <a:ln w="25400" cap="rnd">
              <a:noFill/>
              <a:round/>
            </a:ln>
            <a:effectLst/>
          </c:spPr>
          <c:marker>
            <c:symbol val="diamond"/>
            <c:size val="9"/>
            <c:spPr>
              <a:solidFill>
                <a:srgbClr val="FF0000"/>
              </a:solidFill>
              <a:ln w="9525">
                <a:solidFill>
                  <a:srgbClr val="FF0000"/>
                </a:solidFill>
              </a:ln>
              <a:effectLst/>
            </c:spPr>
          </c:marker>
          <c:trendline>
            <c:spPr>
              <a:ln w="19050" cap="rnd">
                <a:solidFill>
                  <a:srgbClr val="FF0000"/>
                </a:solidFill>
                <a:prstDash val="sysDot"/>
              </a:ln>
              <a:effectLst/>
            </c:spPr>
            <c:trendlineType val="linear"/>
            <c:dispRSqr val="1"/>
            <c:dispEq val="1"/>
            <c:trendlineLbl>
              <c:layout>
                <c:manualLayout>
                  <c:x val="3.2021072894257742E-2"/>
                  <c:y val="0.17619845341763971"/>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rgbClr val="FF0000"/>
                      </a:solidFill>
                      <a:latin typeface="+mn-lt"/>
                      <a:ea typeface="+mn-ea"/>
                      <a:cs typeface="+mn-cs"/>
                    </a:defRPr>
                  </a:pPr>
                  <a:endParaRPr lang="en-US"/>
                </a:p>
              </c:txPr>
            </c:trendlineLbl>
          </c:trendline>
          <c:xVal>
            <c:numRef>
              <c:f>Summary!$BI$147:$BP$147</c:f>
              <c:numCache>
                <c:formatCode>General</c:formatCode>
                <c:ptCount val="8"/>
                <c:pt idx="0">
                  <c:v>7543</c:v>
                </c:pt>
                <c:pt idx="1">
                  <c:v>9662</c:v>
                </c:pt>
                <c:pt idx="3">
                  <c:v>17929</c:v>
                </c:pt>
                <c:pt idx="4">
                  <c:v>15447</c:v>
                </c:pt>
                <c:pt idx="5">
                  <c:v>15327</c:v>
                </c:pt>
                <c:pt idx="7">
                  <c:v>16438</c:v>
                </c:pt>
              </c:numCache>
            </c:numRef>
          </c:xVal>
          <c:yVal>
            <c:numRef>
              <c:f>Summary!$BI$41:$BP$41</c:f>
              <c:numCache>
                <c:formatCode>General</c:formatCode>
                <c:ptCount val="8"/>
                <c:pt idx="0">
                  <c:v>64.06</c:v>
                </c:pt>
                <c:pt idx="1">
                  <c:v>70.760000000000005</c:v>
                </c:pt>
                <c:pt idx="4">
                  <c:v>107.4</c:v>
                </c:pt>
                <c:pt idx="7">
                  <c:v>102.65</c:v>
                </c:pt>
              </c:numCache>
            </c:numRef>
          </c:yVal>
          <c:smooth val="0"/>
          <c:extLst>
            <c:ext xmlns:c16="http://schemas.microsoft.com/office/drawing/2014/chart" uri="{C3380CC4-5D6E-409C-BE32-E72D297353CC}">
              <c16:uniqueId val="{00000006-19DA-432F-8DFD-5697204745F4}"/>
            </c:ext>
          </c:extLst>
        </c:ser>
        <c:ser>
          <c:idx val="3"/>
          <c:order val="5"/>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Summary!$BR$41:$CA$41</c:f>
              <c:numCache>
                <c:formatCode>General</c:formatCode>
                <c:ptCount val="10"/>
                <c:pt idx="3">
                  <c:v>40.200000000000003</c:v>
                </c:pt>
                <c:pt idx="4">
                  <c:v>43.679999999999993</c:v>
                </c:pt>
                <c:pt idx="5">
                  <c:v>53.08</c:v>
                </c:pt>
                <c:pt idx="7">
                  <c:v>50.11</c:v>
                </c:pt>
                <c:pt idx="8">
                  <c:v>50.11</c:v>
                </c:pt>
              </c:numCache>
            </c:numRef>
          </c:yVal>
          <c:smooth val="0"/>
          <c:extLst>
            <c:ext xmlns:c16="http://schemas.microsoft.com/office/drawing/2014/chart" uri="{C3380CC4-5D6E-409C-BE32-E72D297353CC}">
              <c16:uniqueId val="{00000007-19DA-432F-8DFD-5697204745F4}"/>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 (sq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egendEntry>
        <c:idx val="1"/>
        <c:delete val="1"/>
      </c:legendEntry>
      <c:layout>
        <c:manualLayout>
          <c:xMode val="edge"/>
          <c:yMode val="edge"/>
          <c:x val="0.10166212572773514"/>
          <c:y val="0.11069641294838146"/>
          <c:w val="0.21259154848917861"/>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Engine Section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Summary!$C$85:$S$85</c:f>
              <c:numCache>
                <c:formatCode>General</c:formatCode>
                <c:ptCount val="17"/>
                <c:pt idx="5">
                  <c:v>345</c:v>
                </c:pt>
                <c:pt idx="7">
                  <c:v>349</c:v>
                </c:pt>
                <c:pt idx="8">
                  <c:v>349</c:v>
                </c:pt>
                <c:pt idx="9">
                  <c:v>350</c:v>
                </c:pt>
                <c:pt idx="10">
                  <c:v>345</c:v>
                </c:pt>
                <c:pt idx="11">
                  <c:v>335</c:v>
                </c:pt>
                <c:pt idx="13">
                  <c:v>379</c:v>
                </c:pt>
                <c:pt idx="14">
                  <c:v>383</c:v>
                </c:pt>
                <c:pt idx="15">
                  <c:v>274</c:v>
                </c:pt>
              </c:numCache>
            </c:numRef>
          </c:yVal>
          <c:smooth val="0"/>
          <c:extLst>
            <c:ext xmlns:c16="http://schemas.microsoft.com/office/drawing/2014/chart" uri="{C3380CC4-5D6E-409C-BE32-E72D297353CC}">
              <c16:uniqueId val="{00000000-ADF9-48C0-BB6C-32831C9E748D}"/>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Summary!$AE$85:$BG$85</c:f>
              <c:numCache>
                <c:formatCode>General</c:formatCode>
                <c:ptCount val="29"/>
                <c:pt idx="1">
                  <c:v>142.9</c:v>
                </c:pt>
                <c:pt idx="2">
                  <c:v>143.4</c:v>
                </c:pt>
                <c:pt idx="4">
                  <c:v>135.4</c:v>
                </c:pt>
                <c:pt idx="5">
                  <c:v>165.1</c:v>
                </c:pt>
                <c:pt idx="6">
                  <c:v>237</c:v>
                </c:pt>
                <c:pt idx="8">
                  <c:v>143.4</c:v>
                </c:pt>
                <c:pt idx="9">
                  <c:v>143.4</c:v>
                </c:pt>
                <c:pt idx="10">
                  <c:v>127.6</c:v>
                </c:pt>
                <c:pt idx="11">
                  <c:v>163.4</c:v>
                </c:pt>
                <c:pt idx="12">
                  <c:v>127.6</c:v>
                </c:pt>
                <c:pt idx="13">
                  <c:v>294</c:v>
                </c:pt>
                <c:pt idx="14">
                  <c:v>298</c:v>
                </c:pt>
                <c:pt idx="15">
                  <c:v>335</c:v>
                </c:pt>
                <c:pt idx="17">
                  <c:v>335</c:v>
                </c:pt>
                <c:pt idx="18">
                  <c:v>253</c:v>
                </c:pt>
                <c:pt idx="19">
                  <c:v>307.39999999999998</c:v>
                </c:pt>
                <c:pt idx="20">
                  <c:v>308.2</c:v>
                </c:pt>
                <c:pt idx="22">
                  <c:v>359.7</c:v>
                </c:pt>
                <c:pt idx="23">
                  <c:v>411.6</c:v>
                </c:pt>
                <c:pt idx="24">
                  <c:v>404.9</c:v>
                </c:pt>
                <c:pt idx="25">
                  <c:v>426.2</c:v>
                </c:pt>
              </c:numCache>
            </c:numRef>
          </c:yVal>
          <c:smooth val="0"/>
          <c:extLst>
            <c:ext xmlns:c16="http://schemas.microsoft.com/office/drawing/2014/chart" uri="{C3380CC4-5D6E-409C-BE32-E72D297353CC}">
              <c16:uniqueId val="{00000001-ADF9-48C0-BB6C-32831C9E748D}"/>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Summary!$BI$85:$BP$85</c:f>
              <c:numCache>
                <c:formatCode>General</c:formatCode>
                <c:ptCount val="8"/>
                <c:pt idx="2">
                  <c:v>383.2</c:v>
                </c:pt>
              </c:numCache>
            </c:numRef>
          </c:yVal>
          <c:smooth val="0"/>
          <c:extLst>
            <c:ext xmlns:c16="http://schemas.microsoft.com/office/drawing/2014/chart" uri="{C3380CC4-5D6E-409C-BE32-E72D297353CC}">
              <c16:uniqueId val="{00000002-ADF9-48C0-BB6C-32831C9E748D}"/>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Summary!$BR$85:$CA$85</c:f>
              <c:numCache>
                <c:formatCode>General</c:formatCode>
                <c:ptCount val="10"/>
                <c:pt idx="4">
                  <c:v>98.41</c:v>
                </c:pt>
              </c:numCache>
            </c:numRef>
          </c:yVal>
          <c:smooth val="0"/>
          <c:extLst>
            <c:ext xmlns:c16="http://schemas.microsoft.com/office/drawing/2014/chart" uri="{C3380CC4-5D6E-409C-BE32-E72D297353CC}">
              <c16:uniqueId val="{00000003-ADF9-48C0-BB6C-32831C9E748D}"/>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a:t>
                </a:r>
                <a:r>
                  <a:rPr lang="en-US" baseline="0"/>
                  <a:t> Mission Weight (lb)</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Engine Section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Summary!$C$93:$S$93</c:f>
              <c:numCache>
                <c:formatCode>General</c:formatCode>
                <c:ptCount val="17"/>
                <c:pt idx="0">
                  <c:v>770</c:v>
                </c:pt>
                <c:pt idx="1">
                  <c:v>1384</c:v>
                </c:pt>
                <c:pt idx="2">
                  <c:v>1458</c:v>
                </c:pt>
                <c:pt idx="5">
                  <c:v>1413</c:v>
                </c:pt>
                <c:pt idx="6">
                  <c:v>1416</c:v>
                </c:pt>
                <c:pt idx="7">
                  <c:v>1632</c:v>
                </c:pt>
                <c:pt idx="8">
                  <c:v>1397</c:v>
                </c:pt>
                <c:pt idx="9">
                  <c:v>1583</c:v>
                </c:pt>
                <c:pt idx="10">
                  <c:v>1418</c:v>
                </c:pt>
                <c:pt idx="11">
                  <c:v>1432</c:v>
                </c:pt>
                <c:pt idx="12">
                  <c:v>2680</c:v>
                </c:pt>
                <c:pt idx="13">
                  <c:v>3219</c:v>
                </c:pt>
                <c:pt idx="14">
                  <c:v>3260.2</c:v>
                </c:pt>
                <c:pt idx="15">
                  <c:v>1670</c:v>
                </c:pt>
                <c:pt idx="16">
                  <c:v>1780</c:v>
                </c:pt>
              </c:numCache>
            </c:numRef>
          </c:xVal>
          <c:yVal>
            <c:numRef>
              <c:f>Summary!$C$85:$S$85</c:f>
              <c:numCache>
                <c:formatCode>General</c:formatCode>
                <c:ptCount val="17"/>
                <c:pt idx="5">
                  <c:v>345</c:v>
                </c:pt>
                <c:pt idx="7">
                  <c:v>349</c:v>
                </c:pt>
                <c:pt idx="8">
                  <c:v>349</c:v>
                </c:pt>
                <c:pt idx="9">
                  <c:v>350</c:v>
                </c:pt>
                <c:pt idx="10">
                  <c:v>345</c:v>
                </c:pt>
                <c:pt idx="11">
                  <c:v>335</c:v>
                </c:pt>
                <c:pt idx="13">
                  <c:v>379</c:v>
                </c:pt>
                <c:pt idx="14">
                  <c:v>383</c:v>
                </c:pt>
                <c:pt idx="15">
                  <c:v>274</c:v>
                </c:pt>
              </c:numCache>
            </c:numRef>
          </c:yVal>
          <c:smooth val="0"/>
          <c:extLst>
            <c:ext xmlns:c16="http://schemas.microsoft.com/office/drawing/2014/chart" uri="{C3380CC4-5D6E-409C-BE32-E72D297353CC}">
              <c16:uniqueId val="{00000000-E7E1-413A-8EEA-62952436E934}"/>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Summary!$AE$93:$BG$93</c:f>
              <c:numCache>
                <c:formatCode>General</c:formatCode>
                <c:ptCount val="29"/>
                <c:pt idx="6">
                  <c:v>1370</c:v>
                </c:pt>
                <c:pt idx="7">
                  <c:v>1381</c:v>
                </c:pt>
                <c:pt idx="8">
                  <c:v>1186.2</c:v>
                </c:pt>
                <c:pt idx="9">
                  <c:v>1186.2</c:v>
                </c:pt>
                <c:pt idx="13">
                  <c:v>1807</c:v>
                </c:pt>
                <c:pt idx="14">
                  <c:v>1782</c:v>
                </c:pt>
                <c:pt idx="15">
                  <c:v>1810</c:v>
                </c:pt>
                <c:pt idx="16">
                  <c:v>1789</c:v>
                </c:pt>
                <c:pt idx="17">
                  <c:v>1810</c:v>
                </c:pt>
                <c:pt idx="18">
                  <c:v>1401</c:v>
                </c:pt>
                <c:pt idx="19">
                  <c:v>2738.1</c:v>
                </c:pt>
                <c:pt idx="20">
                  <c:v>2735.5</c:v>
                </c:pt>
                <c:pt idx="21">
                  <c:v>2825</c:v>
                </c:pt>
                <c:pt idx="22">
                  <c:v>2822.5</c:v>
                </c:pt>
                <c:pt idx="23">
                  <c:v>2783</c:v>
                </c:pt>
                <c:pt idx="24">
                  <c:v>2762.3</c:v>
                </c:pt>
                <c:pt idx="25">
                  <c:v>2773</c:v>
                </c:pt>
                <c:pt idx="26">
                  <c:v>2763</c:v>
                </c:pt>
                <c:pt idx="27">
                  <c:v>2791</c:v>
                </c:pt>
                <c:pt idx="28">
                  <c:v>2452</c:v>
                </c:pt>
              </c:numCache>
            </c:numRef>
          </c:xVal>
          <c:yVal>
            <c:numRef>
              <c:f>Summary!$AE$85:$BG$85</c:f>
              <c:numCache>
                <c:formatCode>General</c:formatCode>
                <c:ptCount val="29"/>
                <c:pt idx="1">
                  <c:v>142.9</c:v>
                </c:pt>
                <c:pt idx="2">
                  <c:v>143.4</c:v>
                </c:pt>
                <c:pt idx="4">
                  <c:v>135.4</c:v>
                </c:pt>
                <c:pt idx="5">
                  <c:v>165.1</c:v>
                </c:pt>
                <c:pt idx="6">
                  <c:v>237</c:v>
                </c:pt>
                <c:pt idx="8">
                  <c:v>143.4</c:v>
                </c:pt>
                <c:pt idx="9">
                  <c:v>143.4</c:v>
                </c:pt>
                <c:pt idx="10">
                  <c:v>127.6</c:v>
                </c:pt>
                <c:pt idx="11">
                  <c:v>163.4</c:v>
                </c:pt>
                <c:pt idx="12">
                  <c:v>127.6</c:v>
                </c:pt>
                <c:pt idx="13">
                  <c:v>294</c:v>
                </c:pt>
                <c:pt idx="14">
                  <c:v>298</c:v>
                </c:pt>
                <c:pt idx="15">
                  <c:v>335</c:v>
                </c:pt>
                <c:pt idx="17">
                  <c:v>335</c:v>
                </c:pt>
                <c:pt idx="18">
                  <c:v>253</c:v>
                </c:pt>
                <c:pt idx="19">
                  <c:v>307.39999999999998</c:v>
                </c:pt>
                <c:pt idx="20">
                  <c:v>308.2</c:v>
                </c:pt>
                <c:pt idx="22">
                  <c:v>359.7</c:v>
                </c:pt>
                <c:pt idx="23">
                  <c:v>411.6</c:v>
                </c:pt>
                <c:pt idx="24">
                  <c:v>404.9</c:v>
                </c:pt>
                <c:pt idx="25">
                  <c:v>426.2</c:v>
                </c:pt>
              </c:numCache>
            </c:numRef>
          </c:yVal>
          <c:smooth val="0"/>
          <c:extLst>
            <c:ext xmlns:c16="http://schemas.microsoft.com/office/drawing/2014/chart" uri="{C3380CC4-5D6E-409C-BE32-E72D297353CC}">
              <c16:uniqueId val="{00000001-E7E1-413A-8EEA-62952436E934}"/>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Summary!$BI$93:$BP$93</c:f>
              <c:numCache>
                <c:formatCode>General</c:formatCode>
                <c:ptCount val="8"/>
                <c:pt idx="0">
                  <c:v>1198</c:v>
                </c:pt>
                <c:pt idx="1">
                  <c:v>1396</c:v>
                </c:pt>
                <c:pt idx="2">
                  <c:v>2180</c:v>
                </c:pt>
                <c:pt idx="3">
                  <c:v>3072</c:v>
                </c:pt>
                <c:pt idx="4">
                  <c:v>2158</c:v>
                </c:pt>
                <c:pt idx="5">
                  <c:v>2921</c:v>
                </c:pt>
                <c:pt idx="7">
                  <c:v>2133</c:v>
                </c:pt>
              </c:numCache>
            </c:numRef>
          </c:xVal>
          <c:yVal>
            <c:numRef>
              <c:f>Summary!$BI$85:$BP$85</c:f>
              <c:numCache>
                <c:formatCode>General</c:formatCode>
                <c:ptCount val="8"/>
                <c:pt idx="2">
                  <c:v>383.2</c:v>
                </c:pt>
              </c:numCache>
            </c:numRef>
          </c:yVal>
          <c:smooth val="0"/>
          <c:extLst>
            <c:ext xmlns:c16="http://schemas.microsoft.com/office/drawing/2014/chart" uri="{C3380CC4-5D6E-409C-BE32-E72D297353CC}">
              <c16:uniqueId val="{00000002-E7E1-413A-8EEA-62952436E934}"/>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Summary!$BR$93:$CA$93</c:f>
              <c:numCache>
                <c:formatCode>General</c:formatCode>
                <c:ptCount val="10"/>
                <c:pt idx="0">
                  <c:v>407</c:v>
                </c:pt>
                <c:pt idx="1">
                  <c:v>349</c:v>
                </c:pt>
                <c:pt idx="2">
                  <c:v>691</c:v>
                </c:pt>
                <c:pt idx="3">
                  <c:v>740</c:v>
                </c:pt>
                <c:pt idx="4">
                  <c:v>735.16</c:v>
                </c:pt>
                <c:pt idx="5">
                  <c:v>750</c:v>
                </c:pt>
                <c:pt idx="6">
                  <c:v>919</c:v>
                </c:pt>
                <c:pt idx="7">
                  <c:v>939</c:v>
                </c:pt>
                <c:pt idx="8">
                  <c:v>945</c:v>
                </c:pt>
                <c:pt idx="9">
                  <c:v>524</c:v>
                </c:pt>
              </c:numCache>
            </c:numRef>
          </c:xVal>
          <c:yVal>
            <c:numRef>
              <c:f>Summary!$BR$85:$CA$85</c:f>
              <c:numCache>
                <c:formatCode>General</c:formatCode>
                <c:ptCount val="10"/>
                <c:pt idx="4">
                  <c:v>98.41</c:v>
                </c:pt>
              </c:numCache>
            </c:numRef>
          </c:yVal>
          <c:smooth val="0"/>
          <c:extLst>
            <c:ext xmlns:c16="http://schemas.microsoft.com/office/drawing/2014/chart" uri="{C3380CC4-5D6E-409C-BE32-E72D297353CC}">
              <c16:uniqueId val="{00000003-E7E1-413A-8EEA-62952436E934}"/>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Engine</a:t>
                </a:r>
                <a:r>
                  <a:rPr lang="en-US" baseline="0"/>
                  <a:t> with Accessories Weight (lb)</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Wing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Summary!$D$33:$S$33</c:f>
              <c:numCache>
                <c:formatCode>General</c:formatCode>
                <c:ptCount val="16"/>
                <c:pt idx="0">
                  <c:v>220</c:v>
                </c:pt>
                <c:pt idx="1">
                  <c:v>236</c:v>
                </c:pt>
                <c:pt idx="2">
                  <c:v>236</c:v>
                </c:pt>
                <c:pt idx="3">
                  <c:v>236</c:v>
                </c:pt>
                <c:pt idx="4">
                  <c:v>236</c:v>
                </c:pt>
                <c:pt idx="5">
                  <c:v>236</c:v>
                </c:pt>
                <c:pt idx="6">
                  <c:v>236</c:v>
                </c:pt>
                <c:pt idx="7">
                  <c:v>236</c:v>
                </c:pt>
                <c:pt idx="8">
                  <c:v>236</c:v>
                </c:pt>
                <c:pt idx="9">
                  <c:v>236</c:v>
                </c:pt>
                <c:pt idx="10">
                  <c:v>236</c:v>
                </c:pt>
                <c:pt idx="11">
                  <c:v>300</c:v>
                </c:pt>
                <c:pt idx="12">
                  <c:v>300</c:v>
                </c:pt>
                <c:pt idx="13">
                  <c:v>300</c:v>
                </c:pt>
                <c:pt idx="14">
                  <c:v>233.19</c:v>
                </c:pt>
                <c:pt idx="15">
                  <c:v>236</c:v>
                </c:pt>
              </c:numCache>
            </c:numRef>
          </c:xVal>
          <c:yVal>
            <c:numRef>
              <c:f>Summary!$D$68:$S$68</c:f>
              <c:numCache>
                <c:formatCode>General</c:formatCode>
                <c:ptCount val="16"/>
                <c:pt idx="0">
                  <c:v>785</c:v>
                </c:pt>
                <c:pt idx="1">
                  <c:v>814</c:v>
                </c:pt>
                <c:pt idx="2">
                  <c:v>842</c:v>
                </c:pt>
                <c:pt idx="3">
                  <c:v>835</c:v>
                </c:pt>
                <c:pt idx="4">
                  <c:v>1126</c:v>
                </c:pt>
                <c:pt idx="5">
                  <c:v>1105</c:v>
                </c:pt>
                <c:pt idx="6">
                  <c:v>1132</c:v>
                </c:pt>
                <c:pt idx="7">
                  <c:v>1120</c:v>
                </c:pt>
                <c:pt idx="8">
                  <c:v>1126</c:v>
                </c:pt>
                <c:pt idx="9">
                  <c:v>1122</c:v>
                </c:pt>
                <c:pt idx="10">
                  <c:v>1131</c:v>
                </c:pt>
                <c:pt idx="11">
                  <c:v>1755</c:v>
                </c:pt>
                <c:pt idx="12">
                  <c:v>1459.6</c:v>
                </c:pt>
                <c:pt idx="13">
                  <c:v>1447.4</c:v>
                </c:pt>
                <c:pt idx="14">
                  <c:v>1066</c:v>
                </c:pt>
                <c:pt idx="15">
                  <c:v>1027</c:v>
                </c:pt>
              </c:numCache>
            </c:numRef>
          </c:yVal>
          <c:smooth val="0"/>
          <c:extLst>
            <c:ext xmlns:c16="http://schemas.microsoft.com/office/drawing/2014/chart" uri="{C3380CC4-5D6E-409C-BE32-E72D297353CC}">
              <c16:uniqueId val="{00000000-1C7B-43CB-B944-2C0CE4812D0B}"/>
            </c:ext>
          </c:extLst>
        </c:ser>
        <c:ser>
          <c:idx val="1"/>
          <c:order val="1"/>
          <c:tx>
            <c:v>Fighter (USN) - Non-Fold</c:v>
          </c:tx>
          <c:spPr>
            <a:ln w="25400" cap="rnd">
              <a:noFill/>
              <a:round/>
            </a:ln>
            <a:effectLst/>
          </c:spPr>
          <c:marker>
            <c:symbol val="square"/>
            <c:size val="9"/>
            <c:spPr>
              <a:solidFill>
                <a:srgbClr val="0070C0"/>
              </a:solidFill>
              <a:ln w="9525">
                <a:solidFill>
                  <a:srgbClr val="0070C0"/>
                </a:solidFill>
              </a:ln>
              <a:effectLst/>
            </c:spPr>
          </c:marker>
          <c:xVal>
            <c:numRef>
              <c:f>Summary!$AE$33:$AR$33</c:f>
              <c:numCache>
                <c:formatCode>General</c:formatCode>
                <c:ptCount val="14"/>
                <c:pt idx="0">
                  <c:v>208.9</c:v>
                </c:pt>
                <c:pt idx="1">
                  <c:v>208.9</c:v>
                </c:pt>
                <c:pt idx="2">
                  <c:v>208.9</c:v>
                </c:pt>
                <c:pt idx="3">
                  <c:v>208.9</c:v>
                </c:pt>
                <c:pt idx="4">
                  <c:v>208.9</c:v>
                </c:pt>
                <c:pt idx="5">
                  <c:v>208.9</c:v>
                </c:pt>
                <c:pt idx="6">
                  <c:v>208.9</c:v>
                </c:pt>
                <c:pt idx="7">
                  <c:v>208.9</c:v>
                </c:pt>
                <c:pt idx="8">
                  <c:v>208.9</c:v>
                </c:pt>
                <c:pt idx="9">
                  <c:v>208.9</c:v>
                </c:pt>
                <c:pt idx="10">
                  <c:v>208.9</c:v>
                </c:pt>
                <c:pt idx="11">
                  <c:v>208.9</c:v>
                </c:pt>
                <c:pt idx="12">
                  <c:v>208.9</c:v>
                </c:pt>
                <c:pt idx="13">
                  <c:v>260</c:v>
                </c:pt>
              </c:numCache>
            </c:numRef>
          </c:xVal>
          <c:yVal>
            <c:numRef>
              <c:f>Summary!$AE$68:$AR$68</c:f>
              <c:numCache>
                <c:formatCode>General</c:formatCode>
                <c:ptCount val="14"/>
                <c:pt idx="0">
                  <c:v>698.52</c:v>
                </c:pt>
                <c:pt idx="1">
                  <c:v>739.2</c:v>
                </c:pt>
                <c:pt idx="2">
                  <c:v>732.8</c:v>
                </c:pt>
                <c:pt idx="4">
                  <c:v>723</c:v>
                </c:pt>
                <c:pt idx="5">
                  <c:v>870.9</c:v>
                </c:pt>
                <c:pt idx="6">
                  <c:v>811</c:v>
                </c:pt>
                <c:pt idx="7">
                  <c:v>845</c:v>
                </c:pt>
                <c:pt idx="8">
                  <c:v>738</c:v>
                </c:pt>
                <c:pt idx="9">
                  <c:v>758.3</c:v>
                </c:pt>
                <c:pt idx="10">
                  <c:v>701.5</c:v>
                </c:pt>
                <c:pt idx="11">
                  <c:v>866.9</c:v>
                </c:pt>
                <c:pt idx="12">
                  <c:v>843.5</c:v>
                </c:pt>
                <c:pt idx="13">
                  <c:v>893</c:v>
                </c:pt>
              </c:numCache>
            </c:numRef>
          </c:yVal>
          <c:smooth val="0"/>
          <c:extLst>
            <c:ext xmlns:c16="http://schemas.microsoft.com/office/drawing/2014/chart" uri="{C3380CC4-5D6E-409C-BE32-E72D297353CC}">
              <c16:uniqueId val="{00000001-1C7B-43CB-B944-2C0CE4812D0B}"/>
            </c:ext>
          </c:extLst>
        </c:ser>
        <c:ser>
          <c:idx val="4"/>
          <c:order val="2"/>
          <c:tx>
            <c:v>Fighter (USN) - Fold</c:v>
          </c:tx>
          <c:spPr>
            <a:ln w="25400" cap="rnd">
              <a:noFill/>
              <a:round/>
            </a:ln>
            <a:effectLst/>
          </c:spPr>
          <c:marker>
            <c:symbol val="square"/>
            <c:size val="9"/>
            <c:spPr>
              <a:solidFill>
                <a:schemeClr val="bg1"/>
              </a:solidFill>
              <a:ln w="9525">
                <a:solidFill>
                  <a:srgbClr val="0070C0"/>
                </a:solidFill>
              </a:ln>
              <a:effectLst/>
            </c:spPr>
          </c:marker>
          <c:xVal>
            <c:numRef>
              <c:f>Summary!$AU$33:$BG$33</c:f>
              <c:numCache>
                <c:formatCode>General</c:formatCode>
                <c:ptCount val="13"/>
                <c:pt idx="0">
                  <c:v>260</c:v>
                </c:pt>
                <c:pt idx="1">
                  <c:v>260</c:v>
                </c:pt>
                <c:pt idx="2">
                  <c:v>260</c:v>
                </c:pt>
                <c:pt idx="3">
                  <c:v>314</c:v>
                </c:pt>
                <c:pt idx="4">
                  <c:v>314</c:v>
                </c:pt>
                <c:pt idx="5">
                  <c:v>314</c:v>
                </c:pt>
                <c:pt idx="6">
                  <c:v>314</c:v>
                </c:pt>
                <c:pt idx="7">
                  <c:v>334</c:v>
                </c:pt>
                <c:pt idx="8">
                  <c:v>334</c:v>
                </c:pt>
                <c:pt idx="9">
                  <c:v>334</c:v>
                </c:pt>
                <c:pt idx="10">
                  <c:v>334</c:v>
                </c:pt>
                <c:pt idx="11">
                  <c:v>334</c:v>
                </c:pt>
                <c:pt idx="12">
                  <c:v>244</c:v>
                </c:pt>
              </c:numCache>
            </c:numRef>
          </c:xVal>
          <c:yVal>
            <c:numRef>
              <c:f>Summary!$AU$68:$BG$68</c:f>
              <c:numCache>
                <c:formatCode>General</c:formatCode>
                <c:ptCount val="13"/>
                <c:pt idx="0">
                  <c:v>1119</c:v>
                </c:pt>
                <c:pt idx="1">
                  <c:v>1181</c:v>
                </c:pt>
                <c:pt idx="2">
                  <c:v>1154</c:v>
                </c:pt>
                <c:pt idx="3">
                  <c:v>2121.6999999999998</c:v>
                </c:pt>
                <c:pt idx="4">
                  <c:v>2144.9</c:v>
                </c:pt>
                <c:pt idx="5">
                  <c:v>2180</c:v>
                </c:pt>
                <c:pt idx="6">
                  <c:v>2185.5</c:v>
                </c:pt>
                <c:pt idx="7">
                  <c:v>2024.5</c:v>
                </c:pt>
                <c:pt idx="8">
                  <c:v>2007.1</c:v>
                </c:pt>
                <c:pt idx="9">
                  <c:v>2039.8</c:v>
                </c:pt>
                <c:pt idx="10">
                  <c:v>2020</c:v>
                </c:pt>
                <c:pt idx="11">
                  <c:v>2042</c:v>
                </c:pt>
                <c:pt idx="12">
                  <c:v>1142</c:v>
                </c:pt>
              </c:numCache>
            </c:numRef>
          </c:yVal>
          <c:smooth val="0"/>
          <c:extLst>
            <c:ext xmlns:c16="http://schemas.microsoft.com/office/drawing/2014/chart" uri="{C3380CC4-5D6E-409C-BE32-E72D297353CC}">
              <c16:uniqueId val="{00000004-1C7B-43CB-B944-2C0CE4812D0B}"/>
            </c:ext>
          </c:extLst>
        </c:ser>
        <c:ser>
          <c:idx val="2"/>
          <c:order val="3"/>
          <c:tx>
            <c:v>Attack/Dive Bomber</c:v>
          </c:tx>
          <c:spPr>
            <a:ln w="25400" cap="rnd">
              <a:noFill/>
              <a:round/>
            </a:ln>
            <a:effectLst/>
          </c:spPr>
          <c:marker>
            <c:symbol val="diamond"/>
            <c:size val="10"/>
            <c:spPr>
              <a:solidFill>
                <a:srgbClr val="FF0000"/>
              </a:solidFill>
              <a:ln w="9525">
                <a:solidFill>
                  <a:srgbClr val="FF0000"/>
                </a:solidFill>
              </a:ln>
              <a:effectLst/>
            </c:spPr>
          </c:marker>
          <c:xVal>
            <c:numRef>
              <c:f>Summary!$BI$33:$BK$33</c:f>
              <c:numCache>
                <c:formatCode>General</c:formatCode>
                <c:ptCount val="3"/>
                <c:pt idx="0">
                  <c:v>363</c:v>
                </c:pt>
                <c:pt idx="1">
                  <c:v>323.8</c:v>
                </c:pt>
                <c:pt idx="2">
                  <c:v>335</c:v>
                </c:pt>
              </c:numCache>
            </c:numRef>
          </c:xVal>
          <c:yVal>
            <c:numRef>
              <c:f>Summary!$BI$68:$BK$68</c:f>
              <c:numCache>
                <c:formatCode>General</c:formatCode>
                <c:ptCount val="3"/>
                <c:pt idx="0">
                  <c:v>1045</c:v>
                </c:pt>
                <c:pt idx="1">
                  <c:v>1302</c:v>
                </c:pt>
                <c:pt idx="2">
                  <c:v>2172.6</c:v>
                </c:pt>
              </c:numCache>
            </c:numRef>
          </c:yVal>
          <c:smooth val="0"/>
          <c:extLst>
            <c:ext xmlns:c16="http://schemas.microsoft.com/office/drawing/2014/chart" uri="{C3380CC4-5D6E-409C-BE32-E72D297353CC}">
              <c16:uniqueId val="{00000002-1C7B-43CB-B944-2C0CE4812D0B}"/>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Summary!$BR$33:$BZ$33</c:f>
              <c:numCache>
                <c:formatCode>General</c:formatCode>
                <c:ptCount val="9"/>
                <c:pt idx="0">
                  <c:v>200</c:v>
                </c:pt>
                <c:pt idx="1">
                  <c:v>124</c:v>
                </c:pt>
                <c:pt idx="2">
                  <c:v>220</c:v>
                </c:pt>
                <c:pt idx="3">
                  <c:v>248</c:v>
                </c:pt>
                <c:pt idx="4">
                  <c:v>240.42</c:v>
                </c:pt>
                <c:pt idx="5">
                  <c:v>239</c:v>
                </c:pt>
                <c:pt idx="6">
                  <c:v>225</c:v>
                </c:pt>
                <c:pt idx="7">
                  <c:v>258.10000000000002</c:v>
                </c:pt>
                <c:pt idx="8">
                  <c:v>253.73</c:v>
                </c:pt>
              </c:numCache>
            </c:numRef>
          </c:xVal>
          <c:yVal>
            <c:numRef>
              <c:f>Summary!$BR$68:$BZ$68</c:f>
              <c:numCache>
                <c:formatCode>General</c:formatCode>
                <c:ptCount val="9"/>
                <c:pt idx="0">
                  <c:v>498</c:v>
                </c:pt>
                <c:pt idx="1">
                  <c:v>292</c:v>
                </c:pt>
                <c:pt idx="2">
                  <c:v>610</c:v>
                </c:pt>
                <c:pt idx="3">
                  <c:v>663</c:v>
                </c:pt>
                <c:pt idx="4">
                  <c:v>737.75</c:v>
                </c:pt>
                <c:pt idx="5">
                  <c:v>710</c:v>
                </c:pt>
                <c:pt idx="6">
                  <c:v>716</c:v>
                </c:pt>
                <c:pt idx="7">
                  <c:v>743</c:v>
                </c:pt>
                <c:pt idx="8">
                  <c:v>755</c:v>
                </c:pt>
              </c:numCache>
            </c:numRef>
          </c:yVal>
          <c:smooth val="0"/>
          <c:extLst>
            <c:ext xmlns:c16="http://schemas.microsoft.com/office/drawing/2014/chart" uri="{C3380CC4-5D6E-409C-BE32-E72D297353CC}">
              <c16:uniqueId val="{00000003-1C7B-43CB-B944-2C0CE4812D0B}"/>
            </c:ext>
          </c:extLst>
        </c:ser>
        <c:ser>
          <c:idx val="5"/>
          <c:order val="5"/>
          <c:tx>
            <c:v>Attack/Dive/Torp - Fold</c:v>
          </c:tx>
          <c:spPr>
            <a:ln w="25400" cap="rnd">
              <a:noFill/>
              <a:round/>
            </a:ln>
            <a:effectLst/>
          </c:spPr>
          <c:marker>
            <c:symbol val="diamond"/>
            <c:size val="10"/>
            <c:spPr>
              <a:solidFill>
                <a:schemeClr val="bg1"/>
              </a:solidFill>
              <a:ln w="9525">
                <a:solidFill>
                  <a:srgbClr val="FF0000"/>
                </a:solidFill>
              </a:ln>
              <a:effectLst/>
            </c:spPr>
          </c:marker>
          <c:xVal>
            <c:numRef>
              <c:f>Summary!$BL$33:$BP$33</c:f>
              <c:numCache>
                <c:formatCode>General</c:formatCode>
                <c:ptCount val="5"/>
                <c:pt idx="0">
                  <c:v>400</c:v>
                </c:pt>
                <c:pt idx="1">
                  <c:v>422</c:v>
                </c:pt>
                <c:pt idx="2">
                  <c:v>400</c:v>
                </c:pt>
                <c:pt idx="4">
                  <c:v>490</c:v>
                </c:pt>
              </c:numCache>
            </c:numRef>
          </c:xVal>
          <c:yVal>
            <c:numRef>
              <c:f>Summary!$BL$68:$BP$68</c:f>
              <c:numCache>
                <c:formatCode>General</c:formatCode>
                <c:ptCount val="5"/>
                <c:pt idx="0">
                  <c:v>2589</c:v>
                </c:pt>
                <c:pt idx="1">
                  <c:v>3018</c:v>
                </c:pt>
                <c:pt idx="2">
                  <c:v>2011</c:v>
                </c:pt>
                <c:pt idx="4">
                  <c:v>2478</c:v>
                </c:pt>
              </c:numCache>
            </c:numRef>
          </c:yVal>
          <c:smooth val="0"/>
          <c:extLst>
            <c:ext xmlns:c16="http://schemas.microsoft.com/office/drawing/2014/chart" uri="{C3380CC4-5D6E-409C-BE32-E72D297353CC}">
              <c16:uniqueId val="{00000005-1C7B-43CB-B944-2C0CE4812D0B}"/>
            </c:ext>
          </c:extLst>
        </c:ser>
        <c:ser>
          <c:idx val="6"/>
          <c:order val="6"/>
          <c:tx>
            <c:v>Trainers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Summary!$CA$33</c:f>
              <c:numCache>
                <c:formatCode>General</c:formatCode>
                <c:ptCount val="1"/>
                <c:pt idx="0">
                  <c:v>298</c:v>
                </c:pt>
              </c:numCache>
            </c:numRef>
          </c:xVal>
          <c:yVal>
            <c:numRef>
              <c:f>Summary!$CA$68</c:f>
              <c:numCache>
                <c:formatCode>General</c:formatCode>
                <c:ptCount val="1"/>
                <c:pt idx="0">
                  <c:v>444</c:v>
                </c:pt>
              </c:numCache>
            </c:numRef>
          </c:yVal>
          <c:smooth val="0"/>
          <c:extLst>
            <c:ext xmlns:c16="http://schemas.microsoft.com/office/drawing/2014/chart" uri="{C3380CC4-5D6E-409C-BE32-E72D297353CC}">
              <c16:uniqueId val="{00000000-CE76-4908-A0F3-903590FA7818}"/>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Win Area (sq</a:t>
                </a:r>
                <a:r>
                  <a:rPr lang="en-US" baseline="0"/>
                  <a:t>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5157267960754367"/>
          <c:h val="0.23863803388212837"/>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Wing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Fighter (USN) - Non-Fold</c:v>
          </c:tx>
          <c:spPr>
            <a:ln w="25400" cap="rnd">
              <a:noFill/>
              <a:round/>
            </a:ln>
            <a:effectLst/>
          </c:spPr>
          <c:marker>
            <c:symbol val="square"/>
            <c:size val="9"/>
            <c:spPr>
              <a:solidFill>
                <a:srgbClr val="0070C0"/>
              </a:solidFill>
              <a:ln w="9525">
                <a:solidFill>
                  <a:srgbClr val="0070C0"/>
                </a:solidFill>
              </a:ln>
              <a:effectLst/>
            </c:spPr>
          </c:marker>
          <c:xVal>
            <c:numRef>
              <c:f>Summary!$AE$33:$AR$33</c:f>
              <c:numCache>
                <c:formatCode>General</c:formatCode>
                <c:ptCount val="14"/>
                <c:pt idx="0">
                  <c:v>208.9</c:v>
                </c:pt>
                <c:pt idx="1">
                  <c:v>208.9</c:v>
                </c:pt>
                <c:pt idx="2">
                  <c:v>208.9</c:v>
                </c:pt>
                <c:pt idx="3">
                  <c:v>208.9</c:v>
                </c:pt>
                <c:pt idx="4">
                  <c:v>208.9</c:v>
                </c:pt>
                <c:pt idx="5">
                  <c:v>208.9</c:v>
                </c:pt>
                <c:pt idx="6">
                  <c:v>208.9</c:v>
                </c:pt>
                <c:pt idx="7">
                  <c:v>208.9</c:v>
                </c:pt>
                <c:pt idx="8">
                  <c:v>208.9</c:v>
                </c:pt>
                <c:pt idx="9">
                  <c:v>208.9</c:v>
                </c:pt>
                <c:pt idx="10">
                  <c:v>208.9</c:v>
                </c:pt>
                <c:pt idx="11">
                  <c:v>208.9</c:v>
                </c:pt>
                <c:pt idx="12">
                  <c:v>208.9</c:v>
                </c:pt>
                <c:pt idx="13">
                  <c:v>260</c:v>
                </c:pt>
              </c:numCache>
            </c:numRef>
          </c:xVal>
          <c:yVal>
            <c:numRef>
              <c:f>Summary!$AE$68:$AR$68</c:f>
              <c:numCache>
                <c:formatCode>General</c:formatCode>
                <c:ptCount val="14"/>
                <c:pt idx="0">
                  <c:v>698.52</c:v>
                </c:pt>
                <c:pt idx="1">
                  <c:v>739.2</c:v>
                </c:pt>
                <c:pt idx="2">
                  <c:v>732.8</c:v>
                </c:pt>
                <c:pt idx="4">
                  <c:v>723</c:v>
                </c:pt>
                <c:pt idx="5">
                  <c:v>870.9</c:v>
                </c:pt>
                <c:pt idx="6">
                  <c:v>811</c:v>
                </c:pt>
                <c:pt idx="7">
                  <c:v>845</c:v>
                </c:pt>
                <c:pt idx="8">
                  <c:v>738</c:v>
                </c:pt>
                <c:pt idx="9">
                  <c:v>758.3</c:v>
                </c:pt>
                <c:pt idx="10">
                  <c:v>701.5</c:v>
                </c:pt>
                <c:pt idx="11">
                  <c:v>866.9</c:v>
                </c:pt>
                <c:pt idx="12">
                  <c:v>843.5</c:v>
                </c:pt>
                <c:pt idx="13">
                  <c:v>893</c:v>
                </c:pt>
              </c:numCache>
            </c:numRef>
          </c:yVal>
          <c:smooth val="0"/>
          <c:extLst>
            <c:ext xmlns:c16="http://schemas.microsoft.com/office/drawing/2014/chart" uri="{C3380CC4-5D6E-409C-BE32-E72D297353CC}">
              <c16:uniqueId val="{00000001-2990-4B1C-9F78-32C0F45CB571}"/>
            </c:ext>
          </c:extLst>
        </c:ser>
        <c:ser>
          <c:idx val="4"/>
          <c:order val="1"/>
          <c:tx>
            <c:v>Fighter (USN) - Fold</c:v>
          </c:tx>
          <c:spPr>
            <a:ln w="25400" cap="rnd">
              <a:noFill/>
              <a:round/>
            </a:ln>
            <a:effectLst/>
          </c:spPr>
          <c:marker>
            <c:symbol val="square"/>
            <c:size val="9"/>
            <c:spPr>
              <a:solidFill>
                <a:schemeClr val="bg1"/>
              </a:solidFill>
              <a:ln w="9525">
                <a:solidFill>
                  <a:srgbClr val="0070C0"/>
                </a:solidFill>
              </a:ln>
              <a:effectLst/>
            </c:spPr>
          </c:marker>
          <c:xVal>
            <c:numRef>
              <c:f>Summary!$AU$33:$BG$33</c:f>
              <c:numCache>
                <c:formatCode>General</c:formatCode>
                <c:ptCount val="13"/>
                <c:pt idx="0">
                  <c:v>260</c:v>
                </c:pt>
                <c:pt idx="1">
                  <c:v>260</c:v>
                </c:pt>
                <c:pt idx="2">
                  <c:v>260</c:v>
                </c:pt>
                <c:pt idx="3">
                  <c:v>314</c:v>
                </c:pt>
                <c:pt idx="4">
                  <c:v>314</c:v>
                </c:pt>
                <c:pt idx="5">
                  <c:v>314</c:v>
                </c:pt>
                <c:pt idx="6">
                  <c:v>314</c:v>
                </c:pt>
                <c:pt idx="7">
                  <c:v>334</c:v>
                </c:pt>
                <c:pt idx="8">
                  <c:v>334</c:v>
                </c:pt>
                <c:pt idx="9">
                  <c:v>334</c:v>
                </c:pt>
                <c:pt idx="10">
                  <c:v>334</c:v>
                </c:pt>
                <c:pt idx="11">
                  <c:v>334</c:v>
                </c:pt>
                <c:pt idx="12">
                  <c:v>244</c:v>
                </c:pt>
              </c:numCache>
            </c:numRef>
          </c:xVal>
          <c:yVal>
            <c:numRef>
              <c:f>Summary!$AU$68:$BG$68</c:f>
              <c:numCache>
                <c:formatCode>General</c:formatCode>
                <c:ptCount val="13"/>
                <c:pt idx="0">
                  <c:v>1119</c:v>
                </c:pt>
                <c:pt idx="1">
                  <c:v>1181</c:v>
                </c:pt>
                <c:pt idx="2">
                  <c:v>1154</c:v>
                </c:pt>
                <c:pt idx="3">
                  <c:v>2121.6999999999998</c:v>
                </c:pt>
                <c:pt idx="4">
                  <c:v>2144.9</c:v>
                </c:pt>
                <c:pt idx="5">
                  <c:v>2180</c:v>
                </c:pt>
                <c:pt idx="6">
                  <c:v>2185.5</c:v>
                </c:pt>
                <c:pt idx="7">
                  <c:v>2024.5</c:v>
                </c:pt>
                <c:pt idx="8">
                  <c:v>2007.1</c:v>
                </c:pt>
                <c:pt idx="9">
                  <c:v>2039.8</c:v>
                </c:pt>
                <c:pt idx="10">
                  <c:v>2020</c:v>
                </c:pt>
                <c:pt idx="11">
                  <c:v>2042</c:v>
                </c:pt>
                <c:pt idx="12">
                  <c:v>1142</c:v>
                </c:pt>
              </c:numCache>
            </c:numRef>
          </c:yVal>
          <c:smooth val="0"/>
          <c:extLst>
            <c:ext xmlns:c16="http://schemas.microsoft.com/office/drawing/2014/chart" uri="{C3380CC4-5D6E-409C-BE32-E72D297353CC}">
              <c16:uniqueId val="{00000002-2990-4B1C-9F78-32C0F45CB571}"/>
            </c:ext>
          </c:extLst>
        </c:ser>
        <c:ser>
          <c:idx val="2"/>
          <c:order val="2"/>
          <c:tx>
            <c:v>Attack/Dive Bomber</c:v>
          </c:tx>
          <c:spPr>
            <a:ln w="25400" cap="rnd">
              <a:noFill/>
              <a:round/>
            </a:ln>
            <a:effectLst/>
          </c:spPr>
          <c:marker>
            <c:symbol val="diamond"/>
            <c:size val="10"/>
            <c:spPr>
              <a:solidFill>
                <a:srgbClr val="FF0000"/>
              </a:solidFill>
              <a:ln w="9525">
                <a:solidFill>
                  <a:srgbClr val="FF0000"/>
                </a:solidFill>
              </a:ln>
              <a:effectLst/>
            </c:spPr>
          </c:marker>
          <c:xVal>
            <c:numRef>
              <c:f>Summary!$BI$33:$BK$33</c:f>
              <c:numCache>
                <c:formatCode>General</c:formatCode>
                <c:ptCount val="3"/>
                <c:pt idx="0">
                  <c:v>363</c:v>
                </c:pt>
                <c:pt idx="1">
                  <c:v>323.8</c:v>
                </c:pt>
                <c:pt idx="2">
                  <c:v>335</c:v>
                </c:pt>
              </c:numCache>
            </c:numRef>
          </c:xVal>
          <c:yVal>
            <c:numRef>
              <c:f>Summary!$BI$68:$BK$68</c:f>
              <c:numCache>
                <c:formatCode>General</c:formatCode>
                <c:ptCount val="3"/>
                <c:pt idx="0">
                  <c:v>1045</c:v>
                </c:pt>
                <c:pt idx="1">
                  <c:v>1302</c:v>
                </c:pt>
                <c:pt idx="2">
                  <c:v>2172.6</c:v>
                </c:pt>
              </c:numCache>
            </c:numRef>
          </c:yVal>
          <c:smooth val="0"/>
          <c:extLst>
            <c:ext xmlns:c16="http://schemas.microsoft.com/office/drawing/2014/chart" uri="{C3380CC4-5D6E-409C-BE32-E72D297353CC}">
              <c16:uniqueId val="{00000003-2990-4B1C-9F78-32C0F45CB571}"/>
            </c:ext>
          </c:extLst>
        </c:ser>
        <c:ser>
          <c:idx val="5"/>
          <c:order val="3"/>
          <c:tx>
            <c:v>Attack/Dive/Torp - Fold</c:v>
          </c:tx>
          <c:spPr>
            <a:ln w="25400" cap="rnd">
              <a:noFill/>
              <a:round/>
            </a:ln>
            <a:effectLst/>
          </c:spPr>
          <c:marker>
            <c:symbol val="diamond"/>
            <c:size val="10"/>
            <c:spPr>
              <a:solidFill>
                <a:schemeClr val="bg1"/>
              </a:solidFill>
              <a:ln w="9525">
                <a:solidFill>
                  <a:srgbClr val="FF0000"/>
                </a:solidFill>
              </a:ln>
              <a:effectLst/>
            </c:spPr>
          </c:marker>
          <c:xVal>
            <c:numRef>
              <c:f>Summary!$BL$33:$BP$33</c:f>
              <c:numCache>
                <c:formatCode>General</c:formatCode>
                <c:ptCount val="5"/>
                <c:pt idx="0">
                  <c:v>400</c:v>
                </c:pt>
                <c:pt idx="1">
                  <c:v>422</c:v>
                </c:pt>
                <c:pt idx="2">
                  <c:v>400</c:v>
                </c:pt>
                <c:pt idx="4">
                  <c:v>490</c:v>
                </c:pt>
              </c:numCache>
            </c:numRef>
          </c:xVal>
          <c:yVal>
            <c:numRef>
              <c:f>Summary!$BL$68:$BP$68</c:f>
              <c:numCache>
                <c:formatCode>General</c:formatCode>
                <c:ptCount val="5"/>
                <c:pt idx="0">
                  <c:v>2589</c:v>
                </c:pt>
                <c:pt idx="1">
                  <c:v>3018</c:v>
                </c:pt>
                <c:pt idx="2">
                  <c:v>2011</c:v>
                </c:pt>
                <c:pt idx="4">
                  <c:v>2478</c:v>
                </c:pt>
              </c:numCache>
            </c:numRef>
          </c:yVal>
          <c:smooth val="0"/>
          <c:extLst>
            <c:ext xmlns:c16="http://schemas.microsoft.com/office/drawing/2014/chart" uri="{C3380CC4-5D6E-409C-BE32-E72D297353CC}">
              <c16:uniqueId val="{00000005-2990-4B1C-9F78-32C0F45CB571}"/>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Wing Are (sq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a:t>
                </a:r>
                <a:r>
                  <a:rPr lang="en-US" baseline="0"/>
                  <a:t> (lb)</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20445037042718481"/>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Wing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Summary!$D$147:$S$147</c:f>
              <c:numCache>
                <c:formatCode>General</c:formatCode>
                <c:ptCount val="16"/>
                <c:pt idx="0">
                  <c:v>5599</c:v>
                </c:pt>
                <c:pt idx="1">
                  <c:v>5531</c:v>
                </c:pt>
                <c:pt idx="2">
                  <c:v>5689</c:v>
                </c:pt>
                <c:pt idx="3">
                  <c:v>5919</c:v>
                </c:pt>
                <c:pt idx="5">
                  <c:v>8427</c:v>
                </c:pt>
                <c:pt idx="11">
                  <c:v>13373</c:v>
                </c:pt>
                <c:pt idx="15">
                  <c:v>10119</c:v>
                </c:pt>
              </c:numCache>
            </c:numRef>
          </c:xVal>
          <c:yVal>
            <c:numRef>
              <c:f>Summary!$D$68:$S$68</c:f>
              <c:numCache>
                <c:formatCode>General</c:formatCode>
                <c:ptCount val="16"/>
                <c:pt idx="0">
                  <c:v>785</c:v>
                </c:pt>
                <c:pt idx="1">
                  <c:v>814</c:v>
                </c:pt>
                <c:pt idx="2">
                  <c:v>842</c:v>
                </c:pt>
                <c:pt idx="3">
                  <c:v>835</c:v>
                </c:pt>
                <c:pt idx="4">
                  <c:v>1126</c:v>
                </c:pt>
                <c:pt idx="5">
                  <c:v>1105</c:v>
                </c:pt>
                <c:pt idx="6">
                  <c:v>1132</c:v>
                </c:pt>
                <c:pt idx="7">
                  <c:v>1120</c:v>
                </c:pt>
                <c:pt idx="8">
                  <c:v>1126</c:v>
                </c:pt>
                <c:pt idx="9">
                  <c:v>1122</c:v>
                </c:pt>
                <c:pt idx="10">
                  <c:v>1131</c:v>
                </c:pt>
                <c:pt idx="11">
                  <c:v>1755</c:v>
                </c:pt>
                <c:pt idx="12">
                  <c:v>1459.6</c:v>
                </c:pt>
                <c:pt idx="13">
                  <c:v>1447.4</c:v>
                </c:pt>
                <c:pt idx="14">
                  <c:v>1066</c:v>
                </c:pt>
                <c:pt idx="15">
                  <c:v>1027</c:v>
                </c:pt>
              </c:numCache>
            </c:numRef>
          </c:yVal>
          <c:smooth val="0"/>
          <c:extLst>
            <c:ext xmlns:c16="http://schemas.microsoft.com/office/drawing/2014/chart" uri="{C3380CC4-5D6E-409C-BE32-E72D297353CC}">
              <c16:uniqueId val="{00000000-6AA2-483A-9AD5-F9081CDC3258}"/>
            </c:ext>
          </c:extLst>
        </c:ser>
        <c:ser>
          <c:idx val="1"/>
          <c:order val="1"/>
          <c:tx>
            <c:v>Fighter (USN) - Non-Fold</c:v>
          </c:tx>
          <c:spPr>
            <a:ln w="25400" cap="rnd">
              <a:noFill/>
              <a:round/>
            </a:ln>
            <a:effectLst/>
          </c:spPr>
          <c:marker>
            <c:symbol val="square"/>
            <c:size val="9"/>
            <c:spPr>
              <a:solidFill>
                <a:srgbClr val="0070C0"/>
              </a:solidFill>
              <a:ln w="9525">
                <a:solidFill>
                  <a:srgbClr val="0070C0"/>
                </a:solidFill>
              </a:ln>
              <a:effectLst/>
            </c:spPr>
          </c:marker>
          <c:xVal>
            <c:numRef>
              <c:f>Summary!$AE$147:$AR$147</c:f>
              <c:numCache>
                <c:formatCode>General</c:formatCode>
                <c:ptCount val="14"/>
                <c:pt idx="0">
                  <c:v>4999.55</c:v>
                </c:pt>
                <c:pt idx="1">
                  <c:v>5053</c:v>
                </c:pt>
                <c:pt idx="2">
                  <c:v>5055.2000000000007</c:v>
                </c:pt>
                <c:pt idx="3">
                  <c:v>5409.2</c:v>
                </c:pt>
                <c:pt idx="4">
                  <c:v>5418.5</c:v>
                </c:pt>
                <c:pt idx="5">
                  <c:v>6518.6</c:v>
                </c:pt>
                <c:pt idx="7">
                  <c:v>7229</c:v>
                </c:pt>
                <c:pt idx="9">
                  <c:v>5016</c:v>
                </c:pt>
                <c:pt idx="10">
                  <c:v>5436.9</c:v>
                </c:pt>
                <c:pt idx="11">
                  <c:v>6094.5</c:v>
                </c:pt>
                <c:pt idx="12">
                  <c:v>6112.2</c:v>
                </c:pt>
              </c:numCache>
            </c:numRef>
          </c:xVal>
          <c:yVal>
            <c:numRef>
              <c:f>Summary!$AE$68:$AR$68</c:f>
              <c:numCache>
                <c:formatCode>General</c:formatCode>
                <c:ptCount val="14"/>
                <c:pt idx="0">
                  <c:v>698.52</c:v>
                </c:pt>
                <c:pt idx="1">
                  <c:v>739.2</c:v>
                </c:pt>
                <c:pt idx="2">
                  <c:v>732.8</c:v>
                </c:pt>
                <c:pt idx="4">
                  <c:v>723</c:v>
                </c:pt>
                <c:pt idx="5">
                  <c:v>870.9</c:v>
                </c:pt>
                <c:pt idx="6">
                  <c:v>811</c:v>
                </c:pt>
                <c:pt idx="7">
                  <c:v>845</c:v>
                </c:pt>
                <c:pt idx="8">
                  <c:v>738</c:v>
                </c:pt>
                <c:pt idx="9">
                  <c:v>758.3</c:v>
                </c:pt>
                <c:pt idx="10">
                  <c:v>701.5</c:v>
                </c:pt>
                <c:pt idx="11">
                  <c:v>866.9</c:v>
                </c:pt>
                <c:pt idx="12">
                  <c:v>843.5</c:v>
                </c:pt>
                <c:pt idx="13">
                  <c:v>893</c:v>
                </c:pt>
              </c:numCache>
            </c:numRef>
          </c:yVal>
          <c:smooth val="0"/>
          <c:extLst>
            <c:ext xmlns:c16="http://schemas.microsoft.com/office/drawing/2014/chart" uri="{C3380CC4-5D6E-409C-BE32-E72D297353CC}">
              <c16:uniqueId val="{00000001-6AA2-483A-9AD5-F9081CDC3258}"/>
            </c:ext>
          </c:extLst>
        </c:ser>
        <c:ser>
          <c:idx val="4"/>
          <c:order val="2"/>
          <c:tx>
            <c:v>Fighter (USN) - Fold</c:v>
          </c:tx>
          <c:spPr>
            <a:ln w="25400" cap="rnd">
              <a:noFill/>
              <a:round/>
            </a:ln>
            <a:effectLst/>
          </c:spPr>
          <c:marker>
            <c:symbol val="square"/>
            <c:size val="9"/>
            <c:spPr>
              <a:solidFill>
                <a:schemeClr val="bg1"/>
              </a:solidFill>
              <a:ln w="9525">
                <a:solidFill>
                  <a:srgbClr val="0070C0"/>
                </a:solidFill>
              </a:ln>
              <a:effectLst/>
            </c:spPr>
          </c:marker>
          <c:xVal>
            <c:numRef>
              <c:f>Summary!$AU$147:$BG$147</c:f>
              <c:numCache>
                <c:formatCode>General</c:formatCode>
                <c:ptCount val="13"/>
                <c:pt idx="0">
                  <c:v>7879</c:v>
                </c:pt>
                <c:pt idx="1">
                  <c:v>7426</c:v>
                </c:pt>
                <c:pt idx="3">
                  <c:v>11142.599999999999</c:v>
                </c:pt>
                <c:pt idx="4">
                  <c:v>11343.2</c:v>
                </c:pt>
                <c:pt idx="5">
                  <c:v>12250</c:v>
                </c:pt>
                <c:pt idx="6">
                  <c:v>12404.800000000001</c:v>
                </c:pt>
                <c:pt idx="8">
                  <c:v>11505.6</c:v>
                </c:pt>
                <c:pt idx="10">
                  <c:v>12263</c:v>
                </c:pt>
                <c:pt idx="11">
                  <c:v>12492</c:v>
                </c:pt>
                <c:pt idx="12">
                  <c:v>9175</c:v>
                </c:pt>
              </c:numCache>
            </c:numRef>
          </c:xVal>
          <c:yVal>
            <c:numRef>
              <c:f>Summary!$AU$68:$BG$68</c:f>
              <c:numCache>
                <c:formatCode>General</c:formatCode>
                <c:ptCount val="13"/>
                <c:pt idx="0">
                  <c:v>1119</c:v>
                </c:pt>
                <c:pt idx="1">
                  <c:v>1181</c:v>
                </c:pt>
                <c:pt idx="2">
                  <c:v>1154</c:v>
                </c:pt>
                <c:pt idx="3">
                  <c:v>2121.6999999999998</c:v>
                </c:pt>
                <c:pt idx="4">
                  <c:v>2144.9</c:v>
                </c:pt>
                <c:pt idx="5">
                  <c:v>2180</c:v>
                </c:pt>
                <c:pt idx="6">
                  <c:v>2185.5</c:v>
                </c:pt>
                <c:pt idx="7">
                  <c:v>2024.5</c:v>
                </c:pt>
                <c:pt idx="8">
                  <c:v>2007.1</c:v>
                </c:pt>
                <c:pt idx="9">
                  <c:v>2039.8</c:v>
                </c:pt>
                <c:pt idx="10">
                  <c:v>2020</c:v>
                </c:pt>
                <c:pt idx="11">
                  <c:v>2042</c:v>
                </c:pt>
                <c:pt idx="12">
                  <c:v>1142</c:v>
                </c:pt>
              </c:numCache>
            </c:numRef>
          </c:yVal>
          <c:smooth val="0"/>
          <c:extLst>
            <c:ext xmlns:c16="http://schemas.microsoft.com/office/drawing/2014/chart" uri="{C3380CC4-5D6E-409C-BE32-E72D297353CC}">
              <c16:uniqueId val="{00000002-6AA2-483A-9AD5-F9081CDC3258}"/>
            </c:ext>
          </c:extLst>
        </c:ser>
        <c:ser>
          <c:idx val="2"/>
          <c:order val="3"/>
          <c:tx>
            <c:v>Attack/Dive Bomber</c:v>
          </c:tx>
          <c:spPr>
            <a:ln w="25400" cap="rnd">
              <a:noFill/>
              <a:round/>
            </a:ln>
            <a:effectLst/>
          </c:spPr>
          <c:marker>
            <c:symbol val="diamond"/>
            <c:size val="10"/>
            <c:spPr>
              <a:solidFill>
                <a:srgbClr val="FF0000"/>
              </a:solidFill>
              <a:ln w="9525">
                <a:solidFill>
                  <a:srgbClr val="FF0000"/>
                </a:solidFill>
              </a:ln>
              <a:effectLst/>
            </c:spPr>
          </c:marker>
          <c:xVal>
            <c:numRef>
              <c:f>Summary!$BI$147:$BK$147</c:f>
              <c:numCache>
                <c:formatCode>General</c:formatCode>
                <c:ptCount val="3"/>
                <c:pt idx="0">
                  <c:v>7543</c:v>
                </c:pt>
                <c:pt idx="1">
                  <c:v>9662</c:v>
                </c:pt>
              </c:numCache>
            </c:numRef>
          </c:xVal>
          <c:yVal>
            <c:numRef>
              <c:f>Summary!$BI$68:$BK$68</c:f>
              <c:numCache>
                <c:formatCode>General</c:formatCode>
                <c:ptCount val="3"/>
                <c:pt idx="0">
                  <c:v>1045</c:v>
                </c:pt>
                <c:pt idx="1">
                  <c:v>1302</c:v>
                </c:pt>
                <c:pt idx="2">
                  <c:v>2172.6</c:v>
                </c:pt>
              </c:numCache>
            </c:numRef>
          </c:yVal>
          <c:smooth val="0"/>
          <c:extLst>
            <c:ext xmlns:c16="http://schemas.microsoft.com/office/drawing/2014/chart" uri="{C3380CC4-5D6E-409C-BE32-E72D297353CC}">
              <c16:uniqueId val="{00000003-6AA2-483A-9AD5-F9081CDC3258}"/>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Summary!$BR$147:$BZ$147</c:f>
              <c:numCache>
                <c:formatCode>General</c:formatCode>
                <c:ptCount val="9"/>
                <c:pt idx="0">
                  <c:v>2409</c:v>
                </c:pt>
                <c:pt idx="1">
                  <c:v>1835</c:v>
                </c:pt>
                <c:pt idx="2">
                  <c:v>4124</c:v>
                </c:pt>
                <c:pt idx="3">
                  <c:v>4442</c:v>
                </c:pt>
                <c:pt idx="4">
                  <c:v>9769</c:v>
                </c:pt>
                <c:pt idx="5">
                  <c:v>4212</c:v>
                </c:pt>
                <c:pt idx="6">
                  <c:v>5221</c:v>
                </c:pt>
                <c:pt idx="7">
                  <c:v>5212</c:v>
                </c:pt>
                <c:pt idx="8">
                  <c:v>5265</c:v>
                </c:pt>
              </c:numCache>
            </c:numRef>
          </c:xVal>
          <c:yVal>
            <c:numRef>
              <c:f>Summary!$BR$68:$BZ$68</c:f>
              <c:numCache>
                <c:formatCode>General</c:formatCode>
                <c:ptCount val="9"/>
                <c:pt idx="0">
                  <c:v>498</c:v>
                </c:pt>
                <c:pt idx="1">
                  <c:v>292</c:v>
                </c:pt>
                <c:pt idx="2">
                  <c:v>610</c:v>
                </c:pt>
                <c:pt idx="3">
                  <c:v>663</c:v>
                </c:pt>
                <c:pt idx="4">
                  <c:v>737.75</c:v>
                </c:pt>
                <c:pt idx="5">
                  <c:v>710</c:v>
                </c:pt>
                <c:pt idx="6">
                  <c:v>716</c:v>
                </c:pt>
                <c:pt idx="7">
                  <c:v>743</c:v>
                </c:pt>
                <c:pt idx="8">
                  <c:v>755</c:v>
                </c:pt>
              </c:numCache>
            </c:numRef>
          </c:yVal>
          <c:smooth val="0"/>
          <c:extLst>
            <c:ext xmlns:c16="http://schemas.microsoft.com/office/drawing/2014/chart" uri="{C3380CC4-5D6E-409C-BE32-E72D297353CC}">
              <c16:uniqueId val="{00000004-6AA2-483A-9AD5-F9081CDC3258}"/>
            </c:ext>
          </c:extLst>
        </c:ser>
        <c:ser>
          <c:idx val="5"/>
          <c:order val="5"/>
          <c:tx>
            <c:v>Attack/Dive/Torp - Fold</c:v>
          </c:tx>
          <c:spPr>
            <a:ln w="25400" cap="rnd">
              <a:noFill/>
              <a:round/>
            </a:ln>
            <a:effectLst/>
          </c:spPr>
          <c:marker>
            <c:symbol val="diamond"/>
            <c:size val="10"/>
            <c:spPr>
              <a:solidFill>
                <a:schemeClr val="bg1"/>
              </a:solidFill>
              <a:ln w="9525">
                <a:solidFill>
                  <a:srgbClr val="FF0000"/>
                </a:solidFill>
              </a:ln>
              <a:effectLst/>
            </c:spPr>
          </c:marker>
          <c:xVal>
            <c:numRef>
              <c:f>Summary!$BL$147:$BP$147</c:f>
              <c:numCache>
                <c:formatCode>General</c:formatCode>
                <c:ptCount val="5"/>
                <c:pt idx="0">
                  <c:v>17929</c:v>
                </c:pt>
                <c:pt idx="1">
                  <c:v>15447</c:v>
                </c:pt>
                <c:pt idx="2">
                  <c:v>15327</c:v>
                </c:pt>
                <c:pt idx="4">
                  <c:v>16438</c:v>
                </c:pt>
              </c:numCache>
            </c:numRef>
          </c:xVal>
          <c:yVal>
            <c:numRef>
              <c:f>Summary!$BL$68:$BP$68</c:f>
              <c:numCache>
                <c:formatCode>General</c:formatCode>
                <c:ptCount val="5"/>
                <c:pt idx="0">
                  <c:v>2589</c:v>
                </c:pt>
                <c:pt idx="1">
                  <c:v>3018</c:v>
                </c:pt>
                <c:pt idx="2">
                  <c:v>2011</c:v>
                </c:pt>
                <c:pt idx="4">
                  <c:v>2478</c:v>
                </c:pt>
              </c:numCache>
            </c:numRef>
          </c:yVal>
          <c:smooth val="0"/>
          <c:extLst>
            <c:ext xmlns:c16="http://schemas.microsoft.com/office/drawing/2014/chart" uri="{C3380CC4-5D6E-409C-BE32-E72D297353CC}">
              <c16:uniqueId val="{00000005-6AA2-483A-9AD5-F9081CDC3258}"/>
            </c:ext>
          </c:extLst>
        </c:ser>
        <c:ser>
          <c:idx val="6"/>
          <c:order val="6"/>
          <c:tx>
            <c:v>Trainers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Summary!$CA$147</c:f>
              <c:numCache>
                <c:formatCode>General</c:formatCode>
                <c:ptCount val="1"/>
                <c:pt idx="0">
                  <c:v>2634</c:v>
                </c:pt>
              </c:numCache>
            </c:numRef>
          </c:xVal>
          <c:yVal>
            <c:numRef>
              <c:f>Summary!$CA$68</c:f>
              <c:numCache>
                <c:formatCode>General</c:formatCode>
                <c:ptCount val="1"/>
                <c:pt idx="0">
                  <c:v>444</c:v>
                </c:pt>
              </c:numCache>
            </c:numRef>
          </c:yVal>
          <c:smooth val="0"/>
          <c:extLst>
            <c:ext xmlns:c16="http://schemas.microsoft.com/office/drawing/2014/chart" uri="{C3380CC4-5D6E-409C-BE32-E72D297353CC}">
              <c16:uniqueId val="{00000000-BB80-4AF5-A94B-04F73FFD3236}"/>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 Mission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5157267960754367"/>
          <c:h val="0.23863803388212837"/>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Wing Wt/Sq Ft vs Basic Gross Mission Weight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Summary!$D$147:$S$147</c:f>
              <c:numCache>
                <c:formatCode>General</c:formatCode>
                <c:ptCount val="16"/>
                <c:pt idx="0">
                  <c:v>5599</c:v>
                </c:pt>
                <c:pt idx="1">
                  <c:v>5531</c:v>
                </c:pt>
                <c:pt idx="2">
                  <c:v>5689</c:v>
                </c:pt>
                <c:pt idx="3">
                  <c:v>5919</c:v>
                </c:pt>
                <c:pt idx="5">
                  <c:v>8427</c:v>
                </c:pt>
                <c:pt idx="11">
                  <c:v>13373</c:v>
                </c:pt>
                <c:pt idx="15">
                  <c:v>10119</c:v>
                </c:pt>
              </c:numCache>
            </c:numRef>
          </c:xVal>
          <c:yVal>
            <c:numRef>
              <c:f>Summary!$D$172:$S$172</c:f>
              <c:numCache>
                <c:formatCode>0.00</c:formatCode>
                <c:ptCount val="16"/>
                <c:pt idx="0">
                  <c:v>3.5681818181818183</c:v>
                </c:pt>
                <c:pt idx="1">
                  <c:v>3.4491525423728815</c:v>
                </c:pt>
                <c:pt idx="2">
                  <c:v>3.5677966101694913</c:v>
                </c:pt>
                <c:pt idx="3">
                  <c:v>3.5381355932203391</c:v>
                </c:pt>
                <c:pt idx="4">
                  <c:v>4.7711864406779663</c:v>
                </c:pt>
                <c:pt idx="5">
                  <c:v>4.6822033898305087</c:v>
                </c:pt>
                <c:pt idx="6">
                  <c:v>4.7966101694915251</c:v>
                </c:pt>
                <c:pt idx="7">
                  <c:v>4.7457627118644066</c:v>
                </c:pt>
                <c:pt idx="8">
                  <c:v>4.7711864406779663</c:v>
                </c:pt>
                <c:pt idx="9">
                  <c:v>4.7542372881355934</c:v>
                </c:pt>
                <c:pt idx="10">
                  <c:v>4.7923728813559325</c:v>
                </c:pt>
                <c:pt idx="11">
                  <c:v>5.85</c:v>
                </c:pt>
                <c:pt idx="12">
                  <c:v>4.8653333333333331</c:v>
                </c:pt>
                <c:pt idx="13">
                  <c:v>4.8246666666666673</c:v>
                </c:pt>
                <c:pt idx="14">
                  <c:v>4.5713795617307778</c:v>
                </c:pt>
                <c:pt idx="15">
                  <c:v>4.351694915254237</c:v>
                </c:pt>
              </c:numCache>
            </c:numRef>
          </c:yVal>
          <c:smooth val="0"/>
          <c:extLst>
            <c:ext xmlns:c16="http://schemas.microsoft.com/office/drawing/2014/chart" uri="{C3380CC4-5D6E-409C-BE32-E72D297353CC}">
              <c16:uniqueId val="{00000000-5DEF-46C7-B0B7-2B27CDDAF828}"/>
            </c:ext>
          </c:extLst>
        </c:ser>
        <c:ser>
          <c:idx val="1"/>
          <c:order val="1"/>
          <c:tx>
            <c:v>Fighter (USN) - Non-Fold</c:v>
          </c:tx>
          <c:spPr>
            <a:ln w="25400" cap="rnd">
              <a:noFill/>
              <a:round/>
            </a:ln>
            <a:effectLst/>
          </c:spPr>
          <c:marker>
            <c:symbol val="square"/>
            <c:size val="9"/>
            <c:spPr>
              <a:solidFill>
                <a:srgbClr val="0070C0"/>
              </a:solidFill>
              <a:ln w="9525">
                <a:solidFill>
                  <a:srgbClr val="0070C0"/>
                </a:solidFill>
              </a:ln>
              <a:effectLst/>
            </c:spPr>
          </c:marker>
          <c:xVal>
            <c:numRef>
              <c:f>Summary!$AE$147:$AR$147</c:f>
              <c:numCache>
                <c:formatCode>General</c:formatCode>
                <c:ptCount val="14"/>
                <c:pt idx="0">
                  <c:v>4999.55</c:v>
                </c:pt>
                <c:pt idx="1">
                  <c:v>5053</c:v>
                </c:pt>
                <c:pt idx="2">
                  <c:v>5055.2000000000007</c:v>
                </c:pt>
                <c:pt idx="3">
                  <c:v>5409.2</c:v>
                </c:pt>
                <c:pt idx="4">
                  <c:v>5418.5</c:v>
                </c:pt>
                <c:pt idx="5">
                  <c:v>6518.6</c:v>
                </c:pt>
                <c:pt idx="7">
                  <c:v>7229</c:v>
                </c:pt>
                <c:pt idx="9">
                  <c:v>5016</c:v>
                </c:pt>
                <c:pt idx="10">
                  <c:v>5436.9</c:v>
                </c:pt>
                <c:pt idx="11">
                  <c:v>6094.5</c:v>
                </c:pt>
                <c:pt idx="12">
                  <c:v>6112.2</c:v>
                </c:pt>
              </c:numCache>
            </c:numRef>
          </c:xVal>
          <c:yVal>
            <c:numRef>
              <c:f>Summary!$AE$172:$AR$172</c:f>
              <c:numCache>
                <c:formatCode>0.00</c:formatCode>
                <c:ptCount val="14"/>
                <c:pt idx="0">
                  <c:v>3.3438008616562946</c:v>
                </c:pt>
                <c:pt idx="1">
                  <c:v>3.5385351842987078</c:v>
                </c:pt>
                <c:pt idx="2">
                  <c:v>3.5078985160363807</c:v>
                </c:pt>
                <c:pt idx="4">
                  <c:v>3.4609861177596937</c:v>
                </c:pt>
                <c:pt idx="5">
                  <c:v>4.168980373384394</c:v>
                </c:pt>
                <c:pt idx="6">
                  <c:v>3.8822403063666826</c:v>
                </c:pt>
                <c:pt idx="7">
                  <c:v>4.0449976065102922</c:v>
                </c:pt>
                <c:pt idx="8">
                  <c:v>3.532790808999521</c:v>
                </c:pt>
                <c:pt idx="9">
                  <c:v>3.6299664911440876</c:v>
                </c:pt>
                <c:pt idx="10">
                  <c:v>3.3580660603159407</c:v>
                </c:pt>
                <c:pt idx="11">
                  <c:v>4.14983245572044</c:v>
                </c:pt>
                <c:pt idx="12">
                  <c:v>4.037817137386309</c:v>
                </c:pt>
                <c:pt idx="13">
                  <c:v>3.4346153846153844</c:v>
                </c:pt>
              </c:numCache>
            </c:numRef>
          </c:yVal>
          <c:smooth val="0"/>
          <c:extLst>
            <c:ext xmlns:c16="http://schemas.microsoft.com/office/drawing/2014/chart" uri="{C3380CC4-5D6E-409C-BE32-E72D297353CC}">
              <c16:uniqueId val="{00000001-5DEF-46C7-B0B7-2B27CDDAF828}"/>
            </c:ext>
          </c:extLst>
        </c:ser>
        <c:ser>
          <c:idx val="4"/>
          <c:order val="2"/>
          <c:tx>
            <c:v>Fighter (USN) - Fold</c:v>
          </c:tx>
          <c:spPr>
            <a:ln w="25400" cap="rnd">
              <a:noFill/>
              <a:round/>
            </a:ln>
            <a:effectLst/>
          </c:spPr>
          <c:marker>
            <c:symbol val="square"/>
            <c:size val="9"/>
            <c:spPr>
              <a:solidFill>
                <a:schemeClr val="bg1"/>
              </a:solidFill>
              <a:ln w="9525">
                <a:solidFill>
                  <a:srgbClr val="0070C0"/>
                </a:solidFill>
              </a:ln>
              <a:effectLst/>
            </c:spPr>
          </c:marker>
          <c:xVal>
            <c:numRef>
              <c:f>Summary!$AU$147:$BG$147</c:f>
              <c:numCache>
                <c:formatCode>General</c:formatCode>
                <c:ptCount val="13"/>
                <c:pt idx="0">
                  <c:v>7879</c:v>
                </c:pt>
                <c:pt idx="1">
                  <c:v>7426</c:v>
                </c:pt>
                <c:pt idx="3">
                  <c:v>11142.599999999999</c:v>
                </c:pt>
                <c:pt idx="4">
                  <c:v>11343.2</c:v>
                </c:pt>
                <c:pt idx="5">
                  <c:v>12250</c:v>
                </c:pt>
                <c:pt idx="6">
                  <c:v>12404.800000000001</c:v>
                </c:pt>
                <c:pt idx="8">
                  <c:v>11505.6</c:v>
                </c:pt>
                <c:pt idx="10">
                  <c:v>12263</c:v>
                </c:pt>
                <c:pt idx="11">
                  <c:v>12492</c:v>
                </c:pt>
                <c:pt idx="12">
                  <c:v>9175</c:v>
                </c:pt>
              </c:numCache>
            </c:numRef>
          </c:xVal>
          <c:yVal>
            <c:numRef>
              <c:f>Summary!$AU$172:$BG$172</c:f>
              <c:numCache>
                <c:formatCode>0.00</c:formatCode>
                <c:ptCount val="13"/>
                <c:pt idx="0">
                  <c:v>4.3038461538461537</c:v>
                </c:pt>
                <c:pt idx="1">
                  <c:v>4.5423076923076922</c:v>
                </c:pt>
                <c:pt idx="2">
                  <c:v>4.4384615384615387</c:v>
                </c:pt>
                <c:pt idx="3">
                  <c:v>6.757006369426751</c:v>
                </c:pt>
                <c:pt idx="4">
                  <c:v>6.8308917197452228</c:v>
                </c:pt>
                <c:pt idx="5">
                  <c:v>6.9426751592356686</c:v>
                </c:pt>
                <c:pt idx="6">
                  <c:v>6.9601910828025479</c:v>
                </c:pt>
                <c:pt idx="7">
                  <c:v>6.0613772455089823</c:v>
                </c:pt>
                <c:pt idx="8">
                  <c:v>6.0092814371257486</c:v>
                </c:pt>
                <c:pt idx="9">
                  <c:v>6.1071856287425152</c:v>
                </c:pt>
                <c:pt idx="10">
                  <c:v>6.0479041916167668</c:v>
                </c:pt>
                <c:pt idx="11">
                  <c:v>6.11377245508982</c:v>
                </c:pt>
                <c:pt idx="12">
                  <c:v>4.6803278688524594</c:v>
                </c:pt>
              </c:numCache>
            </c:numRef>
          </c:yVal>
          <c:smooth val="0"/>
          <c:extLst>
            <c:ext xmlns:c16="http://schemas.microsoft.com/office/drawing/2014/chart" uri="{C3380CC4-5D6E-409C-BE32-E72D297353CC}">
              <c16:uniqueId val="{00000002-5DEF-46C7-B0B7-2B27CDDAF828}"/>
            </c:ext>
          </c:extLst>
        </c:ser>
        <c:ser>
          <c:idx val="2"/>
          <c:order val="3"/>
          <c:tx>
            <c:v>Attack/Dive Bomber</c:v>
          </c:tx>
          <c:spPr>
            <a:ln w="25400" cap="rnd">
              <a:noFill/>
              <a:round/>
            </a:ln>
            <a:effectLst/>
          </c:spPr>
          <c:marker>
            <c:symbol val="diamond"/>
            <c:size val="10"/>
            <c:spPr>
              <a:solidFill>
                <a:srgbClr val="FF0000"/>
              </a:solidFill>
              <a:ln w="9525">
                <a:solidFill>
                  <a:srgbClr val="FF0000"/>
                </a:solidFill>
              </a:ln>
              <a:effectLst/>
            </c:spPr>
          </c:marker>
          <c:xVal>
            <c:numRef>
              <c:f>Summary!$BI$147:$BK$147</c:f>
              <c:numCache>
                <c:formatCode>General</c:formatCode>
                <c:ptCount val="3"/>
                <c:pt idx="0">
                  <c:v>7543</c:v>
                </c:pt>
                <c:pt idx="1">
                  <c:v>9662</c:v>
                </c:pt>
              </c:numCache>
            </c:numRef>
          </c:xVal>
          <c:yVal>
            <c:numRef>
              <c:f>Summary!$BI$172:$BK$172</c:f>
              <c:numCache>
                <c:formatCode>0.00</c:formatCode>
                <c:ptCount val="3"/>
                <c:pt idx="0">
                  <c:v>2.8787878787878789</c:v>
                </c:pt>
                <c:pt idx="1">
                  <c:v>4.0210006176652255</c:v>
                </c:pt>
                <c:pt idx="2">
                  <c:v>6.4853731343283583</c:v>
                </c:pt>
              </c:numCache>
            </c:numRef>
          </c:yVal>
          <c:smooth val="0"/>
          <c:extLst>
            <c:ext xmlns:c16="http://schemas.microsoft.com/office/drawing/2014/chart" uri="{C3380CC4-5D6E-409C-BE32-E72D297353CC}">
              <c16:uniqueId val="{00000003-5DEF-46C7-B0B7-2B27CDDAF828}"/>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Summary!$BR$147:$BZ$147</c:f>
              <c:numCache>
                <c:formatCode>General</c:formatCode>
                <c:ptCount val="9"/>
                <c:pt idx="0">
                  <c:v>2409</c:v>
                </c:pt>
                <c:pt idx="1">
                  <c:v>1835</c:v>
                </c:pt>
                <c:pt idx="2">
                  <c:v>4124</c:v>
                </c:pt>
                <c:pt idx="3">
                  <c:v>4442</c:v>
                </c:pt>
                <c:pt idx="4">
                  <c:v>9769</c:v>
                </c:pt>
                <c:pt idx="5">
                  <c:v>4212</c:v>
                </c:pt>
                <c:pt idx="6">
                  <c:v>5221</c:v>
                </c:pt>
                <c:pt idx="7">
                  <c:v>5212</c:v>
                </c:pt>
                <c:pt idx="8">
                  <c:v>5265</c:v>
                </c:pt>
              </c:numCache>
            </c:numRef>
          </c:xVal>
          <c:yVal>
            <c:numRef>
              <c:f>Summary!$BR$172:$BZ$172</c:f>
              <c:numCache>
                <c:formatCode>0.00</c:formatCode>
                <c:ptCount val="9"/>
                <c:pt idx="0">
                  <c:v>2.4900000000000002</c:v>
                </c:pt>
                <c:pt idx="1">
                  <c:v>2.3548387096774195</c:v>
                </c:pt>
                <c:pt idx="2">
                  <c:v>2.7727272727272729</c:v>
                </c:pt>
                <c:pt idx="3">
                  <c:v>2.6733870967741935</c:v>
                </c:pt>
                <c:pt idx="4">
                  <c:v>3.0685883038016804</c:v>
                </c:pt>
                <c:pt idx="5">
                  <c:v>2.9707112970711296</c:v>
                </c:pt>
                <c:pt idx="6">
                  <c:v>3.1822222222222223</c:v>
                </c:pt>
                <c:pt idx="7">
                  <c:v>2.8787291747384733</c:v>
                </c:pt>
                <c:pt idx="8">
                  <c:v>2.975603988491704</c:v>
                </c:pt>
              </c:numCache>
            </c:numRef>
          </c:yVal>
          <c:smooth val="0"/>
          <c:extLst>
            <c:ext xmlns:c16="http://schemas.microsoft.com/office/drawing/2014/chart" uri="{C3380CC4-5D6E-409C-BE32-E72D297353CC}">
              <c16:uniqueId val="{00000004-5DEF-46C7-B0B7-2B27CDDAF828}"/>
            </c:ext>
          </c:extLst>
        </c:ser>
        <c:ser>
          <c:idx val="5"/>
          <c:order val="5"/>
          <c:tx>
            <c:v>Attack/Dive/Torp - Fold</c:v>
          </c:tx>
          <c:spPr>
            <a:ln w="25400" cap="rnd">
              <a:noFill/>
              <a:round/>
            </a:ln>
            <a:effectLst/>
          </c:spPr>
          <c:marker>
            <c:symbol val="diamond"/>
            <c:size val="10"/>
            <c:spPr>
              <a:solidFill>
                <a:schemeClr val="bg1"/>
              </a:solidFill>
              <a:ln w="9525">
                <a:solidFill>
                  <a:srgbClr val="FF0000"/>
                </a:solidFill>
              </a:ln>
              <a:effectLst/>
            </c:spPr>
          </c:marker>
          <c:xVal>
            <c:numRef>
              <c:f>Summary!$BL$147:$BP$147</c:f>
              <c:numCache>
                <c:formatCode>General</c:formatCode>
                <c:ptCount val="5"/>
                <c:pt idx="0">
                  <c:v>17929</c:v>
                </c:pt>
                <c:pt idx="1">
                  <c:v>15447</c:v>
                </c:pt>
                <c:pt idx="2">
                  <c:v>15327</c:v>
                </c:pt>
                <c:pt idx="4">
                  <c:v>16438</c:v>
                </c:pt>
              </c:numCache>
            </c:numRef>
          </c:xVal>
          <c:yVal>
            <c:numRef>
              <c:f>Summary!$BL$172:$BP$172</c:f>
              <c:numCache>
                <c:formatCode>0.00</c:formatCode>
                <c:ptCount val="5"/>
                <c:pt idx="0">
                  <c:v>6.4725000000000001</c:v>
                </c:pt>
                <c:pt idx="1">
                  <c:v>7.1516587677725116</c:v>
                </c:pt>
                <c:pt idx="2">
                  <c:v>5.0274999999999999</c:v>
                </c:pt>
                <c:pt idx="4">
                  <c:v>5.0571428571428569</c:v>
                </c:pt>
              </c:numCache>
            </c:numRef>
          </c:yVal>
          <c:smooth val="0"/>
          <c:extLst>
            <c:ext xmlns:c16="http://schemas.microsoft.com/office/drawing/2014/chart" uri="{C3380CC4-5D6E-409C-BE32-E72D297353CC}">
              <c16:uniqueId val="{00000005-5DEF-46C7-B0B7-2B27CDDAF828}"/>
            </c:ext>
          </c:extLst>
        </c:ser>
        <c:ser>
          <c:idx val="6"/>
          <c:order val="6"/>
          <c:tx>
            <c:v>Trainers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Summary!$CA$147</c:f>
              <c:numCache>
                <c:formatCode>General</c:formatCode>
                <c:ptCount val="1"/>
                <c:pt idx="0">
                  <c:v>2634</c:v>
                </c:pt>
              </c:numCache>
            </c:numRef>
          </c:xVal>
          <c:yVal>
            <c:numRef>
              <c:f>Summary!$CA$172</c:f>
              <c:numCache>
                <c:formatCode>0.00</c:formatCode>
                <c:ptCount val="1"/>
                <c:pt idx="0">
                  <c:v>1.4899328859060403</c:v>
                </c:pt>
              </c:numCache>
            </c:numRef>
          </c:yVal>
          <c:smooth val="0"/>
          <c:extLst>
            <c:ext xmlns:c16="http://schemas.microsoft.com/office/drawing/2014/chart" uri="{C3380CC4-5D6E-409C-BE32-E72D297353CC}">
              <c16:uniqueId val="{00000006-5DEF-46C7-B0B7-2B27CDDAF828}"/>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 Mission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Specific Wt</a:t>
                </a:r>
                <a:r>
                  <a:rPr lang="en-US" baseline="0"/>
                  <a:t> [</a:t>
                </a:r>
                <a:r>
                  <a:rPr lang="en-US"/>
                  <a:t>lb/sq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9.2860170076423332E-2"/>
          <c:y val="9.6554998806967315E-2"/>
          <c:w val="0.15157267960754367"/>
          <c:h val="0.23863803388212837"/>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Wing Wt/Sq Ft vs Design Speed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Summary!$D$64:$S$64</c:f>
              <c:numCache>
                <c:formatCode>General</c:formatCode>
                <c:ptCount val="16"/>
                <c:pt idx="2">
                  <c:v>445</c:v>
                </c:pt>
                <c:pt idx="3">
                  <c:v>445</c:v>
                </c:pt>
                <c:pt idx="5">
                  <c:v>496</c:v>
                </c:pt>
                <c:pt idx="15">
                  <c:v>537</c:v>
                </c:pt>
              </c:numCache>
            </c:numRef>
          </c:xVal>
          <c:yVal>
            <c:numRef>
              <c:f>Summary!$D$172:$S$172</c:f>
              <c:numCache>
                <c:formatCode>0.00</c:formatCode>
                <c:ptCount val="16"/>
                <c:pt idx="0">
                  <c:v>3.5681818181818183</c:v>
                </c:pt>
                <c:pt idx="1">
                  <c:v>3.4491525423728815</c:v>
                </c:pt>
                <c:pt idx="2">
                  <c:v>3.5677966101694913</c:v>
                </c:pt>
                <c:pt idx="3">
                  <c:v>3.5381355932203391</c:v>
                </c:pt>
                <c:pt idx="4">
                  <c:v>4.7711864406779663</c:v>
                </c:pt>
                <c:pt idx="5">
                  <c:v>4.6822033898305087</c:v>
                </c:pt>
                <c:pt idx="6">
                  <c:v>4.7966101694915251</c:v>
                </c:pt>
                <c:pt idx="7">
                  <c:v>4.7457627118644066</c:v>
                </c:pt>
                <c:pt idx="8">
                  <c:v>4.7711864406779663</c:v>
                </c:pt>
                <c:pt idx="9">
                  <c:v>4.7542372881355934</c:v>
                </c:pt>
                <c:pt idx="10">
                  <c:v>4.7923728813559325</c:v>
                </c:pt>
                <c:pt idx="11">
                  <c:v>5.85</c:v>
                </c:pt>
                <c:pt idx="12">
                  <c:v>4.8653333333333331</c:v>
                </c:pt>
                <c:pt idx="13">
                  <c:v>4.8246666666666673</c:v>
                </c:pt>
                <c:pt idx="14">
                  <c:v>4.5713795617307778</c:v>
                </c:pt>
                <c:pt idx="15">
                  <c:v>4.351694915254237</c:v>
                </c:pt>
              </c:numCache>
            </c:numRef>
          </c:yVal>
          <c:smooth val="0"/>
          <c:extLst>
            <c:ext xmlns:c16="http://schemas.microsoft.com/office/drawing/2014/chart" uri="{C3380CC4-5D6E-409C-BE32-E72D297353CC}">
              <c16:uniqueId val="{00000000-5CB6-400C-AD00-0BC26741031D}"/>
            </c:ext>
          </c:extLst>
        </c:ser>
        <c:ser>
          <c:idx val="1"/>
          <c:order val="1"/>
          <c:tx>
            <c:v>Fighter (USN) - Non-Fold</c:v>
          </c:tx>
          <c:spPr>
            <a:ln w="25400" cap="rnd">
              <a:noFill/>
              <a:round/>
            </a:ln>
            <a:effectLst/>
          </c:spPr>
          <c:marker>
            <c:symbol val="square"/>
            <c:size val="9"/>
            <c:spPr>
              <a:solidFill>
                <a:srgbClr val="0070C0"/>
              </a:solidFill>
              <a:ln w="9525">
                <a:solidFill>
                  <a:srgbClr val="0070C0"/>
                </a:solidFill>
              </a:ln>
              <a:effectLst/>
            </c:spPr>
          </c:marker>
          <c:xVal>
            <c:numRef>
              <c:f>Summary!$AE$64:$AR$64</c:f>
              <c:numCache>
                <c:formatCode>General</c:formatCode>
                <c:ptCount val="14"/>
              </c:numCache>
            </c:numRef>
          </c:xVal>
          <c:yVal>
            <c:numRef>
              <c:f>Summary!$AE$172:$AR$172</c:f>
              <c:numCache>
                <c:formatCode>0.00</c:formatCode>
                <c:ptCount val="14"/>
                <c:pt idx="0">
                  <c:v>3.3438008616562946</c:v>
                </c:pt>
                <c:pt idx="1">
                  <c:v>3.5385351842987078</c:v>
                </c:pt>
                <c:pt idx="2">
                  <c:v>3.5078985160363807</c:v>
                </c:pt>
                <c:pt idx="4">
                  <c:v>3.4609861177596937</c:v>
                </c:pt>
                <c:pt idx="5">
                  <c:v>4.168980373384394</c:v>
                </c:pt>
                <c:pt idx="6">
                  <c:v>3.8822403063666826</c:v>
                </c:pt>
                <c:pt idx="7">
                  <c:v>4.0449976065102922</c:v>
                </c:pt>
                <c:pt idx="8">
                  <c:v>3.532790808999521</c:v>
                </c:pt>
                <c:pt idx="9">
                  <c:v>3.6299664911440876</c:v>
                </c:pt>
                <c:pt idx="10">
                  <c:v>3.3580660603159407</c:v>
                </c:pt>
                <c:pt idx="11">
                  <c:v>4.14983245572044</c:v>
                </c:pt>
                <c:pt idx="12">
                  <c:v>4.037817137386309</c:v>
                </c:pt>
                <c:pt idx="13">
                  <c:v>3.4346153846153844</c:v>
                </c:pt>
              </c:numCache>
            </c:numRef>
          </c:yVal>
          <c:smooth val="0"/>
          <c:extLst>
            <c:ext xmlns:c16="http://schemas.microsoft.com/office/drawing/2014/chart" uri="{C3380CC4-5D6E-409C-BE32-E72D297353CC}">
              <c16:uniqueId val="{00000001-5CB6-400C-AD00-0BC26741031D}"/>
            </c:ext>
          </c:extLst>
        </c:ser>
        <c:ser>
          <c:idx val="4"/>
          <c:order val="2"/>
          <c:tx>
            <c:v>Fighter (USN) - Fold</c:v>
          </c:tx>
          <c:spPr>
            <a:ln w="25400" cap="rnd">
              <a:noFill/>
              <a:round/>
            </a:ln>
            <a:effectLst/>
          </c:spPr>
          <c:marker>
            <c:symbol val="square"/>
            <c:size val="9"/>
            <c:spPr>
              <a:solidFill>
                <a:schemeClr val="bg1"/>
              </a:solidFill>
              <a:ln w="9525">
                <a:solidFill>
                  <a:srgbClr val="0070C0"/>
                </a:solidFill>
              </a:ln>
              <a:effectLst/>
            </c:spPr>
          </c:marker>
          <c:xVal>
            <c:numRef>
              <c:f>Summary!$AU$64:$BG$64</c:f>
              <c:numCache>
                <c:formatCode>General</c:formatCode>
                <c:ptCount val="13"/>
                <c:pt idx="0">
                  <c:v>470</c:v>
                </c:pt>
                <c:pt idx="5">
                  <c:v>555</c:v>
                </c:pt>
                <c:pt idx="10">
                  <c:v>506</c:v>
                </c:pt>
                <c:pt idx="11">
                  <c:v>606</c:v>
                </c:pt>
                <c:pt idx="12">
                  <c:v>477</c:v>
                </c:pt>
              </c:numCache>
            </c:numRef>
          </c:xVal>
          <c:yVal>
            <c:numRef>
              <c:f>Summary!$AU$172:$BG$172</c:f>
              <c:numCache>
                <c:formatCode>0.00</c:formatCode>
                <c:ptCount val="13"/>
                <c:pt idx="0">
                  <c:v>4.3038461538461537</c:v>
                </c:pt>
                <c:pt idx="1">
                  <c:v>4.5423076923076922</c:v>
                </c:pt>
                <c:pt idx="2">
                  <c:v>4.4384615384615387</c:v>
                </c:pt>
                <c:pt idx="3">
                  <c:v>6.757006369426751</c:v>
                </c:pt>
                <c:pt idx="4">
                  <c:v>6.8308917197452228</c:v>
                </c:pt>
                <c:pt idx="5">
                  <c:v>6.9426751592356686</c:v>
                </c:pt>
                <c:pt idx="6">
                  <c:v>6.9601910828025479</c:v>
                </c:pt>
                <c:pt idx="7">
                  <c:v>6.0613772455089823</c:v>
                </c:pt>
                <c:pt idx="8">
                  <c:v>6.0092814371257486</c:v>
                </c:pt>
                <c:pt idx="9">
                  <c:v>6.1071856287425152</c:v>
                </c:pt>
                <c:pt idx="10">
                  <c:v>6.0479041916167668</c:v>
                </c:pt>
                <c:pt idx="11">
                  <c:v>6.11377245508982</c:v>
                </c:pt>
                <c:pt idx="12">
                  <c:v>4.6803278688524594</c:v>
                </c:pt>
              </c:numCache>
            </c:numRef>
          </c:yVal>
          <c:smooth val="0"/>
          <c:extLst>
            <c:ext xmlns:c16="http://schemas.microsoft.com/office/drawing/2014/chart" uri="{C3380CC4-5D6E-409C-BE32-E72D297353CC}">
              <c16:uniqueId val="{00000002-5CB6-400C-AD00-0BC26741031D}"/>
            </c:ext>
          </c:extLst>
        </c:ser>
        <c:ser>
          <c:idx val="2"/>
          <c:order val="3"/>
          <c:tx>
            <c:v>Attack/Dive Bomber</c:v>
          </c:tx>
          <c:spPr>
            <a:ln w="25400" cap="rnd">
              <a:noFill/>
              <a:round/>
            </a:ln>
            <a:effectLst/>
          </c:spPr>
          <c:marker>
            <c:symbol val="diamond"/>
            <c:size val="10"/>
            <c:spPr>
              <a:solidFill>
                <a:srgbClr val="FF0000"/>
              </a:solidFill>
              <a:ln w="9525">
                <a:solidFill>
                  <a:srgbClr val="FF0000"/>
                </a:solidFill>
              </a:ln>
              <a:effectLst/>
            </c:spPr>
          </c:marker>
          <c:xVal>
            <c:numRef>
              <c:f>Summary!$BI$64:$BK$64</c:f>
              <c:numCache>
                <c:formatCode>General</c:formatCode>
                <c:ptCount val="3"/>
                <c:pt idx="1">
                  <c:v>425</c:v>
                </c:pt>
                <c:pt idx="2">
                  <c:v>450.5</c:v>
                </c:pt>
              </c:numCache>
            </c:numRef>
          </c:xVal>
          <c:yVal>
            <c:numRef>
              <c:f>Summary!$BI$172:$BK$172</c:f>
              <c:numCache>
                <c:formatCode>0.00</c:formatCode>
                <c:ptCount val="3"/>
                <c:pt idx="0">
                  <c:v>2.8787878787878789</c:v>
                </c:pt>
                <c:pt idx="1">
                  <c:v>4.0210006176652255</c:v>
                </c:pt>
                <c:pt idx="2">
                  <c:v>6.4853731343283583</c:v>
                </c:pt>
              </c:numCache>
            </c:numRef>
          </c:yVal>
          <c:smooth val="0"/>
          <c:extLst>
            <c:ext xmlns:c16="http://schemas.microsoft.com/office/drawing/2014/chart" uri="{C3380CC4-5D6E-409C-BE32-E72D297353CC}">
              <c16:uniqueId val="{00000003-5CB6-400C-AD00-0BC26741031D}"/>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Summary!$BR$64:$BZ$64</c:f>
              <c:numCache>
                <c:formatCode>General</c:formatCode>
                <c:ptCount val="9"/>
                <c:pt idx="0">
                  <c:v>132</c:v>
                </c:pt>
                <c:pt idx="2">
                  <c:v>175</c:v>
                </c:pt>
                <c:pt idx="3">
                  <c:v>170</c:v>
                </c:pt>
                <c:pt idx="5">
                  <c:v>180</c:v>
                </c:pt>
                <c:pt idx="6">
                  <c:v>207</c:v>
                </c:pt>
                <c:pt idx="7">
                  <c:v>210</c:v>
                </c:pt>
                <c:pt idx="8">
                  <c:v>251</c:v>
                </c:pt>
              </c:numCache>
            </c:numRef>
          </c:xVal>
          <c:yVal>
            <c:numRef>
              <c:f>Summary!$BR$172:$BZ$172</c:f>
              <c:numCache>
                <c:formatCode>0.00</c:formatCode>
                <c:ptCount val="9"/>
                <c:pt idx="0">
                  <c:v>2.4900000000000002</c:v>
                </c:pt>
                <c:pt idx="1">
                  <c:v>2.3548387096774195</c:v>
                </c:pt>
                <c:pt idx="2">
                  <c:v>2.7727272727272729</c:v>
                </c:pt>
                <c:pt idx="3">
                  <c:v>2.6733870967741935</c:v>
                </c:pt>
                <c:pt idx="4">
                  <c:v>3.0685883038016804</c:v>
                </c:pt>
                <c:pt idx="5">
                  <c:v>2.9707112970711296</c:v>
                </c:pt>
                <c:pt idx="6">
                  <c:v>3.1822222222222223</c:v>
                </c:pt>
                <c:pt idx="7">
                  <c:v>2.8787291747384733</c:v>
                </c:pt>
                <c:pt idx="8">
                  <c:v>2.975603988491704</c:v>
                </c:pt>
              </c:numCache>
            </c:numRef>
          </c:yVal>
          <c:smooth val="0"/>
          <c:extLst>
            <c:ext xmlns:c16="http://schemas.microsoft.com/office/drawing/2014/chart" uri="{C3380CC4-5D6E-409C-BE32-E72D297353CC}">
              <c16:uniqueId val="{00000004-5CB6-400C-AD00-0BC26741031D}"/>
            </c:ext>
          </c:extLst>
        </c:ser>
        <c:ser>
          <c:idx val="5"/>
          <c:order val="5"/>
          <c:tx>
            <c:v>Attack/Dive/Torp - Fold</c:v>
          </c:tx>
          <c:spPr>
            <a:ln w="25400" cap="rnd">
              <a:noFill/>
              <a:round/>
            </a:ln>
            <a:effectLst/>
          </c:spPr>
          <c:marker>
            <c:symbol val="diamond"/>
            <c:size val="10"/>
            <c:spPr>
              <a:solidFill>
                <a:schemeClr val="bg1"/>
              </a:solidFill>
              <a:ln w="9525">
                <a:solidFill>
                  <a:srgbClr val="FF0000"/>
                </a:solidFill>
              </a:ln>
              <a:effectLst/>
            </c:spPr>
          </c:marker>
          <c:xVal>
            <c:numRef>
              <c:f>Summary!$BL$64:$BP$64</c:f>
              <c:numCache>
                <c:formatCode>General</c:formatCode>
                <c:ptCount val="5"/>
                <c:pt idx="0">
                  <c:v>500</c:v>
                </c:pt>
                <c:pt idx="1">
                  <c:v>540</c:v>
                </c:pt>
                <c:pt idx="2">
                  <c:v>500</c:v>
                </c:pt>
              </c:numCache>
            </c:numRef>
          </c:xVal>
          <c:yVal>
            <c:numRef>
              <c:f>Summary!$BL$172:$BP$172</c:f>
              <c:numCache>
                <c:formatCode>0.00</c:formatCode>
                <c:ptCount val="5"/>
                <c:pt idx="0">
                  <c:v>6.4725000000000001</c:v>
                </c:pt>
                <c:pt idx="1">
                  <c:v>7.1516587677725116</c:v>
                </c:pt>
                <c:pt idx="2">
                  <c:v>5.0274999999999999</c:v>
                </c:pt>
                <c:pt idx="4">
                  <c:v>5.0571428571428569</c:v>
                </c:pt>
              </c:numCache>
            </c:numRef>
          </c:yVal>
          <c:smooth val="0"/>
          <c:extLst>
            <c:ext xmlns:c16="http://schemas.microsoft.com/office/drawing/2014/chart" uri="{C3380CC4-5D6E-409C-BE32-E72D297353CC}">
              <c16:uniqueId val="{00000005-5CB6-400C-AD00-0BC26741031D}"/>
            </c:ext>
          </c:extLst>
        </c:ser>
        <c:ser>
          <c:idx val="6"/>
          <c:order val="6"/>
          <c:tx>
            <c:v>Trainers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Summary!$CA$64</c:f>
              <c:numCache>
                <c:formatCode>General</c:formatCode>
                <c:ptCount val="1"/>
                <c:pt idx="0">
                  <c:v>125</c:v>
                </c:pt>
              </c:numCache>
            </c:numRef>
          </c:xVal>
          <c:yVal>
            <c:numRef>
              <c:f>Summary!$CA$172</c:f>
              <c:numCache>
                <c:formatCode>0.00</c:formatCode>
                <c:ptCount val="1"/>
                <c:pt idx="0">
                  <c:v>1.4899328859060403</c:v>
                </c:pt>
              </c:numCache>
            </c:numRef>
          </c:yVal>
          <c:smooth val="0"/>
          <c:extLst>
            <c:ext xmlns:c16="http://schemas.microsoft.com/office/drawing/2014/chart" uri="{C3380CC4-5D6E-409C-BE32-E72D297353CC}">
              <c16:uniqueId val="{00000006-5CB6-400C-AD00-0BC26741031D}"/>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Design Speed [mph]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Specific Wt</a:t>
                </a:r>
                <a:r>
                  <a:rPr lang="en-US" baseline="0"/>
                  <a:t> [</a:t>
                </a:r>
                <a:r>
                  <a:rPr lang="en-US"/>
                  <a:t>lb/sq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9.2860170076423332E-2"/>
          <c:y val="9.6554998806967315E-2"/>
          <c:w val="0.15157267960754367"/>
          <c:h val="0.23863803388212837"/>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Wing Wt/Sq Ft vs Take-Off Power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Summary!$D$17:$S$17</c:f>
              <c:numCache>
                <c:formatCode>General</c:formatCode>
                <c:ptCount val="16"/>
                <c:pt idx="0">
                  <c:v>950</c:v>
                </c:pt>
                <c:pt idx="1">
                  <c:v>1050</c:v>
                </c:pt>
                <c:pt idx="2">
                  <c:v>1100</c:v>
                </c:pt>
                <c:pt idx="3">
                  <c:v>1100</c:v>
                </c:pt>
                <c:pt idx="4">
                  <c:v>1150</c:v>
                </c:pt>
                <c:pt idx="5">
                  <c:v>1150</c:v>
                </c:pt>
                <c:pt idx="6">
                  <c:v>1390</c:v>
                </c:pt>
                <c:pt idx="7">
                  <c:v>1325</c:v>
                </c:pt>
                <c:pt idx="8">
                  <c:v>1385</c:v>
                </c:pt>
                <c:pt idx="9">
                  <c:v>1360</c:v>
                </c:pt>
                <c:pt idx="10">
                  <c:v>1200</c:v>
                </c:pt>
                <c:pt idx="11">
                  <c:v>2000</c:v>
                </c:pt>
                <c:pt idx="13">
                  <c:v>2000</c:v>
                </c:pt>
                <c:pt idx="14">
                  <c:v>1280</c:v>
                </c:pt>
                <c:pt idx="15">
                  <c:v>1315</c:v>
                </c:pt>
              </c:numCache>
            </c:numRef>
          </c:xVal>
          <c:yVal>
            <c:numRef>
              <c:f>Summary!$D$172:$S$172</c:f>
              <c:numCache>
                <c:formatCode>0.00</c:formatCode>
                <c:ptCount val="16"/>
                <c:pt idx="0">
                  <c:v>3.5681818181818183</c:v>
                </c:pt>
                <c:pt idx="1">
                  <c:v>3.4491525423728815</c:v>
                </c:pt>
                <c:pt idx="2">
                  <c:v>3.5677966101694913</c:v>
                </c:pt>
                <c:pt idx="3">
                  <c:v>3.5381355932203391</c:v>
                </c:pt>
                <c:pt idx="4">
                  <c:v>4.7711864406779663</c:v>
                </c:pt>
                <c:pt idx="5">
                  <c:v>4.6822033898305087</c:v>
                </c:pt>
                <c:pt idx="6">
                  <c:v>4.7966101694915251</c:v>
                </c:pt>
                <c:pt idx="7">
                  <c:v>4.7457627118644066</c:v>
                </c:pt>
                <c:pt idx="8">
                  <c:v>4.7711864406779663</c:v>
                </c:pt>
                <c:pt idx="9">
                  <c:v>4.7542372881355934</c:v>
                </c:pt>
                <c:pt idx="10">
                  <c:v>4.7923728813559325</c:v>
                </c:pt>
                <c:pt idx="11">
                  <c:v>5.85</c:v>
                </c:pt>
                <c:pt idx="12">
                  <c:v>4.8653333333333331</c:v>
                </c:pt>
                <c:pt idx="13">
                  <c:v>4.8246666666666673</c:v>
                </c:pt>
                <c:pt idx="14">
                  <c:v>4.5713795617307778</c:v>
                </c:pt>
                <c:pt idx="15">
                  <c:v>4.351694915254237</c:v>
                </c:pt>
              </c:numCache>
            </c:numRef>
          </c:yVal>
          <c:smooth val="0"/>
          <c:extLst>
            <c:ext xmlns:c16="http://schemas.microsoft.com/office/drawing/2014/chart" uri="{C3380CC4-5D6E-409C-BE32-E72D297353CC}">
              <c16:uniqueId val="{00000000-1C35-4486-A8BD-EED760C9839C}"/>
            </c:ext>
          </c:extLst>
        </c:ser>
        <c:ser>
          <c:idx val="1"/>
          <c:order val="1"/>
          <c:tx>
            <c:v>Fighter (USN) - Non-Fold</c:v>
          </c:tx>
          <c:spPr>
            <a:ln w="25400" cap="rnd">
              <a:noFill/>
              <a:round/>
            </a:ln>
            <a:effectLst/>
          </c:spPr>
          <c:marker>
            <c:symbol val="square"/>
            <c:size val="9"/>
            <c:spPr>
              <a:solidFill>
                <a:srgbClr val="0070C0"/>
              </a:solidFill>
              <a:ln w="9525">
                <a:solidFill>
                  <a:srgbClr val="0070C0"/>
                </a:solidFill>
              </a:ln>
              <a:effectLst/>
            </c:spPr>
          </c:marker>
          <c:xVal>
            <c:numRef>
              <c:f>Summary!$AE$17:$AR$17</c:f>
              <c:numCache>
                <c:formatCode>General</c:formatCode>
                <c:ptCount val="14"/>
                <c:pt idx="0">
                  <c:v>950</c:v>
                </c:pt>
                <c:pt idx="1">
                  <c:v>950</c:v>
                </c:pt>
                <c:pt idx="2">
                  <c:v>950</c:v>
                </c:pt>
                <c:pt idx="3">
                  <c:v>1200</c:v>
                </c:pt>
                <c:pt idx="4">
                  <c:v>1200</c:v>
                </c:pt>
                <c:pt idx="5">
                  <c:v>1200</c:v>
                </c:pt>
                <c:pt idx="6">
                  <c:v>1200</c:v>
                </c:pt>
                <c:pt idx="7">
                  <c:v>1200</c:v>
                </c:pt>
                <c:pt idx="8">
                  <c:v>950</c:v>
                </c:pt>
                <c:pt idx="9">
                  <c:v>950</c:v>
                </c:pt>
                <c:pt idx="10">
                  <c:v>1100</c:v>
                </c:pt>
                <c:pt idx="11">
                  <c:v>1200</c:v>
                </c:pt>
                <c:pt idx="12">
                  <c:v>1100</c:v>
                </c:pt>
                <c:pt idx="13">
                  <c:v>1200</c:v>
                </c:pt>
              </c:numCache>
            </c:numRef>
          </c:xVal>
          <c:yVal>
            <c:numRef>
              <c:f>Summary!$AE$172:$AR$172</c:f>
              <c:numCache>
                <c:formatCode>0.00</c:formatCode>
                <c:ptCount val="14"/>
                <c:pt idx="0">
                  <c:v>3.3438008616562946</c:v>
                </c:pt>
                <c:pt idx="1">
                  <c:v>3.5385351842987078</c:v>
                </c:pt>
                <c:pt idx="2">
                  <c:v>3.5078985160363807</c:v>
                </c:pt>
                <c:pt idx="4">
                  <c:v>3.4609861177596937</c:v>
                </c:pt>
                <c:pt idx="5">
                  <c:v>4.168980373384394</c:v>
                </c:pt>
                <c:pt idx="6">
                  <c:v>3.8822403063666826</c:v>
                </c:pt>
                <c:pt idx="7">
                  <c:v>4.0449976065102922</c:v>
                </c:pt>
                <c:pt idx="8">
                  <c:v>3.532790808999521</c:v>
                </c:pt>
                <c:pt idx="9">
                  <c:v>3.6299664911440876</c:v>
                </c:pt>
                <c:pt idx="10">
                  <c:v>3.3580660603159407</c:v>
                </c:pt>
                <c:pt idx="11">
                  <c:v>4.14983245572044</c:v>
                </c:pt>
                <c:pt idx="12">
                  <c:v>4.037817137386309</c:v>
                </c:pt>
                <c:pt idx="13">
                  <c:v>3.4346153846153844</c:v>
                </c:pt>
              </c:numCache>
            </c:numRef>
          </c:yVal>
          <c:smooth val="0"/>
          <c:extLst>
            <c:ext xmlns:c16="http://schemas.microsoft.com/office/drawing/2014/chart" uri="{C3380CC4-5D6E-409C-BE32-E72D297353CC}">
              <c16:uniqueId val="{00000001-1C35-4486-A8BD-EED760C9839C}"/>
            </c:ext>
          </c:extLst>
        </c:ser>
        <c:ser>
          <c:idx val="4"/>
          <c:order val="2"/>
          <c:tx>
            <c:v>Fighter (USN) - Fold</c:v>
          </c:tx>
          <c:spPr>
            <a:ln w="25400" cap="rnd">
              <a:noFill/>
              <a:round/>
            </a:ln>
            <a:effectLst/>
          </c:spPr>
          <c:marker>
            <c:symbol val="square"/>
            <c:size val="9"/>
            <c:spPr>
              <a:solidFill>
                <a:schemeClr val="bg1"/>
              </a:solidFill>
              <a:ln w="9525">
                <a:solidFill>
                  <a:srgbClr val="0070C0"/>
                </a:solidFill>
              </a:ln>
              <a:effectLst/>
            </c:spPr>
          </c:marker>
          <c:xVal>
            <c:numRef>
              <c:f>Summary!$AU$17:$BG$17</c:f>
              <c:numCache>
                <c:formatCode>General</c:formatCode>
                <c:ptCount val="13"/>
                <c:pt idx="0">
                  <c:v>1200</c:v>
                </c:pt>
                <c:pt idx="1">
                  <c:v>1200</c:v>
                </c:pt>
                <c:pt idx="2">
                  <c:v>1300</c:v>
                </c:pt>
                <c:pt idx="3">
                  <c:v>2000</c:v>
                </c:pt>
                <c:pt idx="4">
                  <c:v>2000</c:v>
                </c:pt>
                <c:pt idx="5">
                  <c:v>2100</c:v>
                </c:pt>
                <c:pt idx="6">
                  <c:v>2100</c:v>
                </c:pt>
                <c:pt idx="7">
                  <c:v>2000</c:v>
                </c:pt>
                <c:pt idx="8">
                  <c:v>2000</c:v>
                </c:pt>
                <c:pt idx="9">
                  <c:v>2000</c:v>
                </c:pt>
                <c:pt idx="10">
                  <c:v>2000</c:v>
                </c:pt>
                <c:pt idx="11">
                  <c:v>2000</c:v>
                </c:pt>
                <c:pt idx="12">
                  <c:v>2100</c:v>
                </c:pt>
              </c:numCache>
            </c:numRef>
          </c:xVal>
          <c:yVal>
            <c:numRef>
              <c:f>Summary!$AU$172:$BG$172</c:f>
              <c:numCache>
                <c:formatCode>0.00</c:formatCode>
                <c:ptCount val="13"/>
                <c:pt idx="0">
                  <c:v>4.3038461538461537</c:v>
                </c:pt>
                <c:pt idx="1">
                  <c:v>4.5423076923076922</c:v>
                </c:pt>
                <c:pt idx="2">
                  <c:v>4.4384615384615387</c:v>
                </c:pt>
                <c:pt idx="3">
                  <c:v>6.757006369426751</c:v>
                </c:pt>
                <c:pt idx="4">
                  <c:v>6.8308917197452228</c:v>
                </c:pt>
                <c:pt idx="5">
                  <c:v>6.9426751592356686</c:v>
                </c:pt>
                <c:pt idx="6">
                  <c:v>6.9601910828025479</c:v>
                </c:pt>
                <c:pt idx="7">
                  <c:v>6.0613772455089823</c:v>
                </c:pt>
                <c:pt idx="8">
                  <c:v>6.0092814371257486</c:v>
                </c:pt>
                <c:pt idx="9">
                  <c:v>6.1071856287425152</c:v>
                </c:pt>
                <c:pt idx="10">
                  <c:v>6.0479041916167668</c:v>
                </c:pt>
                <c:pt idx="11">
                  <c:v>6.11377245508982</c:v>
                </c:pt>
                <c:pt idx="12">
                  <c:v>4.6803278688524594</c:v>
                </c:pt>
              </c:numCache>
            </c:numRef>
          </c:yVal>
          <c:smooth val="0"/>
          <c:extLst>
            <c:ext xmlns:c16="http://schemas.microsoft.com/office/drawing/2014/chart" uri="{C3380CC4-5D6E-409C-BE32-E72D297353CC}">
              <c16:uniqueId val="{00000002-1C35-4486-A8BD-EED760C9839C}"/>
            </c:ext>
          </c:extLst>
        </c:ser>
        <c:ser>
          <c:idx val="2"/>
          <c:order val="3"/>
          <c:tx>
            <c:v>Attack/Dive Bomber</c:v>
          </c:tx>
          <c:spPr>
            <a:ln w="25400" cap="rnd">
              <a:noFill/>
              <a:round/>
            </a:ln>
            <a:effectLst/>
          </c:spPr>
          <c:marker>
            <c:symbol val="diamond"/>
            <c:size val="10"/>
            <c:spPr>
              <a:solidFill>
                <a:srgbClr val="FF0000"/>
              </a:solidFill>
              <a:ln w="9525">
                <a:solidFill>
                  <a:srgbClr val="FF0000"/>
                </a:solidFill>
              </a:ln>
              <a:effectLst/>
            </c:spPr>
          </c:marker>
          <c:xVal>
            <c:numRef>
              <c:f>Summary!$BI$17:$BK$17</c:f>
              <c:numCache>
                <c:formatCode>General</c:formatCode>
                <c:ptCount val="3"/>
                <c:pt idx="0">
                  <c:v>825</c:v>
                </c:pt>
                <c:pt idx="1">
                  <c:v>1300</c:v>
                </c:pt>
                <c:pt idx="2">
                  <c:v>1700</c:v>
                </c:pt>
              </c:numCache>
            </c:numRef>
          </c:xVal>
          <c:yVal>
            <c:numRef>
              <c:f>Summary!$BI$172:$BK$172</c:f>
              <c:numCache>
                <c:formatCode>0.00</c:formatCode>
                <c:ptCount val="3"/>
                <c:pt idx="0">
                  <c:v>2.8787878787878789</c:v>
                </c:pt>
                <c:pt idx="1">
                  <c:v>4.0210006176652255</c:v>
                </c:pt>
                <c:pt idx="2">
                  <c:v>6.4853731343283583</c:v>
                </c:pt>
              </c:numCache>
            </c:numRef>
          </c:yVal>
          <c:smooth val="0"/>
          <c:extLst>
            <c:ext xmlns:c16="http://schemas.microsoft.com/office/drawing/2014/chart" uri="{C3380CC4-5D6E-409C-BE32-E72D297353CC}">
              <c16:uniqueId val="{00000003-1C35-4486-A8BD-EED760C9839C}"/>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Summary!$BR$17:$BZ$17</c:f>
              <c:numCache>
                <c:formatCode>General</c:formatCode>
                <c:ptCount val="9"/>
                <c:pt idx="0">
                  <c:v>175</c:v>
                </c:pt>
                <c:pt idx="1">
                  <c:v>132</c:v>
                </c:pt>
                <c:pt idx="2">
                  <c:v>440</c:v>
                </c:pt>
                <c:pt idx="3">
                  <c:v>400</c:v>
                </c:pt>
                <c:pt idx="4">
                  <c:v>450</c:v>
                </c:pt>
                <c:pt idx="5">
                  <c:v>450</c:v>
                </c:pt>
                <c:pt idx="6">
                  <c:v>600</c:v>
                </c:pt>
                <c:pt idx="7">
                  <c:v>600</c:v>
                </c:pt>
                <c:pt idx="8">
                  <c:v>600</c:v>
                </c:pt>
              </c:numCache>
            </c:numRef>
          </c:xVal>
          <c:yVal>
            <c:numRef>
              <c:f>Summary!$BR$172:$BZ$172</c:f>
              <c:numCache>
                <c:formatCode>0.00</c:formatCode>
                <c:ptCount val="9"/>
                <c:pt idx="0">
                  <c:v>2.4900000000000002</c:v>
                </c:pt>
                <c:pt idx="1">
                  <c:v>2.3548387096774195</c:v>
                </c:pt>
                <c:pt idx="2">
                  <c:v>2.7727272727272729</c:v>
                </c:pt>
                <c:pt idx="3">
                  <c:v>2.6733870967741935</c:v>
                </c:pt>
                <c:pt idx="4">
                  <c:v>3.0685883038016804</c:v>
                </c:pt>
                <c:pt idx="5">
                  <c:v>2.9707112970711296</c:v>
                </c:pt>
                <c:pt idx="6">
                  <c:v>3.1822222222222223</c:v>
                </c:pt>
                <c:pt idx="7">
                  <c:v>2.8787291747384733</c:v>
                </c:pt>
                <c:pt idx="8">
                  <c:v>2.975603988491704</c:v>
                </c:pt>
              </c:numCache>
            </c:numRef>
          </c:yVal>
          <c:smooth val="0"/>
          <c:extLst>
            <c:ext xmlns:c16="http://schemas.microsoft.com/office/drawing/2014/chart" uri="{C3380CC4-5D6E-409C-BE32-E72D297353CC}">
              <c16:uniqueId val="{00000004-1C35-4486-A8BD-EED760C9839C}"/>
            </c:ext>
          </c:extLst>
        </c:ser>
        <c:ser>
          <c:idx val="5"/>
          <c:order val="5"/>
          <c:tx>
            <c:v>Attack/Dive/Torp - Fold</c:v>
          </c:tx>
          <c:spPr>
            <a:ln w="25400" cap="rnd">
              <a:noFill/>
              <a:round/>
            </a:ln>
            <a:effectLst/>
          </c:spPr>
          <c:marker>
            <c:symbol val="diamond"/>
            <c:size val="10"/>
            <c:spPr>
              <a:solidFill>
                <a:schemeClr val="bg1"/>
              </a:solidFill>
              <a:ln w="9525">
                <a:solidFill>
                  <a:srgbClr val="FF0000"/>
                </a:solidFill>
              </a:ln>
              <a:effectLst/>
            </c:spPr>
          </c:marker>
          <c:xVal>
            <c:numRef>
              <c:f>Summary!$BL$17:$BP$17</c:f>
              <c:numCache>
                <c:formatCode>General</c:formatCode>
                <c:ptCount val="5"/>
                <c:pt idx="0">
                  <c:v>2700</c:v>
                </c:pt>
                <c:pt idx="1">
                  <c:v>1900</c:v>
                </c:pt>
                <c:pt idx="2">
                  <c:v>2500</c:v>
                </c:pt>
                <c:pt idx="4">
                  <c:v>1900</c:v>
                </c:pt>
              </c:numCache>
            </c:numRef>
          </c:xVal>
          <c:yVal>
            <c:numRef>
              <c:f>Summary!$BL$172:$BP$172</c:f>
              <c:numCache>
                <c:formatCode>0.00</c:formatCode>
                <c:ptCount val="5"/>
                <c:pt idx="0">
                  <c:v>6.4725000000000001</c:v>
                </c:pt>
                <c:pt idx="1">
                  <c:v>7.1516587677725116</c:v>
                </c:pt>
                <c:pt idx="2">
                  <c:v>5.0274999999999999</c:v>
                </c:pt>
                <c:pt idx="4">
                  <c:v>5.0571428571428569</c:v>
                </c:pt>
              </c:numCache>
            </c:numRef>
          </c:yVal>
          <c:smooth val="0"/>
          <c:extLst>
            <c:ext xmlns:c16="http://schemas.microsoft.com/office/drawing/2014/chart" uri="{C3380CC4-5D6E-409C-BE32-E72D297353CC}">
              <c16:uniqueId val="{00000005-1C35-4486-A8BD-EED760C9839C}"/>
            </c:ext>
          </c:extLst>
        </c:ser>
        <c:ser>
          <c:idx val="6"/>
          <c:order val="6"/>
          <c:tx>
            <c:v>Trainers - Biplane</c:v>
          </c:tx>
          <c:spPr>
            <a:ln w="25400" cap="rnd">
              <a:noFill/>
              <a:round/>
            </a:ln>
            <a:effectLst/>
          </c:spPr>
          <c:marker>
            <c:symbol val="triangle"/>
            <c:size val="9"/>
            <c:spPr>
              <a:solidFill>
                <a:srgbClr val="FFC000"/>
              </a:solidFill>
              <a:ln w="15875">
                <a:solidFill>
                  <a:schemeClr val="bg1">
                    <a:lumMod val="50000"/>
                  </a:schemeClr>
                </a:solidFill>
              </a:ln>
              <a:effectLst/>
            </c:spPr>
          </c:marker>
          <c:xVal>
            <c:numRef>
              <c:f>Summary!$CA$17</c:f>
              <c:numCache>
                <c:formatCode>General</c:formatCode>
                <c:ptCount val="1"/>
                <c:pt idx="0">
                  <c:v>220</c:v>
                </c:pt>
              </c:numCache>
            </c:numRef>
          </c:xVal>
          <c:yVal>
            <c:numRef>
              <c:f>Summary!$CA$172</c:f>
              <c:numCache>
                <c:formatCode>0.00</c:formatCode>
                <c:ptCount val="1"/>
                <c:pt idx="0">
                  <c:v>1.4899328859060403</c:v>
                </c:pt>
              </c:numCache>
            </c:numRef>
          </c:yVal>
          <c:smooth val="0"/>
          <c:extLst>
            <c:ext xmlns:c16="http://schemas.microsoft.com/office/drawing/2014/chart" uri="{C3380CC4-5D6E-409C-BE32-E72D297353CC}">
              <c16:uniqueId val="{00000006-1C35-4486-A8BD-EED760C9839C}"/>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Rsated Take-Off Power [HP]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Specific Wt</a:t>
                </a:r>
                <a:r>
                  <a:rPr lang="en-US" baseline="0"/>
                  <a:t> [</a:t>
                </a:r>
                <a:r>
                  <a:rPr lang="en-US"/>
                  <a:t>lb/sq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9.2860170076423332E-2"/>
          <c:y val="9.6554998806967315E-2"/>
          <c:w val="0.15157267960754367"/>
          <c:h val="0.23863803388212837"/>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Tail</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Summary!$C$74:$S$74</c:f>
              <c:numCache>
                <c:formatCode>General</c:formatCode>
                <c:ptCount val="17"/>
                <c:pt idx="0">
                  <c:v>67</c:v>
                </c:pt>
                <c:pt idx="1">
                  <c:v>125</c:v>
                </c:pt>
                <c:pt idx="2">
                  <c:v>107</c:v>
                </c:pt>
                <c:pt idx="3">
                  <c:v>112</c:v>
                </c:pt>
                <c:pt idx="4">
                  <c:v>117</c:v>
                </c:pt>
                <c:pt idx="5">
                  <c:v>129</c:v>
                </c:pt>
                <c:pt idx="6">
                  <c:v>129</c:v>
                </c:pt>
                <c:pt idx="7">
                  <c:v>154</c:v>
                </c:pt>
                <c:pt idx="8">
                  <c:v>129</c:v>
                </c:pt>
                <c:pt idx="9">
                  <c:v>152</c:v>
                </c:pt>
                <c:pt idx="10">
                  <c:v>131</c:v>
                </c:pt>
                <c:pt idx="11">
                  <c:v>150</c:v>
                </c:pt>
                <c:pt idx="12">
                  <c:v>252</c:v>
                </c:pt>
                <c:pt idx="13">
                  <c:v>250.5</c:v>
                </c:pt>
                <c:pt idx="14">
                  <c:v>250.5</c:v>
                </c:pt>
                <c:pt idx="15">
                  <c:v>183</c:v>
                </c:pt>
                <c:pt idx="16">
                  <c:v>188</c:v>
                </c:pt>
              </c:numCache>
            </c:numRef>
          </c:yVal>
          <c:smooth val="0"/>
          <c:extLst>
            <c:ext xmlns:c16="http://schemas.microsoft.com/office/drawing/2014/chart" uri="{C3380CC4-5D6E-409C-BE32-E72D297353CC}">
              <c16:uniqueId val="{00000000-2691-4E4F-A71B-779C614DBEBA}"/>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Summary!$AE$74:$BG$74</c:f>
              <c:numCache>
                <c:formatCode>General</c:formatCode>
                <c:ptCount val="29"/>
                <c:pt idx="0">
                  <c:v>104.17</c:v>
                </c:pt>
                <c:pt idx="1">
                  <c:v>106.4</c:v>
                </c:pt>
                <c:pt idx="2">
                  <c:v>107</c:v>
                </c:pt>
                <c:pt idx="4">
                  <c:v>107</c:v>
                </c:pt>
                <c:pt idx="5">
                  <c:v>107</c:v>
                </c:pt>
                <c:pt idx="6">
                  <c:v>105</c:v>
                </c:pt>
                <c:pt idx="7">
                  <c:v>105</c:v>
                </c:pt>
                <c:pt idx="8">
                  <c:v>107</c:v>
                </c:pt>
                <c:pt idx="9">
                  <c:v>107</c:v>
                </c:pt>
                <c:pt idx="10">
                  <c:v>107</c:v>
                </c:pt>
                <c:pt idx="11">
                  <c:v>107</c:v>
                </c:pt>
                <c:pt idx="12">
                  <c:v>107</c:v>
                </c:pt>
                <c:pt idx="13">
                  <c:v>144</c:v>
                </c:pt>
                <c:pt idx="14">
                  <c:v>147</c:v>
                </c:pt>
                <c:pt idx="15">
                  <c:v>148</c:v>
                </c:pt>
                <c:pt idx="16">
                  <c:v>147</c:v>
                </c:pt>
                <c:pt idx="17">
                  <c:v>148</c:v>
                </c:pt>
                <c:pt idx="18">
                  <c:v>150</c:v>
                </c:pt>
                <c:pt idx="19">
                  <c:v>164.2</c:v>
                </c:pt>
                <c:pt idx="20">
                  <c:v>172.6</c:v>
                </c:pt>
                <c:pt idx="21">
                  <c:v>175</c:v>
                </c:pt>
                <c:pt idx="22">
                  <c:v>179.8</c:v>
                </c:pt>
                <c:pt idx="23">
                  <c:v>271.39999999999998</c:v>
                </c:pt>
                <c:pt idx="24">
                  <c:v>271.39999999999998</c:v>
                </c:pt>
                <c:pt idx="25">
                  <c:v>280.8</c:v>
                </c:pt>
                <c:pt idx="26">
                  <c:v>277</c:v>
                </c:pt>
                <c:pt idx="27">
                  <c:v>280</c:v>
                </c:pt>
                <c:pt idx="28">
                  <c:v>182</c:v>
                </c:pt>
              </c:numCache>
            </c:numRef>
          </c:yVal>
          <c:smooth val="0"/>
          <c:extLst>
            <c:ext xmlns:c16="http://schemas.microsoft.com/office/drawing/2014/chart" uri="{C3380CC4-5D6E-409C-BE32-E72D297353CC}">
              <c16:uniqueId val="{00000001-2691-4E4F-A71B-779C614DBEBA}"/>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Summary!$BI$74:$BP$74</c:f>
              <c:numCache>
                <c:formatCode>General</c:formatCode>
                <c:ptCount val="8"/>
                <c:pt idx="0">
                  <c:v>150</c:v>
                </c:pt>
                <c:pt idx="1">
                  <c:v>214</c:v>
                </c:pt>
                <c:pt idx="2">
                  <c:v>381.4</c:v>
                </c:pt>
                <c:pt idx="3">
                  <c:v>484</c:v>
                </c:pt>
                <c:pt idx="4">
                  <c:v>390</c:v>
                </c:pt>
                <c:pt idx="5">
                  <c:v>504</c:v>
                </c:pt>
                <c:pt idx="7">
                  <c:v>278</c:v>
                </c:pt>
              </c:numCache>
            </c:numRef>
          </c:yVal>
          <c:smooth val="0"/>
          <c:extLst>
            <c:ext xmlns:c16="http://schemas.microsoft.com/office/drawing/2014/chart" uri="{C3380CC4-5D6E-409C-BE32-E72D297353CC}">
              <c16:uniqueId val="{00000002-2691-4E4F-A71B-779C614DBEBA}"/>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Summary!$BR$74:$CA$74</c:f>
              <c:numCache>
                <c:formatCode>General</c:formatCode>
                <c:ptCount val="10"/>
                <c:pt idx="0">
                  <c:v>79</c:v>
                </c:pt>
                <c:pt idx="1">
                  <c:v>37</c:v>
                </c:pt>
                <c:pt idx="2">
                  <c:v>71</c:v>
                </c:pt>
                <c:pt idx="3">
                  <c:v>96</c:v>
                </c:pt>
                <c:pt idx="4">
                  <c:v>128.03</c:v>
                </c:pt>
                <c:pt idx="5">
                  <c:v>107</c:v>
                </c:pt>
                <c:pt idx="6">
                  <c:v>112</c:v>
                </c:pt>
                <c:pt idx="7">
                  <c:v>119</c:v>
                </c:pt>
                <c:pt idx="8">
                  <c:v>119</c:v>
                </c:pt>
                <c:pt idx="9">
                  <c:v>72</c:v>
                </c:pt>
              </c:numCache>
            </c:numRef>
          </c:yVal>
          <c:smooth val="0"/>
          <c:extLst>
            <c:ext xmlns:c16="http://schemas.microsoft.com/office/drawing/2014/chart" uri="{C3380CC4-5D6E-409C-BE32-E72D297353CC}">
              <c16:uniqueId val="{00000003-2691-4E4F-A71B-779C614DBEBA}"/>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Weight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Tail</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1"/>
            <c:dispEq val="1"/>
            <c:trendlineLbl>
              <c:layout>
                <c:manualLayout>
                  <c:x val="-2.5849603232150065E-2"/>
                  <c:y val="-5.6269215580463015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Summary!$C$37:$CA$37</c:f>
              <c:numCache>
                <c:formatCode>General</c:formatCode>
                <c:ptCount val="77"/>
                <c:pt idx="0">
                  <c:v>37.200000000000003</c:v>
                </c:pt>
                <c:pt idx="1">
                  <c:v>54.2</c:v>
                </c:pt>
                <c:pt idx="2">
                  <c:v>68.739999999999995</c:v>
                </c:pt>
                <c:pt idx="3">
                  <c:v>68.740000000000009</c:v>
                </c:pt>
                <c:pt idx="4">
                  <c:v>68.740000000000009</c:v>
                </c:pt>
                <c:pt idx="5">
                  <c:v>69.039999999999992</c:v>
                </c:pt>
                <c:pt idx="6">
                  <c:v>69.039999999999992</c:v>
                </c:pt>
                <c:pt idx="7">
                  <c:v>69.039999999999992</c:v>
                </c:pt>
                <c:pt idx="8">
                  <c:v>71.22</c:v>
                </c:pt>
                <c:pt idx="9">
                  <c:v>69.739999999999995</c:v>
                </c:pt>
                <c:pt idx="10">
                  <c:v>69.739999999999995</c:v>
                </c:pt>
                <c:pt idx="11">
                  <c:v>69.039999999999992</c:v>
                </c:pt>
                <c:pt idx="12">
                  <c:v>86.1</c:v>
                </c:pt>
                <c:pt idx="13">
                  <c:v>86.1</c:v>
                </c:pt>
                <c:pt idx="14">
                  <c:v>80.8</c:v>
                </c:pt>
                <c:pt idx="15">
                  <c:v>61.05</c:v>
                </c:pt>
                <c:pt idx="17">
                  <c:v>58.8</c:v>
                </c:pt>
                <c:pt idx="19">
                  <c:v>59.05</c:v>
                </c:pt>
                <c:pt idx="20">
                  <c:v>59.05</c:v>
                </c:pt>
                <c:pt idx="21">
                  <c:v>60.210000000000008</c:v>
                </c:pt>
                <c:pt idx="22">
                  <c:v>59.01</c:v>
                </c:pt>
                <c:pt idx="23">
                  <c:v>59.01</c:v>
                </c:pt>
                <c:pt idx="24">
                  <c:v>69.489999999999995</c:v>
                </c:pt>
                <c:pt idx="25">
                  <c:v>69.489999999999995</c:v>
                </c:pt>
                <c:pt idx="26">
                  <c:v>70.260000000000005</c:v>
                </c:pt>
                <c:pt idx="28">
                  <c:v>58.7</c:v>
                </c:pt>
                <c:pt idx="29">
                  <c:v>58.7</c:v>
                </c:pt>
                <c:pt idx="30">
                  <c:v>58.7</c:v>
                </c:pt>
                <c:pt idx="31">
                  <c:v>58.7</c:v>
                </c:pt>
                <c:pt idx="32">
                  <c:v>58.7</c:v>
                </c:pt>
                <c:pt idx="33">
                  <c:v>58.7</c:v>
                </c:pt>
                <c:pt idx="34">
                  <c:v>58.7</c:v>
                </c:pt>
                <c:pt idx="35">
                  <c:v>58.7</c:v>
                </c:pt>
                <c:pt idx="36">
                  <c:v>58.7</c:v>
                </c:pt>
                <c:pt idx="37">
                  <c:v>58.7</c:v>
                </c:pt>
                <c:pt idx="38">
                  <c:v>58.7</c:v>
                </c:pt>
                <c:pt idx="39">
                  <c:v>58.7</c:v>
                </c:pt>
                <c:pt idx="40">
                  <c:v>58.7</c:v>
                </c:pt>
                <c:pt idx="41">
                  <c:v>71.63</c:v>
                </c:pt>
                <c:pt idx="42">
                  <c:v>71.63</c:v>
                </c:pt>
                <c:pt idx="43">
                  <c:v>71.63</c:v>
                </c:pt>
                <c:pt idx="44">
                  <c:v>71.63</c:v>
                </c:pt>
                <c:pt idx="45">
                  <c:v>71.63</c:v>
                </c:pt>
                <c:pt idx="47">
                  <c:v>79.900000000000006</c:v>
                </c:pt>
                <c:pt idx="48">
                  <c:v>79.900000000000006</c:v>
                </c:pt>
                <c:pt idx="49">
                  <c:v>79.900000000000006</c:v>
                </c:pt>
                <c:pt idx="50">
                  <c:v>79.900000000000006</c:v>
                </c:pt>
                <c:pt idx="51">
                  <c:v>100.1</c:v>
                </c:pt>
                <c:pt idx="52">
                  <c:v>101.19999999999999</c:v>
                </c:pt>
                <c:pt idx="53">
                  <c:v>100.1</c:v>
                </c:pt>
                <c:pt idx="54">
                  <c:v>100.1</c:v>
                </c:pt>
                <c:pt idx="55">
                  <c:v>100.1</c:v>
                </c:pt>
                <c:pt idx="56">
                  <c:v>69.97</c:v>
                </c:pt>
                <c:pt idx="58">
                  <c:v>90.86</c:v>
                </c:pt>
                <c:pt idx="59">
                  <c:v>93.210000000000008</c:v>
                </c:pt>
                <c:pt idx="62">
                  <c:v>153.10000000000002</c:v>
                </c:pt>
                <c:pt idx="65">
                  <c:v>141.4</c:v>
                </c:pt>
                <c:pt idx="70">
                  <c:v>59.230000000000004</c:v>
                </c:pt>
                <c:pt idx="71">
                  <c:v>63</c:v>
                </c:pt>
                <c:pt idx="72">
                  <c:v>71.7</c:v>
                </c:pt>
                <c:pt idx="74">
                  <c:v>87.19</c:v>
                </c:pt>
                <c:pt idx="75">
                  <c:v>87.19</c:v>
                </c:pt>
              </c:numCache>
            </c:numRef>
          </c:xVal>
          <c:yVal>
            <c:numRef>
              <c:f>Summary!$C$74:$CA$74</c:f>
              <c:numCache>
                <c:formatCode>General</c:formatCode>
                <c:ptCount val="77"/>
                <c:pt idx="0">
                  <c:v>67</c:v>
                </c:pt>
                <c:pt idx="1">
                  <c:v>125</c:v>
                </c:pt>
                <c:pt idx="2">
                  <c:v>107</c:v>
                </c:pt>
                <c:pt idx="3">
                  <c:v>112</c:v>
                </c:pt>
                <c:pt idx="4">
                  <c:v>117</c:v>
                </c:pt>
                <c:pt idx="5">
                  <c:v>129</c:v>
                </c:pt>
                <c:pt idx="6">
                  <c:v>129</c:v>
                </c:pt>
                <c:pt idx="7">
                  <c:v>154</c:v>
                </c:pt>
                <c:pt idx="8">
                  <c:v>129</c:v>
                </c:pt>
                <c:pt idx="9">
                  <c:v>152</c:v>
                </c:pt>
                <c:pt idx="10">
                  <c:v>131</c:v>
                </c:pt>
                <c:pt idx="11">
                  <c:v>150</c:v>
                </c:pt>
                <c:pt idx="12">
                  <c:v>252</c:v>
                </c:pt>
                <c:pt idx="13">
                  <c:v>250.5</c:v>
                </c:pt>
                <c:pt idx="14">
                  <c:v>250.5</c:v>
                </c:pt>
                <c:pt idx="15">
                  <c:v>183</c:v>
                </c:pt>
                <c:pt idx="16">
                  <c:v>188</c:v>
                </c:pt>
                <c:pt idx="17">
                  <c:v>125</c:v>
                </c:pt>
                <c:pt idx="18">
                  <c:v>116</c:v>
                </c:pt>
                <c:pt idx="19">
                  <c:v>116</c:v>
                </c:pt>
                <c:pt idx="20">
                  <c:v>114</c:v>
                </c:pt>
                <c:pt idx="21">
                  <c:v>116</c:v>
                </c:pt>
                <c:pt idx="23">
                  <c:v>114</c:v>
                </c:pt>
                <c:pt idx="24">
                  <c:v>141</c:v>
                </c:pt>
                <c:pt idx="25">
                  <c:v>159.9</c:v>
                </c:pt>
                <c:pt idx="26">
                  <c:v>178</c:v>
                </c:pt>
                <c:pt idx="28">
                  <c:v>104.17</c:v>
                </c:pt>
                <c:pt idx="29">
                  <c:v>106.4</c:v>
                </c:pt>
                <c:pt idx="30">
                  <c:v>107</c:v>
                </c:pt>
                <c:pt idx="32">
                  <c:v>107</c:v>
                </c:pt>
                <c:pt idx="33">
                  <c:v>107</c:v>
                </c:pt>
                <c:pt idx="34">
                  <c:v>105</c:v>
                </c:pt>
                <c:pt idx="35">
                  <c:v>105</c:v>
                </c:pt>
                <c:pt idx="36">
                  <c:v>107</c:v>
                </c:pt>
                <c:pt idx="37">
                  <c:v>107</c:v>
                </c:pt>
                <c:pt idx="38">
                  <c:v>107</c:v>
                </c:pt>
                <c:pt idx="39">
                  <c:v>107</c:v>
                </c:pt>
                <c:pt idx="40">
                  <c:v>107</c:v>
                </c:pt>
                <c:pt idx="41">
                  <c:v>144</c:v>
                </c:pt>
                <c:pt idx="42">
                  <c:v>147</c:v>
                </c:pt>
                <c:pt idx="43">
                  <c:v>148</c:v>
                </c:pt>
                <c:pt idx="44">
                  <c:v>147</c:v>
                </c:pt>
                <c:pt idx="45">
                  <c:v>148</c:v>
                </c:pt>
                <c:pt idx="46">
                  <c:v>150</c:v>
                </c:pt>
                <c:pt idx="47">
                  <c:v>164.2</c:v>
                </c:pt>
                <c:pt idx="48">
                  <c:v>172.6</c:v>
                </c:pt>
                <c:pt idx="49">
                  <c:v>175</c:v>
                </c:pt>
                <c:pt idx="50">
                  <c:v>179.8</c:v>
                </c:pt>
                <c:pt idx="51">
                  <c:v>271.39999999999998</c:v>
                </c:pt>
                <c:pt idx="52">
                  <c:v>271.39999999999998</c:v>
                </c:pt>
                <c:pt idx="53">
                  <c:v>280.8</c:v>
                </c:pt>
                <c:pt idx="54">
                  <c:v>277</c:v>
                </c:pt>
                <c:pt idx="55">
                  <c:v>280</c:v>
                </c:pt>
                <c:pt idx="56">
                  <c:v>182</c:v>
                </c:pt>
                <c:pt idx="58">
                  <c:v>150</c:v>
                </c:pt>
                <c:pt idx="59">
                  <c:v>214</c:v>
                </c:pt>
                <c:pt idx="60">
                  <c:v>381.4</c:v>
                </c:pt>
                <c:pt idx="61">
                  <c:v>484</c:v>
                </c:pt>
                <c:pt idx="62">
                  <c:v>390</c:v>
                </c:pt>
                <c:pt idx="63">
                  <c:v>504</c:v>
                </c:pt>
                <c:pt idx="65">
                  <c:v>278</c:v>
                </c:pt>
                <c:pt idx="67">
                  <c:v>79</c:v>
                </c:pt>
                <c:pt idx="68">
                  <c:v>37</c:v>
                </c:pt>
                <c:pt idx="69">
                  <c:v>71</c:v>
                </c:pt>
                <c:pt idx="70">
                  <c:v>96</c:v>
                </c:pt>
                <c:pt idx="71">
                  <c:v>128.03</c:v>
                </c:pt>
                <c:pt idx="72">
                  <c:v>107</c:v>
                </c:pt>
                <c:pt idx="73">
                  <c:v>112</c:v>
                </c:pt>
                <c:pt idx="74">
                  <c:v>119</c:v>
                </c:pt>
                <c:pt idx="75">
                  <c:v>119</c:v>
                </c:pt>
                <c:pt idx="76">
                  <c:v>72</c:v>
                </c:pt>
              </c:numCache>
            </c:numRef>
          </c:yVal>
          <c:smooth val="0"/>
          <c:extLst>
            <c:ext xmlns:c16="http://schemas.microsoft.com/office/drawing/2014/chart" uri="{C3380CC4-5D6E-409C-BE32-E72D297353CC}">
              <c16:uniqueId val="{00000000-A92C-4E35-B689-5560816278D8}"/>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Summary!$C$37:$S$37</c:f>
              <c:numCache>
                <c:formatCode>General</c:formatCode>
                <c:ptCount val="17"/>
                <c:pt idx="0">
                  <c:v>37.200000000000003</c:v>
                </c:pt>
                <c:pt idx="1">
                  <c:v>54.2</c:v>
                </c:pt>
                <c:pt idx="2">
                  <c:v>68.739999999999995</c:v>
                </c:pt>
                <c:pt idx="3">
                  <c:v>68.740000000000009</c:v>
                </c:pt>
                <c:pt idx="4">
                  <c:v>68.740000000000009</c:v>
                </c:pt>
                <c:pt idx="5">
                  <c:v>69.039999999999992</c:v>
                </c:pt>
                <c:pt idx="6">
                  <c:v>69.039999999999992</c:v>
                </c:pt>
                <c:pt idx="7">
                  <c:v>69.039999999999992</c:v>
                </c:pt>
                <c:pt idx="8">
                  <c:v>71.22</c:v>
                </c:pt>
                <c:pt idx="9">
                  <c:v>69.739999999999995</c:v>
                </c:pt>
                <c:pt idx="10">
                  <c:v>69.739999999999995</c:v>
                </c:pt>
                <c:pt idx="11">
                  <c:v>69.039999999999992</c:v>
                </c:pt>
                <c:pt idx="12">
                  <c:v>86.1</c:v>
                </c:pt>
                <c:pt idx="13">
                  <c:v>86.1</c:v>
                </c:pt>
                <c:pt idx="14">
                  <c:v>80.8</c:v>
                </c:pt>
                <c:pt idx="15">
                  <c:v>61.05</c:v>
                </c:pt>
              </c:numCache>
            </c:numRef>
          </c:xVal>
          <c:yVal>
            <c:numRef>
              <c:f>Summary!$C$74:$S$74</c:f>
              <c:numCache>
                <c:formatCode>General</c:formatCode>
                <c:ptCount val="17"/>
                <c:pt idx="0">
                  <c:v>67</c:v>
                </c:pt>
                <c:pt idx="1">
                  <c:v>125</c:v>
                </c:pt>
                <c:pt idx="2">
                  <c:v>107</c:v>
                </c:pt>
                <c:pt idx="3">
                  <c:v>112</c:v>
                </c:pt>
                <c:pt idx="4">
                  <c:v>117</c:v>
                </c:pt>
                <c:pt idx="5">
                  <c:v>129</c:v>
                </c:pt>
                <c:pt idx="6">
                  <c:v>129</c:v>
                </c:pt>
                <c:pt idx="7">
                  <c:v>154</c:v>
                </c:pt>
                <c:pt idx="8">
                  <c:v>129</c:v>
                </c:pt>
                <c:pt idx="9">
                  <c:v>152</c:v>
                </c:pt>
                <c:pt idx="10">
                  <c:v>131</c:v>
                </c:pt>
                <c:pt idx="11">
                  <c:v>150</c:v>
                </c:pt>
                <c:pt idx="12">
                  <c:v>252</c:v>
                </c:pt>
                <c:pt idx="13">
                  <c:v>250.5</c:v>
                </c:pt>
                <c:pt idx="14">
                  <c:v>250.5</c:v>
                </c:pt>
                <c:pt idx="15">
                  <c:v>183</c:v>
                </c:pt>
                <c:pt idx="16">
                  <c:v>188</c:v>
                </c:pt>
              </c:numCache>
            </c:numRef>
          </c:yVal>
          <c:smooth val="0"/>
          <c:extLst>
            <c:ext xmlns:c16="http://schemas.microsoft.com/office/drawing/2014/chart" uri="{C3380CC4-5D6E-409C-BE32-E72D297353CC}">
              <c16:uniqueId val="{00000000-7C06-4B2D-9F8E-0FE211ED3366}"/>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Summary!$AE$37:$BG$37</c:f>
              <c:numCache>
                <c:formatCode>General</c:formatCode>
                <c:ptCount val="29"/>
                <c:pt idx="0">
                  <c:v>58.7</c:v>
                </c:pt>
                <c:pt idx="1">
                  <c:v>58.7</c:v>
                </c:pt>
                <c:pt idx="2">
                  <c:v>58.7</c:v>
                </c:pt>
                <c:pt idx="3">
                  <c:v>58.7</c:v>
                </c:pt>
                <c:pt idx="4">
                  <c:v>58.7</c:v>
                </c:pt>
                <c:pt idx="5">
                  <c:v>58.7</c:v>
                </c:pt>
                <c:pt idx="6">
                  <c:v>58.7</c:v>
                </c:pt>
                <c:pt idx="7">
                  <c:v>58.7</c:v>
                </c:pt>
                <c:pt idx="8">
                  <c:v>58.7</c:v>
                </c:pt>
                <c:pt idx="9">
                  <c:v>58.7</c:v>
                </c:pt>
                <c:pt idx="10">
                  <c:v>58.7</c:v>
                </c:pt>
                <c:pt idx="11">
                  <c:v>58.7</c:v>
                </c:pt>
                <c:pt idx="12">
                  <c:v>58.7</c:v>
                </c:pt>
                <c:pt idx="13">
                  <c:v>71.63</c:v>
                </c:pt>
                <c:pt idx="14">
                  <c:v>71.63</c:v>
                </c:pt>
                <c:pt idx="15">
                  <c:v>71.63</c:v>
                </c:pt>
                <c:pt idx="16">
                  <c:v>71.63</c:v>
                </c:pt>
                <c:pt idx="17">
                  <c:v>71.63</c:v>
                </c:pt>
                <c:pt idx="19">
                  <c:v>79.900000000000006</c:v>
                </c:pt>
                <c:pt idx="20">
                  <c:v>79.900000000000006</c:v>
                </c:pt>
                <c:pt idx="21">
                  <c:v>79.900000000000006</c:v>
                </c:pt>
                <c:pt idx="22">
                  <c:v>79.900000000000006</c:v>
                </c:pt>
                <c:pt idx="23">
                  <c:v>100.1</c:v>
                </c:pt>
                <c:pt idx="24">
                  <c:v>101.19999999999999</c:v>
                </c:pt>
                <c:pt idx="25">
                  <c:v>100.1</c:v>
                </c:pt>
                <c:pt idx="26">
                  <c:v>100.1</c:v>
                </c:pt>
                <c:pt idx="27">
                  <c:v>100.1</c:v>
                </c:pt>
                <c:pt idx="28">
                  <c:v>69.97</c:v>
                </c:pt>
              </c:numCache>
            </c:numRef>
          </c:xVal>
          <c:yVal>
            <c:numRef>
              <c:f>Summary!$AE$74:$BG$74</c:f>
              <c:numCache>
                <c:formatCode>General</c:formatCode>
                <c:ptCount val="29"/>
                <c:pt idx="0">
                  <c:v>104.17</c:v>
                </c:pt>
                <c:pt idx="1">
                  <c:v>106.4</c:v>
                </c:pt>
                <c:pt idx="2">
                  <c:v>107</c:v>
                </c:pt>
                <c:pt idx="4">
                  <c:v>107</c:v>
                </c:pt>
                <c:pt idx="5">
                  <c:v>107</c:v>
                </c:pt>
                <c:pt idx="6">
                  <c:v>105</c:v>
                </c:pt>
                <c:pt idx="7">
                  <c:v>105</c:v>
                </c:pt>
                <c:pt idx="8">
                  <c:v>107</c:v>
                </c:pt>
                <c:pt idx="9">
                  <c:v>107</c:v>
                </c:pt>
                <c:pt idx="10">
                  <c:v>107</c:v>
                </c:pt>
                <c:pt idx="11">
                  <c:v>107</c:v>
                </c:pt>
                <c:pt idx="12">
                  <c:v>107</c:v>
                </c:pt>
                <c:pt idx="13">
                  <c:v>144</c:v>
                </c:pt>
                <c:pt idx="14">
                  <c:v>147</c:v>
                </c:pt>
                <c:pt idx="15">
                  <c:v>148</c:v>
                </c:pt>
                <c:pt idx="16">
                  <c:v>147</c:v>
                </c:pt>
                <c:pt idx="17">
                  <c:v>148</c:v>
                </c:pt>
                <c:pt idx="18">
                  <c:v>150</c:v>
                </c:pt>
                <c:pt idx="19">
                  <c:v>164.2</c:v>
                </c:pt>
                <c:pt idx="20">
                  <c:v>172.6</c:v>
                </c:pt>
                <c:pt idx="21">
                  <c:v>175</c:v>
                </c:pt>
                <c:pt idx="22">
                  <c:v>179.8</c:v>
                </c:pt>
                <c:pt idx="23">
                  <c:v>271.39999999999998</c:v>
                </c:pt>
                <c:pt idx="24">
                  <c:v>271.39999999999998</c:v>
                </c:pt>
                <c:pt idx="25">
                  <c:v>280.8</c:v>
                </c:pt>
                <c:pt idx="26">
                  <c:v>277</c:v>
                </c:pt>
                <c:pt idx="27">
                  <c:v>280</c:v>
                </c:pt>
                <c:pt idx="28">
                  <c:v>182</c:v>
                </c:pt>
              </c:numCache>
            </c:numRef>
          </c:yVal>
          <c:smooth val="0"/>
          <c:extLst>
            <c:ext xmlns:c16="http://schemas.microsoft.com/office/drawing/2014/chart" uri="{C3380CC4-5D6E-409C-BE32-E72D297353CC}">
              <c16:uniqueId val="{00000001-7C06-4B2D-9F8E-0FE211ED3366}"/>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Summary!$BI$37:$BP$37</c:f>
              <c:numCache>
                <c:formatCode>General</c:formatCode>
                <c:ptCount val="8"/>
                <c:pt idx="0">
                  <c:v>90.86</c:v>
                </c:pt>
                <c:pt idx="1">
                  <c:v>93.210000000000008</c:v>
                </c:pt>
                <c:pt idx="4">
                  <c:v>153.10000000000002</c:v>
                </c:pt>
                <c:pt idx="7">
                  <c:v>141.4</c:v>
                </c:pt>
              </c:numCache>
            </c:numRef>
          </c:xVal>
          <c:yVal>
            <c:numRef>
              <c:f>Summary!$BI$74:$BP$74</c:f>
              <c:numCache>
                <c:formatCode>General</c:formatCode>
                <c:ptCount val="8"/>
                <c:pt idx="0">
                  <c:v>150</c:v>
                </c:pt>
                <c:pt idx="1">
                  <c:v>214</c:v>
                </c:pt>
                <c:pt idx="2">
                  <c:v>381.4</c:v>
                </c:pt>
                <c:pt idx="3">
                  <c:v>484</c:v>
                </c:pt>
                <c:pt idx="4">
                  <c:v>390</c:v>
                </c:pt>
                <c:pt idx="5">
                  <c:v>504</c:v>
                </c:pt>
                <c:pt idx="7">
                  <c:v>278</c:v>
                </c:pt>
              </c:numCache>
            </c:numRef>
          </c:yVal>
          <c:smooth val="0"/>
          <c:extLst>
            <c:ext xmlns:c16="http://schemas.microsoft.com/office/drawing/2014/chart" uri="{C3380CC4-5D6E-409C-BE32-E72D297353CC}">
              <c16:uniqueId val="{00000002-7C06-4B2D-9F8E-0FE211ED3366}"/>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Summary!$BR$37:$CA$37</c:f>
              <c:numCache>
                <c:formatCode>General</c:formatCode>
                <c:ptCount val="10"/>
                <c:pt idx="3">
                  <c:v>59.230000000000004</c:v>
                </c:pt>
                <c:pt idx="4">
                  <c:v>63</c:v>
                </c:pt>
                <c:pt idx="5">
                  <c:v>71.7</c:v>
                </c:pt>
                <c:pt idx="7">
                  <c:v>87.19</c:v>
                </c:pt>
                <c:pt idx="8">
                  <c:v>87.19</c:v>
                </c:pt>
              </c:numCache>
            </c:numRef>
          </c:xVal>
          <c:yVal>
            <c:numRef>
              <c:f>Summary!$BR$74:$CA$74</c:f>
              <c:numCache>
                <c:formatCode>General</c:formatCode>
                <c:ptCount val="10"/>
                <c:pt idx="0">
                  <c:v>79</c:v>
                </c:pt>
                <c:pt idx="1">
                  <c:v>37</c:v>
                </c:pt>
                <c:pt idx="2">
                  <c:v>71</c:v>
                </c:pt>
                <c:pt idx="3">
                  <c:v>96</c:v>
                </c:pt>
                <c:pt idx="4">
                  <c:v>128.03</c:v>
                </c:pt>
                <c:pt idx="5">
                  <c:v>107</c:v>
                </c:pt>
                <c:pt idx="6">
                  <c:v>112</c:v>
                </c:pt>
                <c:pt idx="7">
                  <c:v>119</c:v>
                </c:pt>
                <c:pt idx="8">
                  <c:v>119</c:v>
                </c:pt>
                <c:pt idx="9">
                  <c:v>72</c:v>
                </c:pt>
              </c:numCache>
            </c:numRef>
          </c:yVal>
          <c:smooth val="0"/>
          <c:extLst>
            <c:ext xmlns:c16="http://schemas.microsoft.com/office/drawing/2014/chart" uri="{C3380CC4-5D6E-409C-BE32-E72D297353CC}">
              <c16:uniqueId val="{00000003-7C06-4B2D-9F8E-0FE211ED3366}"/>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Tail Area (sqft)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Vertical Tail Area</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5"/>
          <c:order val="0"/>
          <c:tx>
            <c:v>All Fighters</c:v>
          </c:tx>
          <c:spPr>
            <a:ln w="25400" cap="rnd">
              <a:noFill/>
              <a:round/>
            </a:ln>
            <a:effectLst/>
          </c:spPr>
          <c:marker>
            <c:symbol val="dot"/>
            <c:size val="2"/>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1"/>
            <c:dispEq val="1"/>
            <c:trendlineLbl>
              <c:layout>
                <c:manualLayout>
                  <c:x val="0.12875269138010184"/>
                  <c:y val="0.10696502814057196"/>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Summary!$C$147:$BG$147</c:f>
              <c:numCache>
                <c:formatCode>General</c:formatCode>
                <c:ptCount val="5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numCache>
            </c:numRef>
          </c:xVal>
          <c:yVal>
            <c:numRef>
              <c:f>Summary!$C$38:$BP$38</c:f>
              <c:numCache>
                <c:formatCode>General</c:formatCode>
                <c:ptCount val="66"/>
                <c:pt idx="0">
                  <c:v>12.5</c:v>
                </c:pt>
                <c:pt idx="1">
                  <c:v>19.100000000000001</c:v>
                </c:pt>
                <c:pt idx="2">
                  <c:v>20.74</c:v>
                </c:pt>
                <c:pt idx="3">
                  <c:v>20.740000000000002</c:v>
                </c:pt>
                <c:pt idx="4">
                  <c:v>20.740000000000002</c:v>
                </c:pt>
                <c:pt idx="5">
                  <c:v>20.74</c:v>
                </c:pt>
                <c:pt idx="6">
                  <c:v>20.74</c:v>
                </c:pt>
                <c:pt idx="7">
                  <c:v>20.74</c:v>
                </c:pt>
                <c:pt idx="8">
                  <c:v>22.92</c:v>
                </c:pt>
                <c:pt idx="9">
                  <c:v>21.74</c:v>
                </c:pt>
                <c:pt idx="10">
                  <c:v>21.74</c:v>
                </c:pt>
                <c:pt idx="11">
                  <c:v>20.740000000000002</c:v>
                </c:pt>
                <c:pt idx="12">
                  <c:v>26.5</c:v>
                </c:pt>
                <c:pt idx="13">
                  <c:v>26.5</c:v>
                </c:pt>
                <c:pt idx="14">
                  <c:v>25.8</c:v>
                </c:pt>
                <c:pt idx="15">
                  <c:v>20.02</c:v>
                </c:pt>
                <c:pt idx="17">
                  <c:v>18.7</c:v>
                </c:pt>
                <c:pt idx="19">
                  <c:v>19.010000000000002</c:v>
                </c:pt>
                <c:pt idx="20">
                  <c:v>19.010000000000002</c:v>
                </c:pt>
                <c:pt idx="21">
                  <c:v>19.010000000000002</c:v>
                </c:pt>
                <c:pt idx="22">
                  <c:v>18.97</c:v>
                </c:pt>
                <c:pt idx="23">
                  <c:v>18.97</c:v>
                </c:pt>
                <c:pt idx="24">
                  <c:v>25.48</c:v>
                </c:pt>
                <c:pt idx="25">
                  <c:v>25.48</c:v>
                </c:pt>
                <c:pt idx="26">
                  <c:v>23.73</c:v>
                </c:pt>
                <c:pt idx="28">
                  <c:v>19.200000000000003</c:v>
                </c:pt>
                <c:pt idx="29">
                  <c:v>19.200000000000003</c:v>
                </c:pt>
                <c:pt idx="30">
                  <c:v>19.200000000000003</c:v>
                </c:pt>
                <c:pt idx="31">
                  <c:v>19.200000000000003</c:v>
                </c:pt>
                <c:pt idx="32">
                  <c:v>19.200000000000003</c:v>
                </c:pt>
                <c:pt idx="33">
                  <c:v>19.200000000000003</c:v>
                </c:pt>
                <c:pt idx="34">
                  <c:v>19.200000000000003</c:v>
                </c:pt>
                <c:pt idx="35">
                  <c:v>19.200000000000003</c:v>
                </c:pt>
                <c:pt idx="36">
                  <c:v>19.200000000000003</c:v>
                </c:pt>
                <c:pt idx="37">
                  <c:v>19.200000000000003</c:v>
                </c:pt>
                <c:pt idx="38">
                  <c:v>19.200000000000003</c:v>
                </c:pt>
                <c:pt idx="39">
                  <c:v>19.200000000000003</c:v>
                </c:pt>
                <c:pt idx="40">
                  <c:v>19.200000000000003</c:v>
                </c:pt>
                <c:pt idx="41">
                  <c:v>22.58</c:v>
                </c:pt>
                <c:pt idx="42">
                  <c:v>22.58</c:v>
                </c:pt>
                <c:pt idx="43">
                  <c:v>22.58</c:v>
                </c:pt>
                <c:pt idx="44">
                  <c:v>22.58</c:v>
                </c:pt>
                <c:pt idx="45">
                  <c:v>22.58</c:v>
                </c:pt>
                <c:pt idx="46">
                  <c:v>22.58</c:v>
                </c:pt>
                <c:pt idx="47">
                  <c:v>22</c:v>
                </c:pt>
                <c:pt idx="48">
                  <c:v>22</c:v>
                </c:pt>
                <c:pt idx="49">
                  <c:v>22</c:v>
                </c:pt>
                <c:pt idx="50">
                  <c:v>22</c:v>
                </c:pt>
                <c:pt idx="51">
                  <c:v>23.4</c:v>
                </c:pt>
                <c:pt idx="52">
                  <c:v>23.4</c:v>
                </c:pt>
                <c:pt idx="53">
                  <c:v>23.4</c:v>
                </c:pt>
                <c:pt idx="54">
                  <c:v>23.4</c:v>
                </c:pt>
                <c:pt idx="55">
                  <c:v>23.4</c:v>
                </c:pt>
                <c:pt idx="56">
                  <c:v>17.7</c:v>
                </c:pt>
                <c:pt idx="58">
                  <c:v>26.8</c:v>
                </c:pt>
                <c:pt idx="59">
                  <c:v>22.45</c:v>
                </c:pt>
                <c:pt idx="62">
                  <c:v>45.7</c:v>
                </c:pt>
                <c:pt idx="65">
                  <c:v>38.75</c:v>
                </c:pt>
              </c:numCache>
            </c:numRef>
          </c:yVal>
          <c:smooth val="0"/>
          <c:extLst>
            <c:ext xmlns:c16="http://schemas.microsoft.com/office/drawing/2014/chart" uri="{C3380CC4-5D6E-409C-BE32-E72D297353CC}">
              <c16:uniqueId val="{00000001-13A7-4226-91D0-3663ED0F9647}"/>
            </c:ext>
          </c:extLst>
        </c:ser>
        <c:ser>
          <c:idx val="4"/>
          <c:order val="1"/>
          <c:tx>
            <c:v>All</c:v>
          </c:tx>
          <c:spPr>
            <a:ln w="25400" cap="rnd">
              <a:noFill/>
              <a:round/>
            </a:ln>
            <a:effectLst/>
          </c:spPr>
          <c:marker>
            <c:symbol val="dot"/>
            <c:size val="2"/>
            <c:spPr>
              <a:solidFill>
                <a:schemeClr val="accent5"/>
              </a:solidFill>
              <a:ln w="9525">
                <a:solidFill>
                  <a:schemeClr val="accent5"/>
                </a:solidFill>
              </a:ln>
              <a:effectLst/>
            </c:spPr>
          </c:marker>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Summary!$C$38:$CA$38</c:f>
              <c:numCache>
                <c:formatCode>General</c:formatCode>
                <c:ptCount val="77"/>
                <c:pt idx="0">
                  <c:v>12.5</c:v>
                </c:pt>
                <c:pt idx="1">
                  <c:v>19.100000000000001</c:v>
                </c:pt>
                <c:pt idx="2">
                  <c:v>20.74</c:v>
                </c:pt>
                <c:pt idx="3">
                  <c:v>20.740000000000002</c:v>
                </c:pt>
                <c:pt idx="4">
                  <c:v>20.740000000000002</c:v>
                </c:pt>
                <c:pt idx="5">
                  <c:v>20.74</c:v>
                </c:pt>
                <c:pt idx="6">
                  <c:v>20.74</c:v>
                </c:pt>
                <c:pt idx="7">
                  <c:v>20.74</c:v>
                </c:pt>
                <c:pt idx="8">
                  <c:v>22.92</c:v>
                </c:pt>
                <c:pt idx="9">
                  <c:v>21.74</c:v>
                </c:pt>
                <c:pt idx="10">
                  <c:v>21.74</c:v>
                </c:pt>
                <c:pt idx="11">
                  <c:v>20.740000000000002</c:v>
                </c:pt>
                <c:pt idx="12">
                  <c:v>26.5</c:v>
                </c:pt>
                <c:pt idx="13">
                  <c:v>26.5</c:v>
                </c:pt>
                <c:pt idx="14">
                  <c:v>25.8</c:v>
                </c:pt>
                <c:pt idx="15">
                  <c:v>20.02</c:v>
                </c:pt>
                <c:pt idx="17">
                  <c:v>18.7</c:v>
                </c:pt>
                <c:pt idx="19">
                  <c:v>19.010000000000002</c:v>
                </c:pt>
                <c:pt idx="20">
                  <c:v>19.010000000000002</c:v>
                </c:pt>
                <c:pt idx="21">
                  <c:v>19.010000000000002</c:v>
                </c:pt>
                <c:pt idx="22">
                  <c:v>18.97</c:v>
                </c:pt>
                <c:pt idx="23">
                  <c:v>18.97</c:v>
                </c:pt>
                <c:pt idx="24">
                  <c:v>25.48</c:v>
                </c:pt>
                <c:pt idx="25">
                  <c:v>25.48</c:v>
                </c:pt>
                <c:pt idx="26">
                  <c:v>23.73</c:v>
                </c:pt>
                <c:pt idx="28">
                  <c:v>19.200000000000003</c:v>
                </c:pt>
                <c:pt idx="29">
                  <c:v>19.200000000000003</c:v>
                </c:pt>
                <c:pt idx="30">
                  <c:v>19.200000000000003</c:v>
                </c:pt>
                <c:pt idx="31">
                  <c:v>19.200000000000003</c:v>
                </c:pt>
                <c:pt idx="32">
                  <c:v>19.200000000000003</c:v>
                </c:pt>
                <c:pt idx="33">
                  <c:v>19.200000000000003</c:v>
                </c:pt>
                <c:pt idx="34">
                  <c:v>19.200000000000003</c:v>
                </c:pt>
                <c:pt idx="35">
                  <c:v>19.200000000000003</c:v>
                </c:pt>
                <c:pt idx="36">
                  <c:v>19.200000000000003</c:v>
                </c:pt>
                <c:pt idx="37">
                  <c:v>19.200000000000003</c:v>
                </c:pt>
                <c:pt idx="38">
                  <c:v>19.200000000000003</c:v>
                </c:pt>
                <c:pt idx="39">
                  <c:v>19.200000000000003</c:v>
                </c:pt>
                <c:pt idx="40">
                  <c:v>19.200000000000003</c:v>
                </c:pt>
                <c:pt idx="41">
                  <c:v>22.58</c:v>
                </c:pt>
                <c:pt idx="42">
                  <c:v>22.58</c:v>
                </c:pt>
                <c:pt idx="43">
                  <c:v>22.58</c:v>
                </c:pt>
                <c:pt idx="44">
                  <c:v>22.58</c:v>
                </c:pt>
                <c:pt idx="45">
                  <c:v>22.58</c:v>
                </c:pt>
                <c:pt idx="46">
                  <c:v>22.58</c:v>
                </c:pt>
                <c:pt idx="47">
                  <c:v>22</c:v>
                </c:pt>
                <c:pt idx="48">
                  <c:v>22</c:v>
                </c:pt>
                <c:pt idx="49">
                  <c:v>22</c:v>
                </c:pt>
                <c:pt idx="50">
                  <c:v>22</c:v>
                </c:pt>
                <c:pt idx="51">
                  <c:v>23.4</c:v>
                </c:pt>
                <c:pt idx="52">
                  <c:v>23.4</c:v>
                </c:pt>
                <c:pt idx="53">
                  <c:v>23.4</c:v>
                </c:pt>
                <c:pt idx="54">
                  <c:v>23.4</c:v>
                </c:pt>
                <c:pt idx="55">
                  <c:v>23.4</c:v>
                </c:pt>
                <c:pt idx="56">
                  <c:v>17.7</c:v>
                </c:pt>
                <c:pt idx="58">
                  <c:v>26.8</c:v>
                </c:pt>
                <c:pt idx="59">
                  <c:v>22.45</c:v>
                </c:pt>
                <c:pt idx="62">
                  <c:v>45.7</c:v>
                </c:pt>
                <c:pt idx="65">
                  <c:v>38.75</c:v>
                </c:pt>
                <c:pt idx="70">
                  <c:v>19.03</c:v>
                </c:pt>
                <c:pt idx="71">
                  <c:v>21.33</c:v>
                </c:pt>
                <c:pt idx="72">
                  <c:v>18.62</c:v>
                </c:pt>
                <c:pt idx="74">
                  <c:v>18.54</c:v>
                </c:pt>
                <c:pt idx="75">
                  <c:v>18.54</c:v>
                </c:pt>
              </c:numCache>
            </c:numRef>
          </c:yVal>
          <c:smooth val="0"/>
          <c:extLst>
            <c:ext xmlns:c16="http://schemas.microsoft.com/office/drawing/2014/chart" uri="{C3380CC4-5D6E-409C-BE32-E72D297353CC}">
              <c16:uniqueId val="{00000002-13A7-4226-91D0-3663ED0F9647}"/>
            </c:ext>
          </c:extLst>
        </c:ser>
        <c:ser>
          <c:idx val="0"/>
          <c:order val="2"/>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Summary!$C$147:$AC$147</c:f>
              <c:numCache>
                <c:formatCode>General</c:formatCode>
                <c:ptCount val="27"/>
                <c:pt idx="0">
                  <c:v>2935</c:v>
                </c:pt>
                <c:pt idx="1">
                  <c:v>5599</c:v>
                </c:pt>
                <c:pt idx="2">
                  <c:v>5531</c:v>
                </c:pt>
                <c:pt idx="3">
                  <c:v>5689</c:v>
                </c:pt>
                <c:pt idx="4">
                  <c:v>5919</c:v>
                </c:pt>
                <c:pt idx="6">
                  <c:v>8427</c:v>
                </c:pt>
                <c:pt idx="12">
                  <c:v>13373</c:v>
                </c:pt>
                <c:pt idx="16">
                  <c:v>10119</c:v>
                </c:pt>
                <c:pt idx="17">
                  <c:v>5579</c:v>
                </c:pt>
                <c:pt idx="18">
                  <c:v>7403.5</c:v>
                </c:pt>
                <c:pt idx="20">
                  <c:v>7405</c:v>
                </c:pt>
              </c:numCache>
            </c:numRef>
          </c:xVal>
          <c:yVal>
            <c:numRef>
              <c:f>Summary!$C$38:$AC$38</c:f>
              <c:numCache>
                <c:formatCode>General</c:formatCode>
                <c:ptCount val="27"/>
                <c:pt idx="0">
                  <c:v>12.5</c:v>
                </c:pt>
                <c:pt idx="1">
                  <c:v>19.100000000000001</c:v>
                </c:pt>
                <c:pt idx="2">
                  <c:v>20.74</c:v>
                </c:pt>
                <c:pt idx="3">
                  <c:v>20.740000000000002</c:v>
                </c:pt>
                <c:pt idx="4">
                  <c:v>20.740000000000002</c:v>
                </c:pt>
                <c:pt idx="5">
                  <c:v>20.74</c:v>
                </c:pt>
                <c:pt idx="6">
                  <c:v>20.74</c:v>
                </c:pt>
                <c:pt idx="7">
                  <c:v>20.74</c:v>
                </c:pt>
                <c:pt idx="8">
                  <c:v>22.92</c:v>
                </c:pt>
                <c:pt idx="9">
                  <c:v>21.74</c:v>
                </c:pt>
                <c:pt idx="10">
                  <c:v>21.74</c:v>
                </c:pt>
                <c:pt idx="11">
                  <c:v>20.740000000000002</c:v>
                </c:pt>
                <c:pt idx="12">
                  <c:v>26.5</c:v>
                </c:pt>
                <c:pt idx="13">
                  <c:v>26.5</c:v>
                </c:pt>
                <c:pt idx="14">
                  <c:v>25.8</c:v>
                </c:pt>
                <c:pt idx="15">
                  <c:v>20.02</c:v>
                </c:pt>
                <c:pt idx="17">
                  <c:v>18.7</c:v>
                </c:pt>
                <c:pt idx="19">
                  <c:v>19.010000000000002</c:v>
                </c:pt>
                <c:pt idx="20">
                  <c:v>19.010000000000002</c:v>
                </c:pt>
                <c:pt idx="21">
                  <c:v>19.010000000000002</c:v>
                </c:pt>
                <c:pt idx="22">
                  <c:v>18.97</c:v>
                </c:pt>
                <c:pt idx="23">
                  <c:v>18.97</c:v>
                </c:pt>
                <c:pt idx="24">
                  <c:v>25.48</c:v>
                </c:pt>
                <c:pt idx="25">
                  <c:v>25.48</c:v>
                </c:pt>
                <c:pt idx="26">
                  <c:v>23.73</c:v>
                </c:pt>
              </c:numCache>
            </c:numRef>
          </c:yVal>
          <c:smooth val="0"/>
          <c:extLst>
            <c:ext xmlns:c16="http://schemas.microsoft.com/office/drawing/2014/chart" uri="{C3380CC4-5D6E-409C-BE32-E72D297353CC}">
              <c16:uniqueId val="{00000003-13A7-4226-91D0-3663ED0F9647}"/>
            </c:ext>
          </c:extLst>
        </c:ser>
        <c:ser>
          <c:idx val="1"/>
          <c:order val="3"/>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Summary!$AE$38:$BG$38</c:f>
              <c:numCache>
                <c:formatCode>General</c:formatCode>
                <c:ptCount val="29"/>
                <c:pt idx="0">
                  <c:v>19.200000000000003</c:v>
                </c:pt>
                <c:pt idx="1">
                  <c:v>19.200000000000003</c:v>
                </c:pt>
                <c:pt idx="2">
                  <c:v>19.200000000000003</c:v>
                </c:pt>
                <c:pt idx="3">
                  <c:v>19.200000000000003</c:v>
                </c:pt>
                <c:pt idx="4">
                  <c:v>19.200000000000003</c:v>
                </c:pt>
                <c:pt idx="5">
                  <c:v>19.200000000000003</c:v>
                </c:pt>
                <c:pt idx="6">
                  <c:v>19.200000000000003</c:v>
                </c:pt>
                <c:pt idx="7">
                  <c:v>19.200000000000003</c:v>
                </c:pt>
                <c:pt idx="8">
                  <c:v>19.200000000000003</c:v>
                </c:pt>
                <c:pt idx="9">
                  <c:v>19.200000000000003</c:v>
                </c:pt>
                <c:pt idx="10">
                  <c:v>19.200000000000003</c:v>
                </c:pt>
                <c:pt idx="11">
                  <c:v>19.200000000000003</c:v>
                </c:pt>
                <c:pt idx="12">
                  <c:v>19.200000000000003</c:v>
                </c:pt>
                <c:pt idx="13">
                  <c:v>22.58</c:v>
                </c:pt>
                <c:pt idx="14">
                  <c:v>22.58</c:v>
                </c:pt>
                <c:pt idx="15">
                  <c:v>22.58</c:v>
                </c:pt>
                <c:pt idx="16">
                  <c:v>22.58</c:v>
                </c:pt>
                <c:pt idx="17">
                  <c:v>22.58</c:v>
                </c:pt>
                <c:pt idx="18">
                  <c:v>22.58</c:v>
                </c:pt>
                <c:pt idx="19">
                  <c:v>22</c:v>
                </c:pt>
                <c:pt idx="20">
                  <c:v>22</c:v>
                </c:pt>
                <c:pt idx="21">
                  <c:v>22</c:v>
                </c:pt>
                <c:pt idx="22">
                  <c:v>22</c:v>
                </c:pt>
                <c:pt idx="23">
                  <c:v>23.4</c:v>
                </c:pt>
                <c:pt idx="24">
                  <c:v>23.4</c:v>
                </c:pt>
                <c:pt idx="25">
                  <c:v>23.4</c:v>
                </c:pt>
                <c:pt idx="26">
                  <c:v>23.4</c:v>
                </c:pt>
                <c:pt idx="27">
                  <c:v>23.4</c:v>
                </c:pt>
                <c:pt idx="28">
                  <c:v>17.7</c:v>
                </c:pt>
              </c:numCache>
            </c:numRef>
          </c:yVal>
          <c:smooth val="0"/>
          <c:extLst>
            <c:ext xmlns:c16="http://schemas.microsoft.com/office/drawing/2014/chart" uri="{C3380CC4-5D6E-409C-BE32-E72D297353CC}">
              <c16:uniqueId val="{00000004-13A7-4226-91D0-3663ED0F9647}"/>
            </c:ext>
          </c:extLst>
        </c:ser>
        <c:ser>
          <c:idx val="2"/>
          <c:order val="4"/>
          <c:tx>
            <c:v>Attack/Dive Bomber</c:v>
          </c:tx>
          <c:spPr>
            <a:ln w="25400" cap="rnd">
              <a:noFill/>
              <a:round/>
            </a:ln>
            <a:effectLst/>
          </c:spPr>
          <c:marker>
            <c:symbol val="diamond"/>
            <c:size val="9"/>
            <c:spPr>
              <a:solidFill>
                <a:srgbClr val="FF0000"/>
              </a:solidFill>
              <a:ln w="9525">
                <a:solidFill>
                  <a:srgbClr val="FF0000"/>
                </a:solidFill>
              </a:ln>
              <a:effectLst/>
            </c:spPr>
          </c:marker>
          <c:trendline>
            <c:spPr>
              <a:ln w="19050" cap="rnd">
                <a:solidFill>
                  <a:srgbClr val="FF0000"/>
                </a:solidFill>
                <a:prstDash val="sysDot"/>
              </a:ln>
              <a:effectLst/>
            </c:spPr>
            <c:trendlineType val="linear"/>
            <c:dispRSqr val="1"/>
            <c:dispEq val="1"/>
            <c:trendlineLbl>
              <c:layout>
                <c:manualLayout>
                  <c:x val="3.2021072894257742E-2"/>
                  <c:y val="0.17619845341763971"/>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rgbClr val="FF0000"/>
                      </a:solidFill>
                      <a:latin typeface="+mn-lt"/>
                      <a:ea typeface="+mn-ea"/>
                      <a:cs typeface="+mn-cs"/>
                    </a:defRPr>
                  </a:pPr>
                  <a:endParaRPr lang="en-US"/>
                </a:p>
              </c:txPr>
            </c:trendlineLbl>
          </c:trendline>
          <c:xVal>
            <c:numRef>
              <c:f>Summary!$BI$147:$BP$147</c:f>
              <c:numCache>
                <c:formatCode>General</c:formatCode>
                <c:ptCount val="8"/>
                <c:pt idx="0">
                  <c:v>7543</c:v>
                </c:pt>
                <c:pt idx="1">
                  <c:v>9662</c:v>
                </c:pt>
                <c:pt idx="3">
                  <c:v>17929</c:v>
                </c:pt>
                <c:pt idx="4">
                  <c:v>15447</c:v>
                </c:pt>
                <c:pt idx="5">
                  <c:v>15327</c:v>
                </c:pt>
                <c:pt idx="7">
                  <c:v>16438</c:v>
                </c:pt>
              </c:numCache>
            </c:numRef>
          </c:xVal>
          <c:yVal>
            <c:numRef>
              <c:f>Summary!$BI$38:$BP$38</c:f>
              <c:numCache>
                <c:formatCode>General</c:formatCode>
                <c:ptCount val="8"/>
                <c:pt idx="0">
                  <c:v>26.8</c:v>
                </c:pt>
                <c:pt idx="1">
                  <c:v>22.45</c:v>
                </c:pt>
                <c:pt idx="4">
                  <c:v>45.7</c:v>
                </c:pt>
                <c:pt idx="7">
                  <c:v>38.75</c:v>
                </c:pt>
              </c:numCache>
            </c:numRef>
          </c:yVal>
          <c:smooth val="0"/>
          <c:extLst>
            <c:ext xmlns:c16="http://schemas.microsoft.com/office/drawing/2014/chart" uri="{C3380CC4-5D6E-409C-BE32-E72D297353CC}">
              <c16:uniqueId val="{00000006-13A7-4226-91D0-3663ED0F9647}"/>
            </c:ext>
          </c:extLst>
        </c:ser>
        <c:ser>
          <c:idx val="3"/>
          <c:order val="5"/>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Summary!$BR$38:$CA$38</c:f>
              <c:numCache>
                <c:formatCode>General</c:formatCode>
                <c:ptCount val="10"/>
                <c:pt idx="3">
                  <c:v>19.03</c:v>
                </c:pt>
                <c:pt idx="4">
                  <c:v>21.33</c:v>
                </c:pt>
                <c:pt idx="5">
                  <c:v>18.62</c:v>
                </c:pt>
                <c:pt idx="7">
                  <c:v>18.54</c:v>
                </c:pt>
                <c:pt idx="8">
                  <c:v>18.54</c:v>
                </c:pt>
              </c:numCache>
            </c:numRef>
          </c:yVal>
          <c:smooth val="0"/>
          <c:extLst>
            <c:ext xmlns:c16="http://schemas.microsoft.com/office/drawing/2014/chart" uri="{C3380CC4-5D6E-409C-BE32-E72D297353CC}">
              <c16:uniqueId val="{00000007-13A7-4226-91D0-3663ED0F9647}"/>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 (sq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egendEntry>
        <c:idx val="1"/>
        <c:delete val="1"/>
      </c:legendEntry>
      <c:layout>
        <c:manualLayout>
          <c:xMode val="edge"/>
          <c:yMode val="edge"/>
          <c:x val="0.10166212572773514"/>
          <c:y val="0.11069641294838146"/>
          <c:w val="0.21259154848917861"/>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Horizontal Tail</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Summary!$C$75:$S$75</c:f>
              <c:numCache>
                <c:formatCode>General</c:formatCode>
                <c:ptCount val="17"/>
                <c:pt idx="0">
                  <c:v>46</c:v>
                </c:pt>
                <c:pt idx="1">
                  <c:v>86</c:v>
                </c:pt>
                <c:pt idx="2">
                  <c:v>74</c:v>
                </c:pt>
                <c:pt idx="6">
                  <c:v>91</c:v>
                </c:pt>
                <c:pt idx="12">
                  <c:v>172</c:v>
                </c:pt>
                <c:pt idx="16">
                  <c:v>121</c:v>
                </c:pt>
              </c:numCache>
            </c:numRef>
          </c:yVal>
          <c:smooth val="0"/>
          <c:extLst>
            <c:ext xmlns:c16="http://schemas.microsoft.com/office/drawing/2014/chart" uri="{C3380CC4-5D6E-409C-BE32-E72D297353CC}">
              <c16:uniqueId val="{00000000-4D70-4E79-8172-D2A2EEB29531}"/>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Summary!$AE$75:$BG$75</c:f>
              <c:numCache>
                <c:formatCode>General</c:formatCode>
                <c:ptCount val="29"/>
                <c:pt idx="7">
                  <c:v>69</c:v>
                </c:pt>
                <c:pt idx="9">
                  <c:v>65.900000000000006</c:v>
                </c:pt>
                <c:pt idx="14">
                  <c:v>106</c:v>
                </c:pt>
                <c:pt idx="16">
                  <c:v>112</c:v>
                </c:pt>
                <c:pt idx="17">
                  <c:v>112</c:v>
                </c:pt>
                <c:pt idx="19">
                  <c:v>122.69999999999999</c:v>
                </c:pt>
                <c:pt idx="20">
                  <c:v>127.7</c:v>
                </c:pt>
                <c:pt idx="21">
                  <c:v>131</c:v>
                </c:pt>
                <c:pt idx="22">
                  <c:v>134.80000000000001</c:v>
                </c:pt>
                <c:pt idx="24">
                  <c:v>201.8</c:v>
                </c:pt>
                <c:pt idx="26">
                  <c:v>207</c:v>
                </c:pt>
                <c:pt idx="27">
                  <c:v>207</c:v>
                </c:pt>
                <c:pt idx="28">
                  <c:v>133</c:v>
                </c:pt>
              </c:numCache>
            </c:numRef>
          </c:yVal>
          <c:smooth val="0"/>
          <c:extLst>
            <c:ext xmlns:c16="http://schemas.microsoft.com/office/drawing/2014/chart" uri="{C3380CC4-5D6E-409C-BE32-E72D297353CC}">
              <c16:uniqueId val="{00000001-4D70-4E79-8172-D2A2EEB29531}"/>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Summary!$BI$75:$BP$75</c:f>
              <c:numCache>
                <c:formatCode>General</c:formatCode>
                <c:ptCount val="8"/>
                <c:pt idx="0">
                  <c:v>105</c:v>
                </c:pt>
                <c:pt idx="1">
                  <c:v>163</c:v>
                </c:pt>
                <c:pt idx="2">
                  <c:v>249.2</c:v>
                </c:pt>
                <c:pt idx="3">
                  <c:v>342</c:v>
                </c:pt>
                <c:pt idx="4">
                  <c:v>275</c:v>
                </c:pt>
                <c:pt idx="5">
                  <c:v>367</c:v>
                </c:pt>
                <c:pt idx="7">
                  <c:v>194</c:v>
                </c:pt>
              </c:numCache>
            </c:numRef>
          </c:yVal>
          <c:smooth val="0"/>
          <c:extLst>
            <c:ext xmlns:c16="http://schemas.microsoft.com/office/drawing/2014/chart" uri="{C3380CC4-5D6E-409C-BE32-E72D297353CC}">
              <c16:uniqueId val="{00000002-4D70-4E79-8172-D2A2EEB29531}"/>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Summary!$BR$75:$CA$75</c:f>
              <c:numCache>
                <c:formatCode>General</c:formatCode>
                <c:ptCount val="10"/>
                <c:pt idx="0">
                  <c:v>54</c:v>
                </c:pt>
                <c:pt idx="1">
                  <c:v>27</c:v>
                </c:pt>
                <c:pt idx="2">
                  <c:v>58</c:v>
                </c:pt>
                <c:pt idx="3">
                  <c:v>70</c:v>
                </c:pt>
                <c:pt idx="4">
                  <c:v>85.54</c:v>
                </c:pt>
                <c:pt idx="5">
                  <c:v>82</c:v>
                </c:pt>
                <c:pt idx="6">
                  <c:v>81</c:v>
                </c:pt>
                <c:pt idx="7">
                  <c:v>87</c:v>
                </c:pt>
                <c:pt idx="8">
                  <c:v>86</c:v>
                </c:pt>
                <c:pt idx="9">
                  <c:v>52</c:v>
                </c:pt>
              </c:numCache>
            </c:numRef>
          </c:yVal>
          <c:smooth val="0"/>
          <c:extLst>
            <c:ext xmlns:c16="http://schemas.microsoft.com/office/drawing/2014/chart" uri="{C3380CC4-5D6E-409C-BE32-E72D297353CC}">
              <c16:uniqueId val="{00000003-4D70-4E79-8172-D2A2EEB29531}"/>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Weight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Horizontal Tail</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1"/>
            <c:dispEq val="1"/>
            <c:trendlineLbl>
              <c:layout>
                <c:manualLayout>
                  <c:x val="-4.2380057508477099E-2"/>
                  <c:y val="-1.9484405747811427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Summary!$C$41:$CA$41</c:f>
              <c:numCache>
                <c:formatCode>General</c:formatCode>
                <c:ptCount val="77"/>
                <c:pt idx="0">
                  <c:v>24.7</c:v>
                </c:pt>
                <c:pt idx="1">
                  <c:v>35.1</c:v>
                </c:pt>
                <c:pt idx="2">
                  <c:v>48</c:v>
                </c:pt>
                <c:pt idx="3">
                  <c:v>48</c:v>
                </c:pt>
                <c:pt idx="4">
                  <c:v>48</c:v>
                </c:pt>
                <c:pt idx="5">
                  <c:v>48.3</c:v>
                </c:pt>
                <c:pt idx="6">
                  <c:v>48.3</c:v>
                </c:pt>
                <c:pt idx="7">
                  <c:v>48.3</c:v>
                </c:pt>
                <c:pt idx="8">
                  <c:v>48.3</c:v>
                </c:pt>
                <c:pt idx="9">
                  <c:v>48</c:v>
                </c:pt>
                <c:pt idx="10">
                  <c:v>48</c:v>
                </c:pt>
                <c:pt idx="11">
                  <c:v>48.3</c:v>
                </c:pt>
                <c:pt idx="12">
                  <c:v>59.6</c:v>
                </c:pt>
                <c:pt idx="13">
                  <c:v>59.6</c:v>
                </c:pt>
                <c:pt idx="14">
                  <c:v>55</c:v>
                </c:pt>
                <c:pt idx="15">
                  <c:v>41.03</c:v>
                </c:pt>
                <c:pt idx="17">
                  <c:v>40.1</c:v>
                </c:pt>
                <c:pt idx="19">
                  <c:v>40.04</c:v>
                </c:pt>
                <c:pt idx="20">
                  <c:v>40.04</c:v>
                </c:pt>
                <c:pt idx="21">
                  <c:v>41.2</c:v>
                </c:pt>
                <c:pt idx="22">
                  <c:v>40.04</c:v>
                </c:pt>
                <c:pt idx="23">
                  <c:v>40.04</c:v>
                </c:pt>
                <c:pt idx="24">
                  <c:v>44.01</c:v>
                </c:pt>
                <c:pt idx="25">
                  <c:v>44.01</c:v>
                </c:pt>
                <c:pt idx="26">
                  <c:v>46.53</c:v>
                </c:pt>
                <c:pt idx="28">
                  <c:v>39.5</c:v>
                </c:pt>
                <c:pt idx="29">
                  <c:v>39.5</c:v>
                </c:pt>
                <c:pt idx="30">
                  <c:v>39.5</c:v>
                </c:pt>
                <c:pt idx="31">
                  <c:v>39.5</c:v>
                </c:pt>
                <c:pt idx="32">
                  <c:v>39.5</c:v>
                </c:pt>
                <c:pt idx="33">
                  <c:v>39.5</c:v>
                </c:pt>
                <c:pt idx="34">
                  <c:v>39.5</c:v>
                </c:pt>
                <c:pt idx="35">
                  <c:v>39.5</c:v>
                </c:pt>
                <c:pt idx="36">
                  <c:v>39.5</c:v>
                </c:pt>
                <c:pt idx="37">
                  <c:v>39.5</c:v>
                </c:pt>
                <c:pt idx="38">
                  <c:v>39.5</c:v>
                </c:pt>
                <c:pt idx="39">
                  <c:v>39.5</c:v>
                </c:pt>
                <c:pt idx="40">
                  <c:v>39.5</c:v>
                </c:pt>
                <c:pt idx="41">
                  <c:v>49.05</c:v>
                </c:pt>
                <c:pt idx="42">
                  <c:v>49.05</c:v>
                </c:pt>
                <c:pt idx="43">
                  <c:v>49.05</c:v>
                </c:pt>
                <c:pt idx="44">
                  <c:v>49.05</c:v>
                </c:pt>
                <c:pt idx="45">
                  <c:v>49.05</c:v>
                </c:pt>
                <c:pt idx="46">
                  <c:v>49.05</c:v>
                </c:pt>
                <c:pt idx="47">
                  <c:v>57.9</c:v>
                </c:pt>
                <c:pt idx="48">
                  <c:v>57.9</c:v>
                </c:pt>
                <c:pt idx="49">
                  <c:v>57.9</c:v>
                </c:pt>
                <c:pt idx="50">
                  <c:v>57.9</c:v>
                </c:pt>
                <c:pt idx="51">
                  <c:v>76.7</c:v>
                </c:pt>
                <c:pt idx="52">
                  <c:v>77.8</c:v>
                </c:pt>
                <c:pt idx="53">
                  <c:v>76.7</c:v>
                </c:pt>
                <c:pt idx="54">
                  <c:v>76.7</c:v>
                </c:pt>
                <c:pt idx="55">
                  <c:v>76.7</c:v>
                </c:pt>
                <c:pt idx="56">
                  <c:v>52.27</c:v>
                </c:pt>
                <c:pt idx="58">
                  <c:v>64.06</c:v>
                </c:pt>
                <c:pt idx="59">
                  <c:v>70.760000000000005</c:v>
                </c:pt>
                <c:pt idx="62">
                  <c:v>107.4</c:v>
                </c:pt>
                <c:pt idx="65">
                  <c:v>102.65</c:v>
                </c:pt>
                <c:pt idx="70">
                  <c:v>40.200000000000003</c:v>
                </c:pt>
                <c:pt idx="71">
                  <c:v>43.679999999999993</c:v>
                </c:pt>
                <c:pt idx="72">
                  <c:v>53.08</c:v>
                </c:pt>
                <c:pt idx="74">
                  <c:v>50.11</c:v>
                </c:pt>
                <c:pt idx="75">
                  <c:v>50.11</c:v>
                </c:pt>
              </c:numCache>
            </c:numRef>
          </c:xVal>
          <c:yVal>
            <c:numRef>
              <c:f>Summary!$C$75:$CA$75</c:f>
              <c:numCache>
                <c:formatCode>General</c:formatCode>
                <c:ptCount val="77"/>
                <c:pt idx="0">
                  <c:v>46</c:v>
                </c:pt>
                <c:pt idx="1">
                  <c:v>86</c:v>
                </c:pt>
                <c:pt idx="2">
                  <c:v>74</c:v>
                </c:pt>
                <c:pt idx="6">
                  <c:v>91</c:v>
                </c:pt>
                <c:pt idx="12">
                  <c:v>172</c:v>
                </c:pt>
                <c:pt idx="16">
                  <c:v>121</c:v>
                </c:pt>
                <c:pt idx="17">
                  <c:v>86</c:v>
                </c:pt>
                <c:pt idx="18">
                  <c:v>79</c:v>
                </c:pt>
                <c:pt idx="20">
                  <c:v>78</c:v>
                </c:pt>
                <c:pt idx="35">
                  <c:v>69</c:v>
                </c:pt>
                <c:pt idx="37">
                  <c:v>65.900000000000006</c:v>
                </c:pt>
                <c:pt idx="42">
                  <c:v>106</c:v>
                </c:pt>
                <c:pt idx="44">
                  <c:v>112</c:v>
                </c:pt>
                <c:pt idx="45">
                  <c:v>112</c:v>
                </c:pt>
                <c:pt idx="47">
                  <c:v>122.69999999999999</c:v>
                </c:pt>
                <c:pt idx="48">
                  <c:v>127.7</c:v>
                </c:pt>
                <c:pt idx="49">
                  <c:v>131</c:v>
                </c:pt>
                <c:pt idx="50">
                  <c:v>134.80000000000001</c:v>
                </c:pt>
                <c:pt idx="52">
                  <c:v>201.8</c:v>
                </c:pt>
                <c:pt idx="54">
                  <c:v>207</c:v>
                </c:pt>
                <c:pt idx="55">
                  <c:v>207</c:v>
                </c:pt>
                <c:pt idx="56">
                  <c:v>133</c:v>
                </c:pt>
                <c:pt idx="58">
                  <c:v>105</c:v>
                </c:pt>
                <c:pt idx="59">
                  <c:v>163</c:v>
                </c:pt>
                <c:pt idx="60">
                  <c:v>249.2</c:v>
                </c:pt>
                <c:pt idx="61">
                  <c:v>342</c:v>
                </c:pt>
                <c:pt idx="62">
                  <c:v>275</c:v>
                </c:pt>
                <c:pt idx="63">
                  <c:v>367</c:v>
                </c:pt>
                <c:pt idx="65">
                  <c:v>194</c:v>
                </c:pt>
                <c:pt idx="67">
                  <c:v>54</c:v>
                </c:pt>
                <c:pt idx="68">
                  <c:v>27</c:v>
                </c:pt>
                <c:pt idx="69">
                  <c:v>58</c:v>
                </c:pt>
                <c:pt idx="70">
                  <c:v>70</c:v>
                </c:pt>
                <c:pt idx="71">
                  <c:v>85.54</c:v>
                </c:pt>
                <c:pt idx="72">
                  <c:v>82</c:v>
                </c:pt>
                <c:pt idx="73">
                  <c:v>81</c:v>
                </c:pt>
                <c:pt idx="74">
                  <c:v>87</c:v>
                </c:pt>
                <c:pt idx="75">
                  <c:v>86</c:v>
                </c:pt>
                <c:pt idx="76">
                  <c:v>52</c:v>
                </c:pt>
              </c:numCache>
            </c:numRef>
          </c:yVal>
          <c:smooth val="0"/>
          <c:extLst>
            <c:ext xmlns:c16="http://schemas.microsoft.com/office/drawing/2014/chart" uri="{C3380CC4-5D6E-409C-BE32-E72D297353CC}">
              <c16:uniqueId val="{00000000-1A2C-4E11-93FD-B2FAE354175D}"/>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Summary!$C$41:$AC$41</c:f>
              <c:numCache>
                <c:formatCode>General</c:formatCode>
                <c:ptCount val="27"/>
                <c:pt idx="0">
                  <c:v>24.7</c:v>
                </c:pt>
                <c:pt idx="1">
                  <c:v>35.1</c:v>
                </c:pt>
                <c:pt idx="2">
                  <c:v>48</c:v>
                </c:pt>
                <c:pt idx="3">
                  <c:v>48</c:v>
                </c:pt>
                <c:pt idx="4">
                  <c:v>48</c:v>
                </c:pt>
                <c:pt idx="5">
                  <c:v>48.3</c:v>
                </c:pt>
                <c:pt idx="6">
                  <c:v>48.3</c:v>
                </c:pt>
                <c:pt idx="7">
                  <c:v>48.3</c:v>
                </c:pt>
                <c:pt idx="8">
                  <c:v>48.3</c:v>
                </c:pt>
                <c:pt idx="9">
                  <c:v>48</c:v>
                </c:pt>
                <c:pt idx="10">
                  <c:v>48</c:v>
                </c:pt>
                <c:pt idx="11">
                  <c:v>48.3</c:v>
                </c:pt>
                <c:pt idx="12">
                  <c:v>59.6</c:v>
                </c:pt>
                <c:pt idx="13">
                  <c:v>59.6</c:v>
                </c:pt>
                <c:pt idx="14">
                  <c:v>55</c:v>
                </c:pt>
                <c:pt idx="15">
                  <c:v>41.03</c:v>
                </c:pt>
                <c:pt idx="17">
                  <c:v>40.1</c:v>
                </c:pt>
                <c:pt idx="19">
                  <c:v>40.04</c:v>
                </c:pt>
                <c:pt idx="20">
                  <c:v>40.04</c:v>
                </c:pt>
                <c:pt idx="21">
                  <c:v>41.2</c:v>
                </c:pt>
                <c:pt idx="22">
                  <c:v>40.04</c:v>
                </c:pt>
                <c:pt idx="23">
                  <c:v>40.04</c:v>
                </c:pt>
                <c:pt idx="24">
                  <c:v>44.01</c:v>
                </c:pt>
                <c:pt idx="25">
                  <c:v>44.01</c:v>
                </c:pt>
                <c:pt idx="26">
                  <c:v>46.53</c:v>
                </c:pt>
              </c:numCache>
            </c:numRef>
          </c:xVal>
          <c:yVal>
            <c:numRef>
              <c:f>Summary!$C$75:$AC$75</c:f>
              <c:numCache>
                <c:formatCode>General</c:formatCode>
                <c:ptCount val="27"/>
                <c:pt idx="0">
                  <c:v>46</c:v>
                </c:pt>
                <c:pt idx="1">
                  <c:v>86</c:v>
                </c:pt>
                <c:pt idx="2">
                  <c:v>74</c:v>
                </c:pt>
                <c:pt idx="6">
                  <c:v>91</c:v>
                </c:pt>
                <c:pt idx="12">
                  <c:v>172</c:v>
                </c:pt>
                <c:pt idx="16">
                  <c:v>121</c:v>
                </c:pt>
                <c:pt idx="17">
                  <c:v>86</c:v>
                </c:pt>
                <c:pt idx="18">
                  <c:v>79</c:v>
                </c:pt>
                <c:pt idx="20">
                  <c:v>78</c:v>
                </c:pt>
              </c:numCache>
            </c:numRef>
          </c:yVal>
          <c:smooth val="0"/>
          <c:extLst>
            <c:ext xmlns:c16="http://schemas.microsoft.com/office/drawing/2014/chart" uri="{C3380CC4-5D6E-409C-BE32-E72D297353CC}">
              <c16:uniqueId val="{00000000-56AA-4857-BCD9-4136AFA8C49C}"/>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Summary!$AE$41:$BG$41</c:f>
              <c:numCache>
                <c:formatCode>General</c:formatCode>
                <c:ptCount val="29"/>
                <c:pt idx="0">
                  <c:v>39.5</c:v>
                </c:pt>
                <c:pt idx="1">
                  <c:v>39.5</c:v>
                </c:pt>
                <c:pt idx="2">
                  <c:v>39.5</c:v>
                </c:pt>
                <c:pt idx="3">
                  <c:v>39.5</c:v>
                </c:pt>
                <c:pt idx="4">
                  <c:v>39.5</c:v>
                </c:pt>
                <c:pt idx="5">
                  <c:v>39.5</c:v>
                </c:pt>
                <c:pt idx="6">
                  <c:v>39.5</c:v>
                </c:pt>
                <c:pt idx="7">
                  <c:v>39.5</c:v>
                </c:pt>
                <c:pt idx="8">
                  <c:v>39.5</c:v>
                </c:pt>
                <c:pt idx="9">
                  <c:v>39.5</c:v>
                </c:pt>
                <c:pt idx="10">
                  <c:v>39.5</c:v>
                </c:pt>
                <c:pt idx="11">
                  <c:v>39.5</c:v>
                </c:pt>
                <c:pt idx="12">
                  <c:v>39.5</c:v>
                </c:pt>
                <c:pt idx="13">
                  <c:v>49.05</c:v>
                </c:pt>
                <c:pt idx="14">
                  <c:v>49.05</c:v>
                </c:pt>
                <c:pt idx="15">
                  <c:v>49.05</c:v>
                </c:pt>
                <c:pt idx="16">
                  <c:v>49.05</c:v>
                </c:pt>
                <c:pt idx="17">
                  <c:v>49.05</c:v>
                </c:pt>
                <c:pt idx="18">
                  <c:v>49.05</c:v>
                </c:pt>
                <c:pt idx="19">
                  <c:v>57.9</c:v>
                </c:pt>
                <c:pt idx="20">
                  <c:v>57.9</c:v>
                </c:pt>
                <c:pt idx="21">
                  <c:v>57.9</c:v>
                </c:pt>
                <c:pt idx="22">
                  <c:v>57.9</c:v>
                </c:pt>
                <c:pt idx="23">
                  <c:v>76.7</c:v>
                </c:pt>
                <c:pt idx="24">
                  <c:v>77.8</c:v>
                </c:pt>
                <c:pt idx="25">
                  <c:v>76.7</c:v>
                </c:pt>
                <c:pt idx="26">
                  <c:v>76.7</c:v>
                </c:pt>
                <c:pt idx="27">
                  <c:v>76.7</c:v>
                </c:pt>
                <c:pt idx="28">
                  <c:v>52.27</c:v>
                </c:pt>
              </c:numCache>
            </c:numRef>
          </c:xVal>
          <c:yVal>
            <c:numRef>
              <c:f>Summary!$AE$75:$BG$75</c:f>
              <c:numCache>
                <c:formatCode>General</c:formatCode>
                <c:ptCount val="29"/>
                <c:pt idx="7">
                  <c:v>69</c:v>
                </c:pt>
                <c:pt idx="9">
                  <c:v>65.900000000000006</c:v>
                </c:pt>
                <c:pt idx="14">
                  <c:v>106</c:v>
                </c:pt>
                <c:pt idx="16">
                  <c:v>112</c:v>
                </c:pt>
                <c:pt idx="17">
                  <c:v>112</c:v>
                </c:pt>
                <c:pt idx="19">
                  <c:v>122.69999999999999</c:v>
                </c:pt>
                <c:pt idx="20">
                  <c:v>127.7</c:v>
                </c:pt>
                <c:pt idx="21">
                  <c:v>131</c:v>
                </c:pt>
                <c:pt idx="22">
                  <c:v>134.80000000000001</c:v>
                </c:pt>
                <c:pt idx="24">
                  <c:v>201.8</c:v>
                </c:pt>
                <c:pt idx="26">
                  <c:v>207</c:v>
                </c:pt>
                <c:pt idx="27">
                  <c:v>207</c:v>
                </c:pt>
                <c:pt idx="28">
                  <c:v>133</c:v>
                </c:pt>
              </c:numCache>
            </c:numRef>
          </c:yVal>
          <c:smooth val="0"/>
          <c:extLst>
            <c:ext xmlns:c16="http://schemas.microsoft.com/office/drawing/2014/chart" uri="{C3380CC4-5D6E-409C-BE32-E72D297353CC}">
              <c16:uniqueId val="{00000001-56AA-4857-BCD9-4136AFA8C49C}"/>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Summary!$BI$41:$BP$41</c:f>
              <c:numCache>
                <c:formatCode>General</c:formatCode>
                <c:ptCount val="8"/>
                <c:pt idx="0">
                  <c:v>64.06</c:v>
                </c:pt>
                <c:pt idx="1">
                  <c:v>70.760000000000005</c:v>
                </c:pt>
                <c:pt idx="4">
                  <c:v>107.4</c:v>
                </c:pt>
                <c:pt idx="7">
                  <c:v>102.65</c:v>
                </c:pt>
              </c:numCache>
            </c:numRef>
          </c:xVal>
          <c:yVal>
            <c:numRef>
              <c:f>Summary!$BI$75:$BP$75</c:f>
              <c:numCache>
                <c:formatCode>General</c:formatCode>
                <c:ptCount val="8"/>
                <c:pt idx="0">
                  <c:v>105</c:v>
                </c:pt>
                <c:pt idx="1">
                  <c:v>163</c:v>
                </c:pt>
                <c:pt idx="2">
                  <c:v>249.2</c:v>
                </c:pt>
                <c:pt idx="3">
                  <c:v>342</c:v>
                </c:pt>
                <c:pt idx="4">
                  <c:v>275</c:v>
                </c:pt>
                <c:pt idx="5">
                  <c:v>367</c:v>
                </c:pt>
                <c:pt idx="7">
                  <c:v>194</c:v>
                </c:pt>
              </c:numCache>
            </c:numRef>
          </c:yVal>
          <c:smooth val="0"/>
          <c:extLst>
            <c:ext xmlns:c16="http://schemas.microsoft.com/office/drawing/2014/chart" uri="{C3380CC4-5D6E-409C-BE32-E72D297353CC}">
              <c16:uniqueId val="{00000002-56AA-4857-BCD9-4136AFA8C49C}"/>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Summary!$BR$41:$CA$41</c:f>
              <c:numCache>
                <c:formatCode>General</c:formatCode>
                <c:ptCount val="10"/>
                <c:pt idx="3">
                  <c:v>40.200000000000003</c:v>
                </c:pt>
                <c:pt idx="4">
                  <c:v>43.679999999999993</c:v>
                </c:pt>
                <c:pt idx="5">
                  <c:v>53.08</c:v>
                </c:pt>
                <c:pt idx="7">
                  <c:v>50.11</c:v>
                </c:pt>
                <c:pt idx="8">
                  <c:v>50.11</c:v>
                </c:pt>
              </c:numCache>
            </c:numRef>
          </c:xVal>
          <c:yVal>
            <c:numRef>
              <c:f>Summary!$BR$75:$CA$75</c:f>
              <c:numCache>
                <c:formatCode>General</c:formatCode>
                <c:ptCount val="10"/>
                <c:pt idx="0">
                  <c:v>54</c:v>
                </c:pt>
                <c:pt idx="1">
                  <c:v>27</c:v>
                </c:pt>
                <c:pt idx="2">
                  <c:v>58</c:v>
                </c:pt>
                <c:pt idx="3">
                  <c:v>70</c:v>
                </c:pt>
                <c:pt idx="4">
                  <c:v>85.54</c:v>
                </c:pt>
                <c:pt idx="5">
                  <c:v>82</c:v>
                </c:pt>
                <c:pt idx="6">
                  <c:v>81</c:v>
                </c:pt>
                <c:pt idx="7">
                  <c:v>87</c:v>
                </c:pt>
                <c:pt idx="8">
                  <c:v>86</c:v>
                </c:pt>
                <c:pt idx="9">
                  <c:v>52</c:v>
                </c:pt>
              </c:numCache>
            </c:numRef>
          </c:yVal>
          <c:smooth val="0"/>
          <c:extLst>
            <c:ext xmlns:c16="http://schemas.microsoft.com/office/drawing/2014/chart" uri="{C3380CC4-5D6E-409C-BE32-E72D297353CC}">
              <c16:uniqueId val="{00000003-56AA-4857-BCD9-4136AFA8C49C}"/>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HorizontalTail</a:t>
                </a:r>
                <a:r>
                  <a:rPr lang="en-US" baseline="0"/>
                  <a:t> Area (sq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Vertical Tail</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Summary!$C$78:$S$78</c:f>
              <c:numCache>
                <c:formatCode>General</c:formatCode>
                <c:ptCount val="17"/>
                <c:pt idx="0">
                  <c:v>21</c:v>
                </c:pt>
                <c:pt idx="1">
                  <c:v>39</c:v>
                </c:pt>
                <c:pt idx="2">
                  <c:v>33</c:v>
                </c:pt>
                <c:pt idx="6">
                  <c:v>38</c:v>
                </c:pt>
                <c:pt idx="12">
                  <c:v>80</c:v>
                </c:pt>
                <c:pt idx="16">
                  <c:v>67</c:v>
                </c:pt>
              </c:numCache>
            </c:numRef>
          </c:yVal>
          <c:smooth val="0"/>
          <c:extLst>
            <c:ext xmlns:c16="http://schemas.microsoft.com/office/drawing/2014/chart" uri="{C3380CC4-5D6E-409C-BE32-E72D297353CC}">
              <c16:uniqueId val="{00000000-8A48-4478-B909-42D621B18132}"/>
            </c:ext>
          </c:extLst>
        </c:ser>
        <c:ser>
          <c:idx val="1"/>
          <c:order val="1"/>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Summary!$AE$78:$BG$78</c:f>
              <c:numCache>
                <c:formatCode>General</c:formatCode>
                <c:ptCount val="29"/>
                <c:pt idx="7">
                  <c:v>36</c:v>
                </c:pt>
                <c:pt idx="9">
                  <c:v>39.200000000000003</c:v>
                </c:pt>
                <c:pt idx="14">
                  <c:v>41</c:v>
                </c:pt>
                <c:pt idx="16">
                  <c:v>35</c:v>
                </c:pt>
                <c:pt idx="17">
                  <c:v>36</c:v>
                </c:pt>
                <c:pt idx="19">
                  <c:v>41.5</c:v>
                </c:pt>
                <c:pt idx="20">
                  <c:v>44.9</c:v>
                </c:pt>
                <c:pt idx="21">
                  <c:v>44</c:v>
                </c:pt>
                <c:pt idx="22">
                  <c:v>45</c:v>
                </c:pt>
                <c:pt idx="24">
                  <c:v>69.599999999999994</c:v>
                </c:pt>
                <c:pt idx="26">
                  <c:v>70</c:v>
                </c:pt>
                <c:pt idx="27">
                  <c:v>73</c:v>
                </c:pt>
                <c:pt idx="28">
                  <c:v>49</c:v>
                </c:pt>
              </c:numCache>
            </c:numRef>
          </c:yVal>
          <c:smooth val="0"/>
          <c:extLst>
            <c:ext xmlns:c16="http://schemas.microsoft.com/office/drawing/2014/chart" uri="{C3380CC4-5D6E-409C-BE32-E72D297353CC}">
              <c16:uniqueId val="{00000001-8A48-4478-B909-42D621B18132}"/>
            </c:ext>
          </c:extLst>
        </c:ser>
        <c:ser>
          <c:idx val="2"/>
          <c:order val="2"/>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Summary!$BI$78:$BP$78</c:f>
              <c:numCache>
                <c:formatCode>General</c:formatCode>
                <c:ptCount val="8"/>
                <c:pt idx="0">
                  <c:v>45</c:v>
                </c:pt>
                <c:pt idx="1">
                  <c:v>51</c:v>
                </c:pt>
                <c:pt idx="2">
                  <c:v>132.19999999999999</c:v>
                </c:pt>
                <c:pt idx="3">
                  <c:v>142</c:v>
                </c:pt>
                <c:pt idx="4">
                  <c:v>115</c:v>
                </c:pt>
                <c:pt idx="5">
                  <c:v>137</c:v>
                </c:pt>
                <c:pt idx="7">
                  <c:v>84</c:v>
                </c:pt>
              </c:numCache>
            </c:numRef>
          </c:yVal>
          <c:smooth val="0"/>
          <c:extLst>
            <c:ext xmlns:c16="http://schemas.microsoft.com/office/drawing/2014/chart" uri="{C3380CC4-5D6E-409C-BE32-E72D297353CC}">
              <c16:uniqueId val="{00000002-8A48-4478-B909-42D621B18132}"/>
            </c:ext>
          </c:extLst>
        </c:ser>
        <c:ser>
          <c:idx val="3"/>
          <c:order val="3"/>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Summary!$BR$78:$CA$78</c:f>
              <c:numCache>
                <c:formatCode>General</c:formatCode>
                <c:ptCount val="10"/>
                <c:pt idx="0">
                  <c:v>25</c:v>
                </c:pt>
                <c:pt idx="1">
                  <c:v>10</c:v>
                </c:pt>
                <c:pt idx="2">
                  <c:v>13</c:v>
                </c:pt>
                <c:pt idx="3">
                  <c:v>26</c:v>
                </c:pt>
                <c:pt idx="4">
                  <c:v>42.49</c:v>
                </c:pt>
                <c:pt idx="5">
                  <c:v>25</c:v>
                </c:pt>
                <c:pt idx="6">
                  <c:v>31</c:v>
                </c:pt>
                <c:pt idx="7">
                  <c:v>32</c:v>
                </c:pt>
                <c:pt idx="8">
                  <c:v>33</c:v>
                </c:pt>
                <c:pt idx="9">
                  <c:v>20</c:v>
                </c:pt>
              </c:numCache>
            </c:numRef>
          </c:yVal>
          <c:smooth val="0"/>
          <c:extLst>
            <c:ext xmlns:c16="http://schemas.microsoft.com/office/drawing/2014/chart" uri="{C3380CC4-5D6E-409C-BE32-E72D297353CC}">
              <c16:uniqueId val="{00000003-8A48-4478-B909-42D621B18132}"/>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Weight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6675478248254"/>
          <c:h val="0.13636459078978766"/>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Vertical Tail</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1"/>
            <c:dispEq val="1"/>
            <c:trendlineLbl>
              <c:layout>
                <c:manualLayout>
                  <c:x val="-9.1881130365787531E-2"/>
                  <c:y val="-2.0258794336291405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Summary!$C$38:$CA$38</c:f>
              <c:numCache>
                <c:formatCode>General</c:formatCode>
                <c:ptCount val="77"/>
                <c:pt idx="0">
                  <c:v>12.5</c:v>
                </c:pt>
                <c:pt idx="1">
                  <c:v>19.100000000000001</c:v>
                </c:pt>
                <c:pt idx="2">
                  <c:v>20.74</c:v>
                </c:pt>
                <c:pt idx="3">
                  <c:v>20.740000000000002</c:v>
                </c:pt>
                <c:pt idx="4">
                  <c:v>20.740000000000002</c:v>
                </c:pt>
                <c:pt idx="5">
                  <c:v>20.74</c:v>
                </c:pt>
                <c:pt idx="6">
                  <c:v>20.74</c:v>
                </c:pt>
                <c:pt idx="7">
                  <c:v>20.74</c:v>
                </c:pt>
                <c:pt idx="8">
                  <c:v>22.92</c:v>
                </c:pt>
                <c:pt idx="9">
                  <c:v>21.74</c:v>
                </c:pt>
                <c:pt idx="10">
                  <c:v>21.74</c:v>
                </c:pt>
                <c:pt idx="11">
                  <c:v>20.740000000000002</c:v>
                </c:pt>
                <c:pt idx="12">
                  <c:v>26.5</c:v>
                </c:pt>
                <c:pt idx="13">
                  <c:v>26.5</c:v>
                </c:pt>
                <c:pt idx="14">
                  <c:v>25.8</c:v>
                </c:pt>
                <c:pt idx="15">
                  <c:v>20.02</c:v>
                </c:pt>
                <c:pt idx="17">
                  <c:v>18.7</c:v>
                </c:pt>
                <c:pt idx="19">
                  <c:v>19.010000000000002</c:v>
                </c:pt>
                <c:pt idx="20">
                  <c:v>19.010000000000002</c:v>
                </c:pt>
                <c:pt idx="21">
                  <c:v>19.010000000000002</c:v>
                </c:pt>
                <c:pt idx="22">
                  <c:v>18.97</c:v>
                </c:pt>
                <c:pt idx="23">
                  <c:v>18.97</c:v>
                </c:pt>
                <c:pt idx="24">
                  <c:v>25.48</c:v>
                </c:pt>
                <c:pt idx="25">
                  <c:v>25.48</c:v>
                </c:pt>
                <c:pt idx="26">
                  <c:v>23.73</c:v>
                </c:pt>
                <c:pt idx="28">
                  <c:v>19.200000000000003</c:v>
                </c:pt>
                <c:pt idx="29">
                  <c:v>19.200000000000003</c:v>
                </c:pt>
                <c:pt idx="30">
                  <c:v>19.200000000000003</c:v>
                </c:pt>
                <c:pt idx="31">
                  <c:v>19.200000000000003</c:v>
                </c:pt>
                <c:pt idx="32">
                  <c:v>19.200000000000003</c:v>
                </c:pt>
                <c:pt idx="33">
                  <c:v>19.200000000000003</c:v>
                </c:pt>
                <c:pt idx="34">
                  <c:v>19.200000000000003</c:v>
                </c:pt>
                <c:pt idx="35">
                  <c:v>19.200000000000003</c:v>
                </c:pt>
                <c:pt idx="36">
                  <c:v>19.200000000000003</c:v>
                </c:pt>
                <c:pt idx="37">
                  <c:v>19.200000000000003</c:v>
                </c:pt>
                <c:pt idx="38">
                  <c:v>19.200000000000003</c:v>
                </c:pt>
                <c:pt idx="39">
                  <c:v>19.200000000000003</c:v>
                </c:pt>
                <c:pt idx="40">
                  <c:v>19.200000000000003</c:v>
                </c:pt>
                <c:pt idx="41">
                  <c:v>22.58</c:v>
                </c:pt>
                <c:pt idx="42">
                  <c:v>22.58</c:v>
                </c:pt>
                <c:pt idx="43">
                  <c:v>22.58</c:v>
                </c:pt>
                <c:pt idx="44">
                  <c:v>22.58</c:v>
                </c:pt>
                <c:pt idx="45">
                  <c:v>22.58</c:v>
                </c:pt>
                <c:pt idx="46">
                  <c:v>22.58</c:v>
                </c:pt>
                <c:pt idx="47">
                  <c:v>22</c:v>
                </c:pt>
                <c:pt idx="48">
                  <c:v>22</c:v>
                </c:pt>
                <c:pt idx="49">
                  <c:v>22</c:v>
                </c:pt>
                <c:pt idx="50">
                  <c:v>22</c:v>
                </c:pt>
                <c:pt idx="51">
                  <c:v>23.4</c:v>
                </c:pt>
                <c:pt idx="52">
                  <c:v>23.4</c:v>
                </c:pt>
                <c:pt idx="53">
                  <c:v>23.4</c:v>
                </c:pt>
                <c:pt idx="54">
                  <c:v>23.4</c:v>
                </c:pt>
                <c:pt idx="55">
                  <c:v>23.4</c:v>
                </c:pt>
                <c:pt idx="56">
                  <c:v>17.7</c:v>
                </c:pt>
                <c:pt idx="58">
                  <c:v>26.8</c:v>
                </c:pt>
                <c:pt idx="59">
                  <c:v>22.45</c:v>
                </c:pt>
                <c:pt idx="62">
                  <c:v>45.7</c:v>
                </c:pt>
                <c:pt idx="65">
                  <c:v>38.75</c:v>
                </c:pt>
                <c:pt idx="70">
                  <c:v>19.03</c:v>
                </c:pt>
                <c:pt idx="71">
                  <c:v>21.33</c:v>
                </c:pt>
                <c:pt idx="72">
                  <c:v>18.62</c:v>
                </c:pt>
                <c:pt idx="74">
                  <c:v>18.54</c:v>
                </c:pt>
                <c:pt idx="75">
                  <c:v>18.54</c:v>
                </c:pt>
              </c:numCache>
            </c:numRef>
          </c:xVal>
          <c:yVal>
            <c:numRef>
              <c:f>Summary!$C$78:$CA$78</c:f>
              <c:numCache>
                <c:formatCode>General</c:formatCode>
                <c:ptCount val="77"/>
                <c:pt idx="0">
                  <c:v>21</c:v>
                </c:pt>
                <c:pt idx="1">
                  <c:v>39</c:v>
                </c:pt>
                <c:pt idx="2">
                  <c:v>33</c:v>
                </c:pt>
                <c:pt idx="6">
                  <c:v>38</c:v>
                </c:pt>
                <c:pt idx="12">
                  <c:v>80</c:v>
                </c:pt>
                <c:pt idx="16">
                  <c:v>67</c:v>
                </c:pt>
                <c:pt idx="17">
                  <c:v>39</c:v>
                </c:pt>
                <c:pt idx="18">
                  <c:v>37</c:v>
                </c:pt>
                <c:pt idx="20">
                  <c:v>36</c:v>
                </c:pt>
                <c:pt idx="35">
                  <c:v>36</c:v>
                </c:pt>
                <c:pt idx="37">
                  <c:v>39.200000000000003</c:v>
                </c:pt>
                <c:pt idx="42">
                  <c:v>41</c:v>
                </c:pt>
                <c:pt idx="44">
                  <c:v>35</c:v>
                </c:pt>
                <c:pt idx="45">
                  <c:v>36</c:v>
                </c:pt>
                <c:pt idx="47">
                  <c:v>41.5</c:v>
                </c:pt>
                <c:pt idx="48">
                  <c:v>44.9</c:v>
                </c:pt>
                <c:pt idx="49">
                  <c:v>44</c:v>
                </c:pt>
                <c:pt idx="50">
                  <c:v>45</c:v>
                </c:pt>
                <c:pt idx="52">
                  <c:v>69.599999999999994</c:v>
                </c:pt>
                <c:pt idx="54">
                  <c:v>70</c:v>
                </c:pt>
                <c:pt idx="55">
                  <c:v>73</c:v>
                </c:pt>
                <c:pt idx="56">
                  <c:v>49</c:v>
                </c:pt>
                <c:pt idx="58">
                  <c:v>45</c:v>
                </c:pt>
                <c:pt idx="59">
                  <c:v>51</c:v>
                </c:pt>
                <c:pt idx="60">
                  <c:v>132.19999999999999</c:v>
                </c:pt>
                <c:pt idx="61">
                  <c:v>142</c:v>
                </c:pt>
                <c:pt idx="62">
                  <c:v>115</c:v>
                </c:pt>
                <c:pt idx="63">
                  <c:v>137</c:v>
                </c:pt>
                <c:pt idx="65">
                  <c:v>84</c:v>
                </c:pt>
                <c:pt idx="67">
                  <c:v>25</c:v>
                </c:pt>
                <c:pt idx="68">
                  <c:v>10</c:v>
                </c:pt>
                <c:pt idx="69">
                  <c:v>13</c:v>
                </c:pt>
                <c:pt idx="70">
                  <c:v>26</c:v>
                </c:pt>
                <c:pt idx="71">
                  <c:v>42.49</c:v>
                </c:pt>
                <c:pt idx="72">
                  <c:v>25</c:v>
                </c:pt>
                <c:pt idx="73">
                  <c:v>31</c:v>
                </c:pt>
                <c:pt idx="74">
                  <c:v>32</c:v>
                </c:pt>
                <c:pt idx="75">
                  <c:v>33</c:v>
                </c:pt>
                <c:pt idx="76">
                  <c:v>20</c:v>
                </c:pt>
              </c:numCache>
            </c:numRef>
          </c:yVal>
          <c:smooth val="0"/>
          <c:extLst>
            <c:ext xmlns:c16="http://schemas.microsoft.com/office/drawing/2014/chart" uri="{C3380CC4-5D6E-409C-BE32-E72D297353CC}">
              <c16:uniqueId val="{00000000-053A-459C-B252-E11750A0BACA}"/>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Summary!$C$38:$AC$38</c:f>
              <c:numCache>
                <c:formatCode>General</c:formatCode>
                <c:ptCount val="27"/>
                <c:pt idx="0">
                  <c:v>12.5</c:v>
                </c:pt>
                <c:pt idx="1">
                  <c:v>19.100000000000001</c:v>
                </c:pt>
                <c:pt idx="2">
                  <c:v>20.74</c:v>
                </c:pt>
                <c:pt idx="3">
                  <c:v>20.740000000000002</c:v>
                </c:pt>
                <c:pt idx="4">
                  <c:v>20.740000000000002</c:v>
                </c:pt>
                <c:pt idx="5">
                  <c:v>20.74</c:v>
                </c:pt>
                <c:pt idx="6">
                  <c:v>20.74</c:v>
                </c:pt>
                <c:pt idx="7">
                  <c:v>20.74</c:v>
                </c:pt>
                <c:pt idx="8">
                  <c:v>22.92</c:v>
                </c:pt>
                <c:pt idx="9">
                  <c:v>21.74</c:v>
                </c:pt>
                <c:pt idx="10">
                  <c:v>21.74</c:v>
                </c:pt>
                <c:pt idx="11">
                  <c:v>20.740000000000002</c:v>
                </c:pt>
                <c:pt idx="12">
                  <c:v>26.5</c:v>
                </c:pt>
                <c:pt idx="13">
                  <c:v>26.5</c:v>
                </c:pt>
                <c:pt idx="14">
                  <c:v>25.8</c:v>
                </c:pt>
                <c:pt idx="15">
                  <c:v>20.02</c:v>
                </c:pt>
                <c:pt idx="17">
                  <c:v>18.7</c:v>
                </c:pt>
                <c:pt idx="19">
                  <c:v>19.010000000000002</c:v>
                </c:pt>
                <c:pt idx="20">
                  <c:v>19.010000000000002</c:v>
                </c:pt>
                <c:pt idx="21">
                  <c:v>19.010000000000002</c:v>
                </c:pt>
                <c:pt idx="22">
                  <c:v>18.97</c:v>
                </c:pt>
                <c:pt idx="23">
                  <c:v>18.97</c:v>
                </c:pt>
                <c:pt idx="24">
                  <c:v>25.48</c:v>
                </c:pt>
                <c:pt idx="25">
                  <c:v>25.48</c:v>
                </c:pt>
                <c:pt idx="26">
                  <c:v>23.73</c:v>
                </c:pt>
              </c:numCache>
            </c:numRef>
          </c:xVal>
          <c:yVal>
            <c:numRef>
              <c:f>Summary!$C$78:$AC$78</c:f>
              <c:numCache>
                <c:formatCode>General</c:formatCode>
                <c:ptCount val="27"/>
                <c:pt idx="0">
                  <c:v>21</c:v>
                </c:pt>
                <c:pt idx="1">
                  <c:v>39</c:v>
                </c:pt>
                <c:pt idx="2">
                  <c:v>33</c:v>
                </c:pt>
                <c:pt idx="6">
                  <c:v>38</c:v>
                </c:pt>
                <c:pt idx="12">
                  <c:v>80</c:v>
                </c:pt>
                <c:pt idx="16">
                  <c:v>67</c:v>
                </c:pt>
                <c:pt idx="17">
                  <c:v>39</c:v>
                </c:pt>
                <c:pt idx="18">
                  <c:v>37</c:v>
                </c:pt>
                <c:pt idx="20">
                  <c:v>36</c:v>
                </c:pt>
              </c:numCache>
            </c:numRef>
          </c:yVal>
          <c:smooth val="0"/>
          <c:extLst>
            <c:ext xmlns:c16="http://schemas.microsoft.com/office/drawing/2014/chart" uri="{C3380CC4-5D6E-409C-BE32-E72D297353CC}">
              <c16:uniqueId val="{00000000-5CC2-4213-A6B1-CAC90A33F265}"/>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Summary!$AE$38:$BG$38</c:f>
              <c:numCache>
                <c:formatCode>General</c:formatCode>
                <c:ptCount val="29"/>
                <c:pt idx="0">
                  <c:v>19.200000000000003</c:v>
                </c:pt>
                <c:pt idx="1">
                  <c:v>19.200000000000003</c:v>
                </c:pt>
                <c:pt idx="2">
                  <c:v>19.200000000000003</c:v>
                </c:pt>
                <c:pt idx="3">
                  <c:v>19.200000000000003</c:v>
                </c:pt>
                <c:pt idx="4">
                  <c:v>19.200000000000003</c:v>
                </c:pt>
                <c:pt idx="5">
                  <c:v>19.200000000000003</c:v>
                </c:pt>
                <c:pt idx="6">
                  <c:v>19.200000000000003</c:v>
                </c:pt>
                <c:pt idx="7">
                  <c:v>19.200000000000003</c:v>
                </c:pt>
                <c:pt idx="8">
                  <c:v>19.200000000000003</c:v>
                </c:pt>
                <c:pt idx="9">
                  <c:v>19.200000000000003</c:v>
                </c:pt>
                <c:pt idx="10">
                  <c:v>19.200000000000003</c:v>
                </c:pt>
                <c:pt idx="11">
                  <c:v>19.200000000000003</c:v>
                </c:pt>
                <c:pt idx="12">
                  <c:v>19.200000000000003</c:v>
                </c:pt>
                <c:pt idx="13">
                  <c:v>22.58</c:v>
                </c:pt>
                <c:pt idx="14">
                  <c:v>22.58</c:v>
                </c:pt>
                <c:pt idx="15">
                  <c:v>22.58</c:v>
                </c:pt>
                <c:pt idx="16">
                  <c:v>22.58</c:v>
                </c:pt>
                <c:pt idx="17">
                  <c:v>22.58</c:v>
                </c:pt>
                <c:pt idx="18">
                  <c:v>22.58</c:v>
                </c:pt>
                <c:pt idx="19">
                  <c:v>22</c:v>
                </c:pt>
                <c:pt idx="20">
                  <c:v>22</c:v>
                </c:pt>
                <c:pt idx="21">
                  <c:v>22</c:v>
                </c:pt>
                <c:pt idx="22">
                  <c:v>22</c:v>
                </c:pt>
                <c:pt idx="23">
                  <c:v>23.4</c:v>
                </c:pt>
                <c:pt idx="24">
                  <c:v>23.4</c:v>
                </c:pt>
                <c:pt idx="25">
                  <c:v>23.4</c:v>
                </c:pt>
                <c:pt idx="26">
                  <c:v>23.4</c:v>
                </c:pt>
                <c:pt idx="27">
                  <c:v>23.4</c:v>
                </c:pt>
                <c:pt idx="28">
                  <c:v>17.7</c:v>
                </c:pt>
              </c:numCache>
            </c:numRef>
          </c:xVal>
          <c:yVal>
            <c:numRef>
              <c:f>Summary!$AE$78:$BG$78</c:f>
              <c:numCache>
                <c:formatCode>General</c:formatCode>
                <c:ptCount val="29"/>
                <c:pt idx="7">
                  <c:v>36</c:v>
                </c:pt>
                <c:pt idx="9">
                  <c:v>39.200000000000003</c:v>
                </c:pt>
                <c:pt idx="14">
                  <c:v>41</c:v>
                </c:pt>
                <c:pt idx="16">
                  <c:v>35</c:v>
                </c:pt>
                <c:pt idx="17">
                  <c:v>36</c:v>
                </c:pt>
                <c:pt idx="19">
                  <c:v>41.5</c:v>
                </c:pt>
                <c:pt idx="20">
                  <c:v>44.9</c:v>
                </c:pt>
                <c:pt idx="21">
                  <c:v>44</c:v>
                </c:pt>
                <c:pt idx="22">
                  <c:v>45</c:v>
                </c:pt>
                <c:pt idx="24">
                  <c:v>69.599999999999994</c:v>
                </c:pt>
                <c:pt idx="26">
                  <c:v>70</c:v>
                </c:pt>
                <c:pt idx="27">
                  <c:v>73</c:v>
                </c:pt>
                <c:pt idx="28">
                  <c:v>49</c:v>
                </c:pt>
              </c:numCache>
            </c:numRef>
          </c:yVal>
          <c:smooth val="0"/>
          <c:extLst>
            <c:ext xmlns:c16="http://schemas.microsoft.com/office/drawing/2014/chart" uri="{C3380CC4-5D6E-409C-BE32-E72D297353CC}">
              <c16:uniqueId val="{00000001-5CC2-4213-A6B1-CAC90A33F265}"/>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Summary!$BI$38:$BP$38</c:f>
              <c:numCache>
                <c:formatCode>General</c:formatCode>
                <c:ptCount val="8"/>
                <c:pt idx="0">
                  <c:v>26.8</c:v>
                </c:pt>
                <c:pt idx="1">
                  <c:v>22.45</c:v>
                </c:pt>
                <c:pt idx="4">
                  <c:v>45.7</c:v>
                </c:pt>
                <c:pt idx="7">
                  <c:v>38.75</c:v>
                </c:pt>
              </c:numCache>
            </c:numRef>
          </c:xVal>
          <c:yVal>
            <c:numRef>
              <c:f>Summary!$BI$78:$BP$78</c:f>
              <c:numCache>
                <c:formatCode>General</c:formatCode>
                <c:ptCount val="8"/>
                <c:pt idx="0">
                  <c:v>45</c:v>
                </c:pt>
                <c:pt idx="1">
                  <c:v>51</c:v>
                </c:pt>
                <c:pt idx="2">
                  <c:v>132.19999999999999</c:v>
                </c:pt>
                <c:pt idx="3">
                  <c:v>142</c:v>
                </c:pt>
                <c:pt idx="4">
                  <c:v>115</c:v>
                </c:pt>
                <c:pt idx="5">
                  <c:v>137</c:v>
                </c:pt>
                <c:pt idx="7">
                  <c:v>84</c:v>
                </c:pt>
              </c:numCache>
            </c:numRef>
          </c:yVal>
          <c:smooth val="0"/>
          <c:extLst>
            <c:ext xmlns:c16="http://schemas.microsoft.com/office/drawing/2014/chart" uri="{C3380CC4-5D6E-409C-BE32-E72D297353CC}">
              <c16:uniqueId val="{00000002-5CC2-4213-A6B1-CAC90A33F265}"/>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Summary!$BR$38:$CA$38</c:f>
              <c:numCache>
                <c:formatCode>General</c:formatCode>
                <c:ptCount val="10"/>
                <c:pt idx="3">
                  <c:v>19.03</c:v>
                </c:pt>
                <c:pt idx="4">
                  <c:v>21.33</c:v>
                </c:pt>
                <c:pt idx="5">
                  <c:v>18.62</c:v>
                </c:pt>
                <c:pt idx="7">
                  <c:v>18.54</c:v>
                </c:pt>
                <c:pt idx="8">
                  <c:v>18.54</c:v>
                </c:pt>
              </c:numCache>
            </c:numRef>
          </c:xVal>
          <c:yVal>
            <c:numRef>
              <c:f>Summary!$BR$78:$CA$78</c:f>
              <c:numCache>
                <c:formatCode>General</c:formatCode>
                <c:ptCount val="10"/>
                <c:pt idx="0">
                  <c:v>25</c:v>
                </c:pt>
                <c:pt idx="1">
                  <c:v>10</c:v>
                </c:pt>
                <c:pt idx="2">
                  <c:v>13</c:v>
                </c:pt>
                <c:pt idx="3">
                  <c:v>26</c:v>
                </c:pt>
                <c:pt idx="4">
                  <c:v>42.49</c:v>
                </c:pt>
                <c:pt idx="5">
                  <c:v>25</c:v>
                </c:pt>
                <c:pt idx="6">
                  <c:v>31</c:v>
                </c:pt>
                <c:pt idx="7">
                  <c:v>32</c:v>
                </c:pt>
                <c:pt idx="8">
                  <c:v>33</c:v>
                </c:pt>
                <c:pt idx="9">
                  <c:v>20</c:v>
                </c:pt>
              </c:numCache>
            </c:numRef>
          </c:yVal>
          <c:smooth val="0"/>
          <c:extLst>
            <c:ext xmlns:c16="http://schemas.microsoft.com/office/drawing/2014/chart" uri="{C3380CC4-5D6E-409C-BE32-E72D297353CC}">
              <c16:uniqueId val="{00000003-5CC2-4213-A6B1-CAC90A33F265}"/>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Vertical TailArea (sq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Landing Gear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intercept val="0"/>
            <c:dispRSqr val="1"/>
            <c:dispEq val="1"/>
            <c:trendlineLbl>
              <c:layout>
                <c:manualLayout>
                  <c:x val="4.443867144990965E-2"/>
                  <c:y val="-5.4778016384315599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Summary!$C$86:$CA$86</c:f>
              <c:numCache>
                <c:formatCode>General</c:formatCode>
                <c:ptCount val="77"/>
                <c:pt idx="0">
                  <c:v>259</c:v>
                </c:pt>
                <c:pt idx="1">
                  <c:v>464</c:v>
                </c:pt>
                <c:pt idx="2">
                  <c:v>532</c:v>
                </c:pt>
                <c:pt idx="3">
                  <c:v>572</c:v>
                </c:pt>
                <c:pt idx="4">
                  <c:v>567</c:v>
                </c:pt>
                <c:pt idx="5">
                  <c:v>695</c:v>
                </c:pt>
                <c:pt idx="6">
                  <c:v>524</c:v>
                </c:pt>
                <c:pt idx="7">
                  <c:v>552</c:v>
                </c:pt>
                <c:pt idx="8">
                  <c:v>545</c:v>
                </c:pt>
                <c:pt idx="9">
                  <c:v>549</c:v>
                </c:pt>
                <c:pt idx="10">
                  <c:v>548</c:v>
                </c:pt>
                <c:pt idx="11">
                  <c:v>488</c:v>
                </c:pt>
                <c:pt idx="12">
                  <c:v>1067</c:v>
                </c:pt>
                <c:pt idx="13">
                  <c:v>1123</c:v>
                </c:pt>
                <c:pt idx="14">
                  <c:v>1125</c:v>
                </c:pt>
                <c:pt idx="15">
                  <c:v>781</c:v>
                </c:pt>
                <c:pt idx="16">
                  <c:v>753</c:v>
                </c:pt>
                <c:pt idx="17">
                  <c:v>343</c:v>
                </c:pt>
                <c:pt idx="18">
                  <c:v>516.6</c:v>
                </c:pt>
                <c:pt idx="19">
                  <c:v>516.6</c:v>
                </c:pt>
                <c:pt idx="20">
                  <c:v>511</c:v>
                </c:pt>
                <c:pt idx="21">
                  <c:v>514.79999999999995</c:v>
                </c:pt>
                <c:pt idx="23">
                  <c:v>514.79999999999995</c:v>
                </c:pt>
                <c:pt idx="24">
                  <c:v>641</c:v>
                </c:pt>
                <c:pt idx="25">
                  <c:v>619.20000000000005</c:v>
                </c:pt>
                <c:pt idx="26">
                  <c:v>607</c:v>
                </c:pt>
                <c:pt idx="34">
                  <c:v>451</c:v>
                </c:pt>
                <c:pt idx="35">
                  <c:v>428</c:v>
                </c:pt>
                <c:pt idx="36">
                  <c:v>383.6</c:v>
                </c:pt>
                <c:pt idx="37">
                  <c:v>383.6</c:v>
                </c:pt>
                <c:pt idx="41">
                  <c:v>351</c:v>
                </c:pt>
                <c:pt idx="42">
                  <c:v>351</c:v>
                </c:pt>
                <c:pt idx="43">
                  <c:v>351</c:v>
                </c:pt>
                <c:pt idx="44">
                  <c:v>353</c:v>
                </c:pt>
                <c:pt idx="45">
                  <c:v>351</c:v>
                </c:pt>
                <c:pt idx="46">
                  <c:v>442</c:v>
                </c:pt>
                <c:pt idx="47">
                  <c:v>676.1</c:v>
                </c:pt>
                <c:pt idx="48">
                  <c:v>704.1</c:v>
                </c:pt>
                <c:pt idx="49">
                  <c:v>701</c:v>
                </c:pt>
                <c:pt idx="50">
                  <c:v>704.09999999999991</c:v>
                </c:pt>
                <c:pt idx="51">
                  <c:v>733.8</c:v>
                </c:pt>
                <c:pt idx="52">
                  <c:v>739.2</c:v>
                </c:pt>
                <c:pt idx="53">
                  <c:v>751.2</c:v>
                </c:pt>
                <c:pt idx="54">
                  <c:v>739</c:v>
                </c:pt>
                <c:pt idx="55">
                  <c:v>749</c:v>
                </c:pt>
                <c:pt idx="56">
                  <c:v>625</c:v>
                </c:pt>
                <c:pt idx="58">
                  <c:v>585</c:v>
                </c:pt>
                <c:pt idx="59">
                  <c:v>452</c:v>
                </c:pt>
                <c:pt idx="60">
                  <c:v>1044.7</c:v>
                </c:pt>
                <c:pt idx="61">
                  <c:v>911</c:v>
                </c:pt>
                <c:pt idx="62">
                  <c:v>883</c:v>
                </c:pt>
                <c:pt idx="63">
                  <c:v>944</c:v>
                </c:pt>
                <c:pt idx="65">
                  <c:v>967</c:v>
                </c:pt>
                <c:pt idx="67">
                  <c:v>151</c:v>
                </c:pt>
                <c:pt idx="68">
                  <c:v>146</c:v>
                </c:pt>
                <c:pt idx="69">
                  <c:v>320</c:v>
                </c:pt>
                <c:pt idx="70">
                  <c:v>330</c:v>
                </c:pt>
                <c:pt idx="71">
                  <c:v>386.83</c:v>
                </c:pt>
                <c:pt idx="72">
                  <c:v>274</c:v>
                </c:pt>
                <c:pt idx="73">
                  <c:v>463</c:v>
                </c:pt>
                <c:pt idx="74">
                  <c:v>462</c:v>
                </c:pt>
                <c:pt idx="75">
                  <c:v>445</c:v>
                </c:pt>
                <c:pt idx="76">
                  <c:v>261</c:v>
                </c:pt>
              </c:numCache>
            </c:numRef>
          </c:yVal>
          <c:smooth val="0"/>
          <c:extLst>
            <c:ext xmlns:c16="http://schemas.microsoft.com/office/drawing/2014/chart" uri="{C3380CC4-5D6E-409C-BE32-E72D297353CC}">
              <c16:uniqueId val="{00000000-3FE1-42EB-9D20-0480709F2EAF}"/>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Summary!$C$86:$S$86</c:f>
              <c:numCache>
                <c:formatCode>General</c:formatCode>
                <c:ptCount val="17"/>
                <c:pt idx="0">
                  <c:v>259</c:v>
                </c:pt>
                <c:pt idx="1">
                  <c:v>464</c:v>
                </c:pt>
                <c:pt idx="2">
                  <c:v>532</c:v>
                </c:pt>
                <c:pt idx="3">
                  <c:v>572</c:v>
                </c:pt>
                <c:pt idx="4">
                  <c:v>567</c:v>
                </c:pt>
                <c:pt idx="5">
                  <c:v>695</c:v>
                </c:pt>
                <c:pt idx="6">
                  <c:v>524</c:v>
                </c:pt>
                <c:pt idx="7">
                  <c:v>552</c:v>
                </c:pt>
                <c:pt idx="8">
                  <c:v>545</c:v>
                </c:pt>
                <c:pt idx="9">
                  <c:v>549</c:v>
                </c:pt>
                <c:pt idx="10">
                  <c:v>548</c:v>
                </c:pt>
                <c:pt idx="11">
                  <c:v>488</c:v>
                </c:pt>
                <c:pt idx="12">
                  <c:v>1067</c:v>
                </c:pt>
                <c:pt idx="13">
                  <c:v>1123</c:v>
                </c:pt>
                <c:pt idx="14">
                  <c:v>1125</c:v>
                </c:pt>
                <c:pt idx="15">
                  <c:v>781</c:v>
                </c:pt>
                <c:pt idx="16">
                  <c:v>753</c:v>
                </c:pt>
              </c:numCache>
            </c:numRef>
          </c:yVal>
          <c:smooth val="0"/>
          <c:extLst>
            <c:ext xmlns:c16="http://schemas.microsoft.com/office/drawing/2014/chart" uri="{C3380CC4-5D6E-409C-BE32-E72D297353CC}">
              <c16:uniqueId val="{00000000-C6B5-493A-AD67-EB67F7303DA0}"/>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Summary!$AE$86:$BG$86</c:f>
              <c:numCache>
                <c:formatCode>General</c:formatCode>
                <c:ptCount val="29"/>
                <c:pt idx="6">
                  <c:v>451</c:v>
                </c:pt>
                <c:pt idx="7">
                  <c:v>428</c:v>
                </c:pt>
                <c:pt idx="8">
                  <c:v>383.6</c:v>
                </c:pt>
                <c:pt idx="9">
                  <c:v>383.6</c:v>
                </c:pt>
                <c:pt idx="13">
                  <c:v>351</c:v>
                </c:pt>
                <c:pt idx="14">
                  <c:v>351</c:v>
                </c:pt>
                <c:pt idx="15">
                  <c:v>351</c:v>
                </c:pt>
                <c:pt idx="16">
                  <c:v>353</c:v>
                </c:pt>
                <c:pt idx="17">
                  <c:v>351</c:v>
                </c:pt>
                <c:pt idx="18">
                  <c:v>442</c:v>
                </c:pt>
                <c:pt idx="19">
                  <c:v>676.1</c:v>
                </c:pt>
                <c:pt idx="20">
                  <c:v>704.1</c:v>
                </c:pt>
                <c:pt idx="21">
                  <c:v>701</c:v>
                </c:pt>
                <c:pt idx="22">
                  <c:v>704.09999999999991</c:v>
                </c:pt>
                <c:pt idx="23">
                  <c:v>733.8</c:v>
                </c:pt>
                <c:pt idx="24">
                  <c:v>739.2</c:v>
                </c:pt>
                <c:pt idx="25">
                  <c:v>751.2</c:v>
                </c:pt>
                <c:pt idx="26">
                  <c:v>739</c:v>
                </c:pt>
                <c:pt idx="27">
                  <c:v>749</c:v>
                </c:pt>
                <c:pt idx="28">
                  <c:v>625</c:v>
                </c:pt>
              </c:numCache>
            </c:numRef>
          </c:yVal>
          <c:smooth val="0"/>
          <c:extLst>
            <c:ext xmlns:c16="http://schemas.microsoft.com/office/drawing/2014/chart" uri="{C3380CC4-5D6E-409C-BE32-E72D297353CC}">
              <c16:uniqueId val="{00000001-C6B5-493A-AD67-EB67F7303DA0}"/>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Summary!$BI$86:$BP$86</c:f>
              <c:numCache>
                <c:formatCode>General</c:formatCode>
                <c:ptCount val="8"/>
                <c:pt idx="0">
                  <c:v>585</c:v>
                </c:pt>
                <c:pt idx="1">
                  <c:v>452</c:v>
                </c:pt>
                <c:pt idx="2">
                  <c:v>1044.7</c:v>
                </c:pt>
                <c:pt idx="3">
                  <c:v>911</c:v>
                </c:pt>
                <c:pt idx="4">
                  <c:v>883</c:v>
                </c:pt>
                <c:pt idx="5">
                  <c:v>944</c:v>
                </c:pt>
                <c:pt idx="7">
                  <c:v>967</c:v>
                </c:pt>
              </c:numCache>
            </c:numRef>
          </c:yVal>
          <c:smooth val="0"/>
          <c:extLst>
            <c:ext xmlns:c16="http://schemas.microsoft.com/office/drawing/2014/chart" uri="{C3380CC4-5D6E-409C-BE32-E72D297353CC}">
              <c16:uniqueId val="{00000002-C6B5-493A-AD67-EB67F7303DA0}"/>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Summary!$BR$147:$BYZ$147</c:f>
              <c:numCache>
                <c:formatCode>General</c:formatCode>
                <c:ptCount val="1959"/>
                <c:pt idx="0">
                  <c:v>2409</c:v>
                </c:pt>
                <c:pt idx="1">
                  <c:v>1835</c:v>
                </c:pt>
                <c:pt idx="2">
                  <c:v>4124</c:v>
                </c:pt>
                <c:pt idx="3">
                  <c:v>4442</c:v>
                </c:pt>
                <c:pt idx="4">
                  <c:v>9769</c:v>
                </c:pt>
                <c:pt idx="5">
                  <c:v>4212</c:v>
                </c:pt>
                <c:pt idx="6">
                  <c:v>5221</c:v>
                </c:pt>
                <c:pt idx="7">
                  <c:v>5212</c:v>
                </c:pt>
                <c:pt idx="8">
                  <c:v>5265</c:v>
                </c:pt>
                <c:pt idx="9">
                  <c:v>2634</c:v>
                </c:pt>
                <c:pt idx="11">
                  <c:v>9769</c:v>
                </c:pt>
                <c:pt idx="12">
                  <c:v>10749</c:v>
                </c:pt>
                <c:pt idx="13">
                  <c:v>11114</c:v>
                </c:pt>
                <c:pt idx="14">
                  <c:v>8625</c:v>
                </c:pt>
              </c:numCache>
            </c:numRef>
          </c:xVal>
          <c:yVal>
            <c:numRef>
              <c:f>Summary!$BR$86:$CA$86</c:f>
              <c:numCache>
                <c:formatCode>General</c:formatCode>
                <c:ptCount val="10"/>
                <c:pt idx="0">
                  <c:v>151</c:v>
                </c:pt>
                <c:pt idx="1">
                  <c:v>146</c:v>
                </c:pt>
                <c:pt idx="2">
                  <c:v>320</c:v>
                </c:pt>
                <c:pt idx="3">
                  <c:v>330</c:v>
                </c:pt>
                <c:pt idx="4">
                  <c:v>386.83</c:v>
                </c:pt>
                <c:pt idx="5">
                  <c:v>274</c:v>
                </c:pt>
                <c:pt idx="6">
                  <c:v>463</c:v>
                </c:pt>
                <c:pt idx="7">
                  <c:v>462</c:v>
                </c:pt>
                <c:pt idx="8">
                  <c:v>445</c:v>
                </c:pt>
                <c:pt idx="9">
                  <c:v>261</c:v>
                </c:pt>
              </c:numCache>
            </c:numRef>
          </c:yVal>
          <c:smooth val="0"/>
          <c:extLst>
            <c:ext xmlns:c16="http://schemas.microsoft.com/office/drawing/2014/chart" uri="{C3380CC4-5D6E-409C-BE32-E72D297353CC}">
              <c16:uniqueId val="{00000003-C6B5-493A-AD67-EB67F7303DA0}"/>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 Mission Weight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7354754736741"/>
          <c:h val="0.20454688618468145"/>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a:t>
            </a:r>
            <a:r>
              <a:rPr lang="en-US"/>
              <a:t>MainLanding Gear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v>All</c:v>
          </c:tx>
          <c:spPr>
            <a:ln w="25400" cap="rnd">
              <a:noFill/>
              <a:round/>
            </a:ln>
            <a:effectLst/>
          </c:spPr>
          <c:marker>
            <c:symbol val="dot"/>
            <c:size val="2"/>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intercept val="0"/>
            <c:dispRSqr val="1"/>
            <c:dispEq val="1"/>
            <c:trendlineLbl>
              <c:layout>
                <c:manualLayout>
                  <c:x val="2.3561641494777037E-2"/>
                  <c:y val="-0.1096392055336100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Summary!$C$87:$CA$87</c:f>
              <c:numCache>
                <c:formatCode>General</c:formatCode>
                <c:ptCount val="77"/>
                <c:pt idx="0">
                  <c:v>237</c:v>
                </c:pt>
                <c:pt idx="1">
                  <c:v>399</c:v>
                </c:pt>
                <c:pt idx="2">
                  <c:v>488</c:v>
                </c:pt>
                <c:pt idx="6">
                  <c:v>476</c:v>
                </c:pt>
                <c:pt idx="12">
                  <c:v>953</c:v>
                </c:pt>
                <c:pt idx="16">
                  <c:v>661</c:v>
                </c:pt>
                <c:pt idx="17">
                  <c:v>316</c:v>
                </c:pt>
                <c:pt idx="18">
                  <c:v>391.5</c:v>
                </c:pt>
                <c:pt idx="20">
                  <c:v>386</c:v>
                </c:pt>
                <c:pt idx="35">
                  <c:v>384</c:v>
                </c:pt>
                <c:pt idx="37">
                  <c:v>348.7</c:v>
                </c:pt>
                <c:pt idx="42">
                  <c:v>319</c:v>
                </c:pt>
                <c:pt idx="44">
                  <c:v>322</c:v>
                </c:pt>
                <c:pt idx="45">
                  <c:v>319</c:v>
                </c:pt>
                <c:pt idx="47">
                  <c:v>581.1</c:v>
                </c:pt>
                <c:pt idx="48">
                  <c:v>598.9</c:v>
                </c:pt>
                <c:pt idx="49">
                  <c:v>595</c:v>
                </c:pt>
                <c:pt idx="50">
                  <c:v>594.29999999999995</c:v>
                </c:pt>
                <c:pt idx="52">
                  <c:v>667.1</c:v>
                </c:pt>
                <c:pt idx="54">
                  <c:v>667</c:v>
                </c:pt>
                <c:pt idx="55">
                  <c:v>673</c:v>
                </c:pt>
                <c:pt idx="56">
                  <c:v>569</c:v>
                </c:pt>
                <c:pt idx="58">
                  <c:v>545</c:v>
                </c:pt>
                <c:pt idx="59">
                  <c:v>414</c:v>
                </c:pt>
                <c:pt idx="60">
                  <c:v>955.4</c:v>
                </c:pt>
                <c:pt idx="61">
                  <c:v>800</c:v>
                </c:pt>
                <c:pt idx="62">
                  <c:v>808</c:v>
                </c:pt>
                <c:pt idx="63">
                  <c:v>845</c:v>
                </c:pt>
                <c:pt idx="65">
                  <c:v>858</c:v>
                </c:pt>
                <c:pt idx="67">
                  <c:v>136</c:v>
                </c:pt>
                <c:pt idx="68">
                  <c:v>126</c:v>
                </c:pt>
                <c:pt idx="69">
                  <c:v>298</c:v>
                </c:pt>
                <c:pt idx="70">
                  <c:v>299</c:v>
                </c:pt>
                <c:pt idx="71">
                  <c:v>341.81</c:v>
                </c:pt>
                <c:pt idx="72">
                  <c:v>236</c:v>
                </c:pt>
                <c:pt idx="73">
                  <c:v>427</c:v>
                </c:pt>
                <c:pt idx="74">
                  <c:v>425</c:v>
                </c:pt>
                <c:pt idx="75">
                  <c:v>403</c:v>
                </c:pt>
                <c:pt idx="76">
                  <c:v>233</c:v>
                </c:pt>
              </c:numCache>
            </c:numRef>
          </c:yVal>
          <c:smooth val="0"/>
          <c:extLst>
            <c:ext xmlns:c16="http://schemas.microsoft.com/office/drawing/2014/chart" uri="{C3380CC4-5D6E-409C-BE32-E72D297353CC}">
              <c16:uniqueId val="{00000000-5D58-4C7A-9B28-B54337B089A3}"/>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Summary!$C$147:$S$147</c:f>
              <c:numCache>
                <c:formatCode>General</c:formatCode>
                <c:ptCount val="17"/>
                <c:pt idx="0">
                  <c:v>2935</c:v>
                </c:pt>
                <c:pt idx="1">
                  <c:v>5599</c:v>
                </c:pt>
                <c:pt idx="2">
                  <c:v>5531</c:v>
                </c:pt>
                <c:pt idx="3">
                  <c:v>5689</c:v>
                </c:pt>
                <c:pt idx="4">
                  <c:v>5919</c:v>
                </c:pt>
                <c:pt idx="6">
                  <c:v>8427</c:v>
                </c:pt>
                <c:pt idx="12">
                  <c:v>13373</c:v>
                </c:pt>
                <c:pt idx="16">
                  <c:v>10119</c:v>
                </c:pt>
              </c:numCache>
            </c:numRef>
          </c:xVal>
          <c:yVal>
            <c:numRef>
              <c:f>Summary!$C$87:$S$87</c:f>
              <c:numCache>
                <c:formatCode>General</c:formatCode>
                <c:ptCount val="17"/>
                <c:pt idx="0">
                  <c:v>237</c:v>
                </c:pt>
                <c:pt idx="1">
                  <c:v>399</c:v>
                </c:pt>
                <c:pt idx="2">
                  <c:v>488</c:v>
                </c:pt>
                <c:pt idx="6">
                  <c:v>476</c:v>
                </c:pt>
                <c:pt idx="12">
                  <c:v>953</c:v>
                </c:pt>
                <c:pt idx="16">
                  <c:v>661</c:v>
                </c:pt>
              </c:numCache>
            </c:numRef>
          </c:yVal>
          <c:smooth val="0"/>
          <c:extLst>
            <c:ext xmlns:c16="http://schemas.microsoft.com/office/drawing/2014/chart" uri="{C3380CC4-5D6E-409C-BE32-E72D297353CC}">
              <c16:uniqueId val="{00000012-B045-4789-8246-4E65C6839A1D}"/>
            </c:ext>
          </c:extLst>
        </c:ser>
        <c:ser>
          <c:idx val="1"/>
          <c:order val="2"/>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Summary!$AE$87:$BG$87</c:f>
              <c:numCache>
                <c:formatCode>General</c:formatCode>
                <c:ptCount val="29"/>
                <c:pt idx="7">
                  <c:v>384</c:v>
                </c:pt>
                <c:pt idx="9">
                  <c:v>348.7</c:v>
                </c:pt>
                <c:pt idx="14">
                  <c:v>319</c:v>
                </c:pt>
                <c:pt idx="16">
                  <c:v>322</c:v>
                </c:pt>
                <c:pt idx="17">
                  <c:v>319</c:v>
                </c:pt>
                <c:pt idx="19">
                  <c:v>581.1</c:v>
                </c:pt>
                <c:pt idx="20">
                  <c:v>598.9</c:v>
                </c:pt>
                <c:pt idx="21">
                  <c:v>595</c:v>
                </c:pt>
                <c:pt idx="22">
                  <c:v>594.29999999999995</c:v>
                </c:pt>
                <c:pt idx="24">
                  <c:v>667.1</c:v>
                </c:pt>
                <c:pt idx="26">
                  <c:v>667</c:v>
                </c:pt>
                <c:pt idx="27">
                  <c:v>673</c:v>
                </c:pt>
                <c:pt idx="28">
                  <c:v>569</c:v>
                </c:pt>
              </c:numCache>
            </c:numRef>
          </c:yVal>
          <c:smooth val="0"/>
          <c:extLst>
            <c:ext xmlns:c16="http://schemas.microsoft.com/office/drawing/2014/chart" uri="{C3380CC4-5D6E-409C-BE32-E72D297353CC}">
              <c16:uniqueId val="{00000029-B045-4789-8246-4E65C6839A1D}"/>
            </c:ext>
          </c:extLst>
        </c:ser>
        <c:ser>
          <c:idx val="2"/>
          <c:order val="3"/>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Summary!$BI$87:$BP$87</c:f>
              <c:numCache>
                <c:formatCode>General</c:formatCode>
                <c:ptCount val="8"/>
                <c:pt idx="0">
                  <c:v>545</c:v>
                </c:pt>
                <c:pt idx="1">
                  <c:v>414</c:v>
                </c:pt>
                <c:pt idx="2">
                  <c:v>955.4</c:v>
                </c:pt>
                <c:pt idx="3">
                  <c:v>800</c:v>
                </c:pt>
                <c:pt idx="4">
                  <c:v>808</c:v>
                </c:pt>
                <c:pt idx="5">
                  <c:v>845</c:v>
                </c:pt>
                <c:pt idx="7">
                  <c:v>858</c:v>
                </c:pt>
              </c:numCache>
            </c:numRef>
          </c:yVal>
          <c:smooth val="0"/>
          <c:extLst>
            <c:ext xmlns:c16="http://schemas.microsoft.com/office/drawing/2014/chart" uri="{C3380CC4-5D6E-409C-BE32-E72D297353CC}">
              <c16:uniqueId val="{00000031-B045-4789-8246-4E65C6839A1D}"/>
            </c:ext>
          </c:extLst>
        </c:ser>
        <c:ser>
          <c:idx val="3"/>
          <c:order val="4"/>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Summary!$BR$87:$CA$87</c:f>
              <c:numCache>
                <c:formatCode>General</c:formatCode>
                <c:ptCount val="10"/>
                <c:pt idx="0">
                  <c:v>136</c:v>
                </c:pt>
                <c:pt idx="1">
                  <c:v>126</c:v>
                </c:pt>
                <c:pt idx="2">
                  <c:v>298</c:v>
                </c:pt>
                <c:pt idx="3">
                  <c:v>299</c:v>
                </c:pt>
                <c:pt idx="4">
                  <c:v>341.81</c:v>
                </c:pt>
                <c:pt idx="5">
                  <c:v>236</c:v>
                </c:pt>
                <c:pt idx="6">
                  <c:v>427</c:v>
                </c:pt>
                <c:pt idx="7">
                  <c:v>425</c:v>
                </c:pt>
                <c:pt idx="8">
                  <c:v>403</c:v>
                </c:pt>
                <c:pt idx="9">
                  <c:v>233</c:v>
                </c:pt>
              </c:numCache>
            </c:numRef>
          </c:yVal>
          <c:smooth val="0"/>
          <c:extLst>
            <c:ext xmlns:c16="http://schemas.microsoft.com/office/drawing/2014/chart" uri="{C3380CC4-5D6E-409C-BE32-E72D297353CC}">
              <c16:uniqueId val="{0000003B-B045-4789-8246-4E65C6839A1D}"/>
            </c:ext>
          </c:extLst>
        </c:ser>
        <c:dLbls>
          <c:showLegendKey val="0"/>
          <c:showVal val="0"/>
          <c:showCatName val="0"/>
          <c:showSerName val="0"/>
          <c:showPercent val="0"/>
          <c:showBubbleSize val="0"/>
        </c:dLbls>
        <c:axId val="642505167"/>
        <c:axId val="649103391"/>
      </c:scatterChart>
      <c:valAx>
        <c:axId val="642505167"/>
        <c:scaling>
          <c:orientation val="minMax"/>
          <c:min val="2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 Mission Weight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5980308934873913"/>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Nose/</a:t>
            </a:r>
            <a:r>
              <a:rPr lang="en-US"/>
              <a:t>Tail Wheel Landing Gear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5"/>
          <c:order val="0"/>
          <c:tx>
            <c:v>All</c:v>
          </c:tx>
          <c:spPr>
            <a:ln w="25400" cap="rnd">
              <a:noFill/>
              <a:round/>
            </a:ln>
            <a:effectLst/>
          </c:spPr>
          <c:marker>
            <c:symbol val="dot"/>
            <c:size val="2"/>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intercept val="0"/>
            <c:dispRSqr val="1"/>
            <c:dispEq val="1"/>
            <c:trendlineLbl>
              <c:layout>
                <c:manualLayout>
                  <c:x val="-6.0691949090311219E-2"/>
                  <c:y val="-1.3749572368593701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Summary!$C$88:$CA$88</c:f>
              <c:numCache>
                <c:formatCode>General</c:formatCode>
                <c:ptCount val="77"/>
                <c:pt idx="0">
                  <c:v>22</c:v>
                </c:pt>
                <c:pt idx="1">
                  <c:v>65</c:v>
                </c:pt>
                <c:pt idx="2">
                  <c:v>44</c:v>
                </c:pt>
                <c:pt idx="6">
                  <c:v>48</c:v>
                </c:pt>
                <c:pt idx="12">
                  <c:v>114</c:v>
                </c:pt>
                <c:pt idx="16">
                  <c:v>92</c:v>
                </c:pt>
                <c:pt idx="17">
                  <c:v>27</c:v>
                </c:pt>
                <c:pt idx="18">
                  <c:v>125.1</c:v>
                </c:pt>
                <c:pt idx="20">
                  <c:v>125</c:v>
                </c:pt>
                <c:pt idx="35">
                  <c:v>44</c:v>
                </c:pt>
                <c:pt idx="37">
                  <c:v>34.9</c:v>
                </c:pt>
                <c:pt idx="42">
                  <c:v>32</c:v>
                </c:pt>
                <c:pt idx="44">
                  <c:v>31</c:v>
                </c:pt>
                <c:pt idx="45">
                  <c:v>32</c:v>
                </c:pt>
                <c:pt idx="47">
                  <c:v>95</c:v>
                </c:pt>
                <c:pt idx="48">
                  <c:v>105.2</c:v>
                </c:pt>
                <c:pt idx="49">
                  <c:v>106</c:v>
                </c:pt>
                <c:pt idx="50">
                  <c:v>109.8</c:v>
                </c:pt>
                <c:pt idx="52">
                  <c:v>72.099999999999994</c:v>
                </c:pt>
                <c:pt idx="54">
                  <c:v>72</c:v>
                </c:pt>
                <c:pt idx="55">
                  <c:v>76</c:v>
                </c:pt>
                <c:pt idx="56">
                  <c:v>56</c:v>
                </c:pt>
                <c:pt idx="58">
                  <c:v>40</c:v>
                </c:pt>
                <c:pt idx="59">
                  <c:v>38</c:v>
                </c:pt>
                <c:pt idx="60">
                  <c:v>89.3</c:v>
                </c:pt>
                <c:pt idx="61">
                  <c:v>111</c:v>
                </c:pt>
                <c:pt idx="62">
                  <c:v>75</c:v>
                </c:pt>
                <c:pt idx="63">
                  <c:v>99</c:v>
                </c:pt>
                <c:pt idx="65">
                  <c:v>109</c:v>
                </c:pt>
                <c:pt idx="67">
                  <c:v>15</c:v>
                </c:pt>
                <c:pt idx="68">
                  <c:v>20</c:v>
                </c:pt>
                <c:pt idx="69">
                  <c:v>22</c:v>
                </c:pt>
                <c:pt idx="70">
                  <c:v>31</c:v>
                </c:pt>
                <c:pt idx="71">
                  <c:v>45.02</c:v>
                </c:pt>
                <c:pt idx="72">
                  <c:v>38</c:v>
                </c:pt>
                <c:pt idx="73">
                  <c:v>36</c:v>
                </c:pt>
                <c:pt idx="74">
                  <c:v>37</c:v>
                </c:pt>
                <c:pt idx="75">
                  <c:v>42</c:v>
                </c:pt>
                <c:pt idx="76">
                  <c:v>28</c:v>
                </c:pt>
              </c:numCache>
            </c:numRef>
          </c:yVal>
          <c:smooth val="0"/>
          <c:extLst>
            <c:ext xmlns:c16="http://schemas.microsoft.com/office/drawing/2014/chart" uri="{C3380CC4-5D6E-409C-BE32-E72D297353CC}">
              <c16:uniqueId val="{00000011-95D0-4C9A-BDD5-1725ECC97576}"/>
            </c:ext>
          </c:extLst>
        </c:ser>
        <c:ser>
          <c:idx val="0"/>
          <c:order val="1"/>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Summary!$C$147:$T$147</c:f>
              <c:numCache>
                <c:formatCode>General</c:formatCode>
                <c:ptCount val="18"/>
                <c:pt idx="0">
                  <c:v>2935</c:v>
                </c:pt>
                <c:pt idx="1">
                  <c:v>5599</c:v>
                </c:pt>
                <c:pt idx="2">
                  <c:v>5531</c:v>
                </c:pt>
                <c:pt idx="3">
                  <c:v>5689</c:v>
                </c:pt>
                <c:pt idx="4">
                  <c:v>5919</c:v>
                </c:pt>
                <c:pt idx="6">
                  <c:v>8427</c:v>
                </c:pt>
                <c:pt idx="12">
                  <c:v>13373</c:v>
                </c:pt>
                <c:pt idx="16">
                  <c:v>10119</c:v>
                </c:pt>
                <c:pt idx="17">
                  <c:v>5579</c:v>
                </c:pt>
              </c:numCache>
            </c:numRef>
          </c:xVal>
          <c:yVal>
            <c:numRef>
              <c:f>Summary!$C$88:$T$88</c:f>
              <c:numCache>
                <c:formatCode>General</c:formatCode>
                <c:ptCount val="18"/>
                <c:pt idx="0">
                  <c:v>22</c:v>
                </c:pt>
                <c:pt idx="1">
                  <c:v>65</c:v>
                </c:pt>
                <c:pt idx="2">
                  <c:v>44</c:v>
                </c:pt>
                <c:pt idx="6">
                  <c:v>48</c:v>
                </c:pt>
                <c:pt idx="12">
                  <c:v>114</c:v>
                </c:pt>
                <c:pt idx="16">
                  <c:v>92</c:v>
                </c:pt>
                <c:pt idx="17">
                  <c:v>27</c:v>
                </c:pt>
              </c:numCache>
            </c:numRef>
          </c:yVal>
          <c:smooth val="0"/>
          <c:extLst>
            <c:ext xmlns:c16="http://schemas.microsoft.com/office/drawing/2014/chart" uri="{C3380CC4-5D6E-409C-BE32-E72D297353CC}">
              <c16:uniqueId val="{00000000-28FE-4C8E-A64F-C705BB0F29CA}"/>
            </c:ext>
          </c:extLst>
        </c:ser>
        <c:ser>
          <c:idx val="4"/>
          <c:order val="2"/>
          <c:tx>
            <c:v>Fighter (USAAC - Nose Gr)</c:v>
          </c:tx>
          <c:spPr>
            <a:ln w="25400" cap="rnd">
              <a:noFill/>
              <a:round/>
            </a:ln>
            <a:effectLst/>
          </c:spPr>
          <c:marker>
            <c:symbol val="circle"/>
            <c:size val="9"/>
            <c:spPr>
              <a:noFill/>
              <a:ln w="25400">
                <a:solidFill>
                  <a:srgbClr val="92D050"/>
                </a:solidFill>
              </a:ln>
              <a:effectLst/>
            </c:spPr>
          </c:marker>
          <c:dPt>
            <c:idx val="1"/>
            <c:marker>
              <c:symbol val="circle"/>
              <c:size val="9"/>
              <c:spPr>
                <a:solidFill>
                  <a:schemeClr val="bg1"/>
                </a:solidFill>
                <a:ln w="25400">
                  <a:solidFill>
                    <a:srgbClr val="92D050"/>
                  </a:solidFill>
                </a:ln>
                <a:effectLst/>
              </c:spPr>
            </c:marker>
            <c:bubble3D val="0"/>
            <c:extLst>
              <c:ext xmlns:c16="http://schemas.microsoft.com/office/drawing/2014/chart" uri="{C3380CC4-5D6E-409C-BE32-E72D297353CC}">
                <c16:uniqueId val="{00000001-0C91-4C99-8863-F4AEE2D8A5C3}"/>
              </c:ext>
            </c:extLst>
          </c:dPt>
          <c:xVal>
            <c:numRef>
              <c:f>Summary!$V$147:$AC$147</c:f>
              <c:numCache>
                <c:formatCode>General</c:formatCode>
                <c:ptCount val="8"/>
                <c:pt idx="1">
                  <c:v>7405</c:v>
                </c:pt>
              </c:numCache>
            </c:numRef>
          </c:xVal>
          <c:yVal>
            <c:numRef>
              <c:f>Summary!$V$88:$AC$88</c:f>
              <c:numCache>
                <c:formatCode>General</c:formatCode>
                <c:ptCount val="8"/>
                <c:pt idx="1">
                  <c:v>125</c:v>
                </c:pt>
              </c:numCache>
            </c:numRef>
          </c:yVal>
          <c:smooth val="0"/>
          <c:extLst>
            <c:ext xmlns:c16="http://schemas.microsoft.com/office/drawing/2014/chart" uri="{C3380CC4-5D6E-409C-BE32-E72D297353CC}">
              <c16:uniqueId val="{00000001-59BB-414F-B5CC-5A8C8A348D2C}"/>
            </c:ext>
          </c:extLst>
        </c:ser>
        <c:ser>
          <c:idx val="1"/>
          <c:order val="3"/>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Summary!$AE$88:$BG$88</c:f>
              <c:numCache>
                <c:formatCode>General</c:formatCode>
                <c:ptCount val="29"/>
                <c:pt idx="7">
                  <c:v>44</c:v>
                </c:pt>
                <c:pt idx="9">
                  <c:v>34.9</c:v>
                </c:pt>
                <c:pt idx="14">
                  <c:v>32</c:v>
                </c:pt>
                <c:pt idx="16">
                  <c:v>31</c:v>
                </c:pt>
                <c:pt idx="17">
                  <c:v>32</c:v>
                </c:pt>
                <c:pt idx="19">
                  <c:v>95</c:v>
                </c:pt>
                <c:pt idx="20">
                  <c:v>105.2</c:v>
                </c:pt>
                <c:pt idx="21">
                  <c:v>106</c:v>
                </c:pt>
                <c:pt idx="22">
                  <c:v>109.8</c:v>
                </c:pt>
                <c:pt idx="24">
                  <c:v>72.099999999999994</c:v>
                </c:pt>
                <c:pt idx="26">
                  <c:v>72</c:v>
                </c:pt>
                <c:pt idx="27">
                  <c:v>76</c:v>
                </c:pt>
                <c:pt idx="28">
                  <c:v>56</c:v>
                </c:pt>
              </c:numCache>
            </c:numRef>
          </c:yVal>
          <c:smooth val="0"/>
          <c:extLst>
            <c:ext xmlns:c16="http://schemas.microsoft.com/office/drawing/2014/chart" uri="{C3380CC4-5D6E-409C-BE32-E72D297353CC}">
              <c16:uniqueId val="{00000001-28FE-4C8E-A64F-C705BB0F29CA}"/>
            </c:ext>
          </c:extLst>
        </c:ser>
        <c:ser>
          <c:idx val="2"/>
          <c:order val="4"/>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Summary!$BI$88:$BP$88</c:f>
              <c:numCache>
                <c:formatCode>General</c:formatCode>
                <c:ptCount val="8"/>
                <c:pt idx="0">
                  <c:v>40</c:v>
                </c:pt>
                <c:pt idx="1">
                  <c:v>38</c:v>
                </c:pt>
                <c:pt idx="2">
                  <c:v>89.3</c:v>
                </c:pt>
                <c:pt idx="3">
                  <c:v>111</c:v>
                </c:pt>
                <c:pt idx="4">
                  <c:v>75</c:v>
                </c:pt>
                <c:pt idx="5">
                  <c:v>99</c:v>
                </c:pt>
                <c:pt idx="7">
                  <c:v>109</c:v>
                </c:pt>
              </c:numCache>
            </c:numRef>
          </c:yVal>
          <c:smooth val="0"/>
          <c:extLst>
            <c:ext xmlns:c16="http://schemas.microsoft.com/office/drawing/2014/chart" uri="{C3380CC4-5D6E-409C-BE32-E72D297353CC}">
              <c16:uniqueId val="{00000002-28FE-4C8E-A64F-C705BB0F29CA}"/>
            </c:ext>
          </c:extLst>
        </c:ser>
        <c:ser>
          <c:idx val="3"/>
          <c:order val="5"/>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Summary!$BR$88:$CA$88</c:f>
              <c:numCache>
                <c:formatCode>General</c:formatCode>
                <c:ptCount val="10"/>
                <c:pt idx="0">
                  <c:v>15</c:v>
                </c:pt>
                <c:pt idx="1">
                  <c:v>20</c:v>
                </c:pt>
                <c:pt idx="2">
                  <c:v>22</c:v>
                </c:pt>
                <c:pt idx="3">
                  <c:v>31</c:v>
                </c:pt>
                <c:pt idx="4">
                  <c:v>45.02</c:v>
                </c:pt>
                <c:pt idx="5">
                  <c:v>38</c:v>
                </c:pt>
                <c:pt idx="6">
                  <c:v>36</c:v>
                </c:pt>
                <c:pt idx="7">
                  <c:v>37</c:v>
                </c:pt>
                <c:pt idx="8">
                  <c:v>42</c:v>
                </c:pt>
                <c:pt idx="9">
                  <c:v>28</c:v>
                </c:pt>
              </c:numCache>
            </c:numRef>
          </c:yVal>
          <c:smooth val="0"/>
          <c:extLst>
            <c:ext xmlns:c16="http://schemas.microsoft.com/office/drawing/2014/chart" uri="{C3380CC4-5D6E-409C-BE32-E72D297353CC}">
              <c16:uniqueId val="{00000003-28FE-4C8E-A64F-C705BB0F29CA}"/>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Gross Mission</a:t>
                </a:r>
                <a:r>
                  <a:rPr lang="en-US" baseline="0"/>
                  <a:t> Weight (lb)</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ayout>
        <c:manualLayout>
          <c:xMode val="edge"/>
          <c:yMode val="edge"/>
          <c:x val="0.10166212572773514"/>
          <c:y val="0.11069641294838146"/>
          <c:w val="0.19076504471085506"/>
          <c:h val="0.2045130202729493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Tail</a:t>
            </a:r>
            <a:r>
              <a:rPr lang="en-US" baseline="0"/>
              <a:t> Hook</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Summary!$AE$89:$BG$89</c:f>
              <c:numCache>
                <c:formatCode>General</c:formatCode>
                <c:ptCount val="29"/>
                <c:pt idx="7">
                  <c:v>23</c:v>
                </c:pt>
                <c:pt idx="14">
                  <c:v>27</c:v>
                </c:pt>
                <c:pt idx="16">
                  <c:v>23</c:v>
                </c:pt>
                <c:pt idx="17">
                  <c:v>29</c:v>
                </c:pt>
                <c:pt idx="19">
                  <c:v>40.200000000000003</c:v>
                </c:pt>
                <c:pt idx="20">
                  <c:v>39.799999999999997</c:v>
                </c:pt>
                <c:pt idx="21">
                  <c:v>43</c:v>
                </c:pt>
                <c:pt idx="22">
                  <c:v>41.7</c:v>
                </c:pt>
                <c:pt idx="23">
                  <c:v>37.4</c:v>
                </c:pt>
                <c:pt idx="24">
                  <c:v>35.700000000000003</c:v>
                </c:pt>
                <c:pt idx="25">
                  <c:v>35.700000000000003</c:v>
                </c:pt>
                <c:pt idx="26">
                  <c:v>36</c:v>
                </c:pt>
                <c:pt idx="27">
                  <c:v>36</c:v>
                </c:pt>
                <c:pt idx="28">
                  <c:v>29</c:v>
                </c:pt>
              </c:numCache>
            </c:numRef>
          </c:yVal>
          <c:smooth val="0"/>
          <c:extLst>
            <c:ext xmlns:c16="http://schemas.microsoft.com/office/drawing/2014/chart" uri="{C3380CC4-5D6E-409C-BE32-E72D297353CC}">
              <c16:uniqueId val="{00000001-7E26-41E4-B766-186D3CBCA4DC}"/>
            </c:ext>
          </c:extLst>
        </c:ser>
        <c:ser>
          <c:idx val="2"/>
          <c:order val="1"/>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Summary!$BI$147:$BP$147</c:f>
              <c:numCache>
                <c:formatCode>General</c:formatCode>
                <c:ptCount val="8"/>
                <c:pt idx="0">
                  <c:v>7543</c:v>
                </c:pt>
                <c:pt idx="1">
                  <c:v>9662</c:v>
                </c:pt>
                <c:pt idx="3">
                  <c:v>17929</c:v>
                </c:pt>
                <c:pt idx="4">
                  <c:v>15447</c:v>
                </c:pt>
                <c:pt idx="5">
                  <c:v>15327</c:v>
                </c:pt>
                <c:pt idx="7">
                  <c:v>16438</c:v>
                </c:pt>
              </c:numCache>
            </c:numRef>
          </c:xVal>
          <c:yVal>
            <c:numRef>
              <c:f>Summary!$BI$89:$BP$89</c:f>
              <c:numCache>
                <c:formatCode>General</c:formatCode>
                <c:ptCount val="8"/>
                <c:pt idx="1">
                  <c:v>28</c:v>
                </c:pt>
                <c:pt idx="3">
                  <c:v>147</c:v>
                </c:pt>
                <c:pt idx="4">
                  <c:v>32</c:v>
                </c:pt>
                <c:pt idx="5">
                  <c:v>69</c:v>
                </c:pt>
                <c:pt idx="7">
                  <c:v>53</c:v>
                </c:pt>
              </c:numCache>
            </c:numRef>
          </c:yVal>
          <c:smooth val="0"/>
          <c:extLst>
            <c:ext xmlns:c16="http://schemas.microsoft.com/office/drawing/2014/chart" uri="{C3380CC4-5D6E-409C-BE32-E72D297353CC}">
              <c16:uniqueId val="{00000002-7E26-41E4-B766-186D3CBCA4DC}"/>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Weight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102701494426"/>
          <c:h val="6.8171006757649782E-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 Tail</a:t>
            </a:r>
            <a:r>
              <a:rPr lang="en-US" baseline="0"/>
              <a:t> Hook</a:t>
            </a:r>
            <a:r>
              <a:rPr lang="en-US"/>
              <a:t> Wt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Fighter (USN)</c:v>
          </c:tx>
          <c:spPr>
            <a:ln w="25400" cap="rnd">
              <a:noFill/>
              <a:round/>
            </a:ln>
            <a:effectLst/>
          </c:spPr>
          <c:marker>
            <c:symbol val="square"/>
            <c:size val="9"/>
            <c:spPr>
              <a:solidFill>
                <a:srgbClr val="0070C0"/>
              </a:solidFill>
              <a:ln w="9525">
                <a:solidFill>
                  <a:srgbClr val="0070C0"/>
                </a:solidFill>
              </a:ln>
              <a:effectLst/>
            </c:spPr>
          </c:marker>
          <c:xVal>
            <c:numRef>
              <c:f>Summary!$AE$173:$BG$173</c:f>
              <c:numCache>
                <c:formatCode>General</c:formatCode>
                <c:ptCount val="29"/>
                <c:pt idx="0">
                  <c:v>47.495725</c:v>
                </c:pt>
                <c:pt idx="1">
                  <c:v>48.003500000000003</c:v>
                </c:pt>
                <c:pt idx="2">
                  <c:v>48.024400000000007</c:v>
                </c:pt>
                <c:pt idx="3">
                  <c:v>64.910399999999996</c:v>
                </c:pt>
                <c:pt idx="4">
                  <c:v>65.022000000000006</c:v>
                </c:pt>
                <c:pt idx="5">
                  <c:v>78.223200000000006</c:v>
                </c:pt>
                <c:pt idx="7">
                  <c:v>86.748000000000005</c:v>
                </c:pt>
                <c:pt idx="9">
                  <c:v>47.652000000000001</c:v>
                </c:pt>
                <c:pt idx="10">
                  <c:v>59.805900000000001</c:v>
                </c:pt>
                <c:pt idx="11">
                  <c:v>73.134</c:v>
                </c:pt>
                <c:pt idx="12">
                  <c:v>67.234200000000001</c:v>
                </c:pt>
                <c:pt idx="14">
                  <c:v>82.74</c:v>
                </c:pt>
                <c:pt idx="16">
                  <c:v>94.548000000000002</c:v>
                </c:pt>
                <c:pt idx="17">
                  <c:v>89.111999999999995</c:v>
                </c:pt>
                <c:pt idx="19">
                  <c:v>222.85199999999998</c:v>
                </c:pt>
                <c:pt idx="20">
                  <c:v>226.864</c:v>
                </c:pt>
                <c:pt idx="21">
                  <c:v>257.25</c:v>
                </c:pt>
                <c:pt idx="22">
                  <c:v>260.50080000000003</c:v>
                </c:pt>
                <c:pt idx="24">
                  <c:v>230.11199999999999</c:v>
                </c:pt>
                <c:pt idx="26">
                  <c:v>245.26</c:v>
                </c:pt>
                <c:pt idx="27">
                  <c:v>249.84</c:v>
                </c:pt>
                <c:pt idx="28">
                  <c:v>192.67500000000001</c:v>
                </c:pt>
              </c:numCache>
            </c:numRef>
          </c:xVal>
          <c:yVal>
            <c:numRef>
              <c:f>Summary!$AE$89:$BG$89</c:f>
              <c:numCache>
                <c:formatCode>General</c:formatCode>
                <c:ptCount val="29"/>
                <c:pt idx="7">
                  <c:v>23</c:v>
                </c:pt>
                <c:pt idx="14">
                  <c:v>27</c:v>
                </c:pt>
                <c:pt idx="16">
                  <c:v>23</c:v>
                </c:pt>
                <c:pt idx="17">
                  <c:v>29</c:v>
                </c:pt>
                <c:pt idx="19">
                  <c:v>40.200000000000003</c:v>
                </c:pt>
                <c:pt idx="20">
                  <c:v>39.799999999999997</c:v>
                </c:pt>
                <c:pt idx="21">
                  <c:v>43</c:v>
                </c:pt>
                <c:pt idx="22">
                  <c:v>41.7</c:v>
                </c:pt>
                <c:pt idx="23">
                  <c:v>37.4</c:v>
                </c:pt>
                <c:pt idx="24">
                  <c:v>35.700000000000003</c:v>
                </c:pt>
                <c:pt idx="25">
                  <c:v>35.700000000000003</c:v>
                </c:pt>
                <c:pt idx="26">
                  <c:v>36</c:v>
                </c:pt>
                <c:pt idx="27">
                  <c:v>36</c:v>
                </c:pt>
                <c:pt idx="28">
                  <c:v>29</c:v>
                </c:pt>
              </c:numCache>
            </c:numRef>
          </c:yVal>
          <c:smooth val="0"/>
          <c:extLst>
            <c:ext xmlns:c16="http://schemas.microsoft.com/office/drawing/2014/chart" uri="{C3380CC4-5D6E-409C-BE32-E72D297353CC}">
              <c16:uniqueId val="{0000001C-D3DF-4D08-A8ED-9A75E913A50A}"/>
            </c:ext>
          </c:extLst>
        </c:ser>
        <c:ser>
          <c:idx val="2"/>
          <c:order val="1"/>
          <c:tx>
            <c:v>Attack/Dive Bomber</c:v>
          </c:tx>
          <c:spPr>
            <a:ln w="25400" cap="rnd">
              <a:noFill/>
              <a:round/>
            </a:ln>
            <a:effectLst/>
          </c:spPr>
          <c:marker>
            <c:symbol val="diamond"/>
            <c:size val="9"/>
            <c:spPr>
              <a:solidFill>
                <a:srgbClr val="FF0000"/>
              </a:solidFill>
              <a:ln w="9525">
                <a:solidFill>
                  <a:srgbClr val="FF0000"/>
                </a:solidFill>
              </a:ln>
              <a:effectLst/>
            </c:spPr>
          </c:marker>
          <c:xVal>
            <c:numRef>
              <c:f>Summary!$BI$173:$BP$173</c:f>
              <c:numCache>
                <c:formatCode>General</c:formatCode>
                <c:ptCount val="8"/>
                <c:pt idx="0">
                  <c:v>62.229750000000003</c:v>
                </c:pt>
                <c:pt idx="1">
                  <c:v>125.60599999999999</c:v>
                </c:pt>
                <c:pt idx="3">
                  <c:v>484.08300000000003</c:v>
                </c:pt>
                <c:pt idx="4">
                  <c:v>293.49299999999999</c:v>
                </c:pt>
                <c:pt idx="5">
                  <c:v>383.17500000000001</c:v>
                </c:pt>
                <c:pt idx="7">
                  <c:v>312.322</c:v>
                </c:pt>
              </c:numCache>
            </c:numRef>
          </c:xVal>
          <c:yVal>
            <c:numRef>
              <c:f>Summary!$BI$89:$BP$89</c:f>
              <c:numCache>
                <c:formatCode>General</c:formatCode>
                <c:ptCount val="8"/>
                <c:pt idx="1">
                  <c:v>28</c:v>
                </c:pt>
                <c:pt idx="3">
                  <c:v>147</c:v>
                </c:pt>
                <c:pt idx="4">
                  <c:v>32</c:v>
                </c:pt>
                <c:pt idx="5">
                  <c:v>69</c:v>
                </c:pt>
                <c:pt idx="7">
                  <c:v>53</c:v>
                </c:pt>
              </c:numCache>
            </c:numRef>
          </c:yVal>
          <c:smooth val="0"/>
          <c:extLst>
            <c:ext xmlns:c16="http://schemas.microsoft.com/office/drawing/2014/chart" uri="{C3380CC4-5D6E-409C-BE32-E72D297353CC}">
              <c16:uniqueId val="{00000024-D3DF-4D08-A8ED-9A75E913A50A}"/>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 Take-Off Pwr/100000 [lb*100,999</a:t>
                </a:r>
                <a:r>
                  <a:rPr lang="en-US" baseline="0"/>
                  <a:t> </a:t>
                </a:r>
                <a:r>
                  <a:rPr lang="en-US"/>
                  <a:t>HP]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Wt (lb)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ayout>
        <c:manualLayout>
          <c:xMode val="edge"/>
          <c:yMode val="edge"/>
          <c:x val="0.10166212572773514"/>
          <c:y val="0.11069641294838146"/>
          <c:w val="0.1281102701494426"/>
          <c:h val="6.8171006757649782E-2"/>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Single Engine WWII Aircraft</a:t>
            </a:r>
            <a:r>
              <a:rPr lang="en-US" baseline="0"/>
              <a:t> Tail Area</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5"/>
          <c:order val="0"/>
          <c:tx>
            <c:v>All Fighters</c:v>
          </c:tx>
          <c:spPr>
            <a:ln w="25400" cap="rnd">
              <a:noFill/>
              <a:round/>
            </a:ln>
            <a:effectLst/>
          </c:spPr>
          <c:marker>
            <c:symbol val="dot"/>
            <c:size val="2"/>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1"/>
            <c:dispEq val="1"/>
            <c:trendlineLbl>
              <c:layout>
                <c:manualLayout>
                  <c:x val="0.21917359505571191"/>
                  <c:y val="7.1958178881060177E-3"/>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Summary!$C$147:$BG$147</c:f>
              <c:numCache>
                <c:formatCode>General</c:formatCode>
                <c:ptCount val="5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numCache>
            </c:numRef>
          </c:xVal>
          <c:yVal>
            <c:numRef>
              <c:f>Summary!$C$37:$BP$37</c:f>
              <c:numCache>
                <c:formatCode>General</c:formatCode>
                <c:ptCount val="66"/>
                <c:pt idx="0">
                  <c:v>37.200000000000003</c:v>
                </c:pt>
                <c:pt idx="1">
                  <c:v>54.2</c:v>
                </c:pt>
                <c:pt idx="2">
                  <c:v>68.739999999999995</c:v>
                </c:pt>
                <c:pt idx="3">
                  <c:v>68.740000000000009</c:v>
                </c:pt>
                <c:pt idx="4">
                  <c:v>68.740000000000009</c:v>
                </c:pt>
                <c:pt idx="5">
                  <c:v>69.039999999999992</c:v>
                </c:pt>
                <c:pt idx="6">
                  <c:v>69.039999999999992</c:v>
                </c:pt>
                <c:pt idx="7">
                  <c:v>69.039999999999992</c:v>
                </c:pt>
                <c:pt idx="8">
                  <c:v>71.22</c:v>
                </c:pt>
                <c:pt idx="9">
                  <c:v>69.739999999999995</c:v>
                </c:pt>
                <c:pt idx="10">
                  <c:v>69.739999999999995</c:v>
                </c:pt>
                <c:pt idx="11">
                  <c:v>69.039999999999992</c:v>
                </c:pt>
                <c:pt idx="12">
                  <c:v>86.1</c:v>
                </c:pt>
                <c:pt idx="13">
                  <c:v>86.1</c:v>
                </c:pt>
                <c:pt idx="14">
                  <c:v>80.8</c:v>
                </c:pt>
                <c:pt idx="15">
                  <c:v>61.05</c:v>
                </c:pt>
                <c:pt idx="17">
                  <c:v>58.8</c:v>
                </c:pt>
                <c:pt idx="19">
                  <c:v>59.05</c:v>
                </c:pt>
                <c:pt idx="20">
                  <c:v>59.05</c:v>
                </c:pt>
                <c:pt idx="21">
                  <c:v>60.210000000000008</c:v>
                </c:pt>
                <c:pt idx="22">
                  <c:v>59.01</c:v>
                </c:pt>
                <c:pt idx="23">
                  <c:v>59.01</c:v>
                </c:pt>
                <c:pt idx="24">
                  <c:v>69.489999999999995</c:v>
                </c:pt>
                <c:pt idx="25">
                  <c:v>69.489999999999995</c:v>
                </c:pt>
                <c:pt idx="26">
                  <c:v>70.260000000000005</c:v>
                </c:pt>
                <c:pt idx="28">
                  <c:v>58.7</c:v>
                </c:pt>
                <c:pt idx="29">
                  <c:v>58.7</c:v>
                </c:pt>
                <c:pt idx="30">
                  <c:v>58.7</c:v>
                </c:pt>
                <c:pt idx="31">
                  <c:v>58.7</c:v>
                </c:pt>
                <c:pt idx="32">
                  <c:v>58.7</c:v>
                </c:pt>
                <c:pt idx="33">
                  <c:v>58.7</c:v>
                </c:pt>
                <c:pt idx="34">
                  <c:v>58.7</c:v>
                </c:pt>
                <c:pt idx="35">
                  <c:v>58.7</c:v>
                </c:pt>
                <c:pt idx="36">
                  <c:v>58.7</c:v>
                </c:pt>
                <c:pt idx="37">
                  <c:v>58.7</c:v>
                </c:pt>
                <c:pt idx="38">
                  <c:v>58.7</c:v>
                </c:pt>
                <c:pt idx="39">
                  <c:v>58.7</c:v>
                </c:pt>
                <c:pt idx="40">
                  <c:v>58.7</c:v>
                </c:pt>
                <c:pt idx="41">
                  <c:v>71.63</c:v>
                </c:pt>
                <c:pt idx="42">
                  <c:v>71.63</c:v>
                </c:pt>
                <c:pt idx="43">
                  <c:v>71.63</c:v>
                </c:pt>
                <c:pt idx="44">
                  <c:v>71.63</c:v>
                </c:pt>
                <c:pt idx="45">
                  <c:v>71.63</c:v>
                </c:pt>
                <c:pt idx="47">
                  <c:v>79.900000000000006</c:v>
                </c:pt>
                <c:pt idx="48">
                  <c:v>79.900000000000006</c:v>
                </c:pt>
                <c:pt idx="49">
                  <c:v>79.900000000000006</c:v>
                </c:pt>
                <c:pt idx="50">
                  <c:v>79.900000000000006</c:v>
                </c:pt>
                <c:pt idx="51">
                  <c:v>100.1</c:v>
                </c:pt>
                <c:pt idx="52">
                  <c:v>101.19999999999999</c:v>
                </c:pt>
                <c:pt idx="53">
                  <c:v>100.1</c:v>
                </c:pt>
                <c:pt idx="54">
                  <c:v>100.1</c:v>
                </c:pt>
                <c:pt idx="55">
                  <c:v>100.1</c:v>
                </c:pt>
                <c:pt idx="56">
                  <c:v>69.97</c:v>
                </c:pt>
                <c:pt idx="58">
                  <c:v>90.86</c:v>
                </c:pt>
                <c:pt idx="59">
                  <c:v>93.210000000000008</c:v>
                </c:pt>
                <c:pt idx="62">
                  <c:v>153.10000000000002</c:v>
                </c:pt>
                <c:pt idx="65">
                  <c:v>141.4</c:v>
                </c:pt>
              </c:numCache>
            </c:numRef>
          </c:yVal>
          <c:smooth val="0"/>
          <c:extLst>
            <c:ext xmlns:c16="http://schemas.microsoft.com/office/drawing/2014/chart" uri="{C3380CC4-5D6E-409C-BE32-E72D297353CC}">
              <c16:uniqueId val="{00000001-975B-46EF-826A-8089EA38E9B8}"/>
            </c:ext>
          </c:extLst>
        </c:ser>
        <c:ser>
          <c:idx val="4"/>
          <c:order val="1"/>
          <c:tx>
            <c:v>All</c:v>
          </c:tx>
          <c:spPr>
            <a:ln w="25400" cap="rnd">
              <a:noFill/>
              <a:round/>
            </a:ln>
            <a:effectLst/>
          </c:spPr>
          <c:marker>
            <c:symbol val="dot"/>
            <c:size val="2"/>
            <c:spPr>
              <a:solidFill>
                <a:schemeClr val="accent5"/>
              </a:solidFill>
              <a:ln w="9525">
                <a:solidFill>
                  <a:schemeClr val="accent5"/>
                </a:solidFill>
              </a:ln>
              <a:effectLst/>
            </c:spPr>
          </c:marker>
          <c:xVal>
            <c:numRef>
              <c:f>Summary!$C$147:$CA$147</c:f>
              <c:numCache>
                <c:formatCode>General</c:formatCode>
                <c:ptCount val="77"/>
                <c:pt idx="0">
                  <c:v>2935</c:v>
                </c:pt>
                <c:pt idx="1">
                  <c:v>5599</c:v>
                </c:pt>
                <c:pt idx="2">
                  <c:v>5531</c:v>
                </c:pt>
                <c:pt idx="3">
                  <c:v>5689</c:v>
                </c:pt>
                <c:pt idx="4">
                  <c:v>5919</c:v>
                </c:pt>
                <c:pt idx="6">
                  <c:v>8427</c:v>
                </c:pt>
                <c:pt idx="12">
                  <c:v>13373</c:v>
                </c:pt>
                <c:pt idx="16">
                  <c:v>10119</c:v>
                </c:pt>
                <c:pt idx="17">
                  <c:v>5579</c:v>
                </c:pt>
                <c:pt idx="18">
                  <c:v>7403.5</c:v>
                </c:pt>
                <c:pt idx="20">
                  <c:v>7405</c:v>
                </c:pt>
                <c:pt idx="28">
                  <c:v>4999.55</c:v>
                </c:pt>
                <c:pt idx="29">
                  <c:v>5053</c:v>
                </c:pt>
                <c:pt idx="30">
                  <c:v>5055.2000000000007</c:v>
                </c:pt>
                <c:pt idx="31">
                  <c:v>5409.2</c:v>
                </c:pt>
                <c:pt idx="32">
                  <c:v>5418.5</c:v>
                </c:pt>
                <c:pt idx="33">
                  <c:v>6518.6</c:v>
                </c:pt>
                <c:pt idx="35">
                  <c:v>7229</c:v>
                </c:pt>
                <c:pt idx="37">
                  <c:v>5016</c:v>
                </c:pt>
                <c:pt idx="38">
                  <c:v>5436.9</c:v>
                </c:pt>
                <c:pt idx="39">
                  <c:v>6094.5</c:v>
                </c:pt>
                <c:pt idx="40">
                  <c:v>6112.2</c:v>
                </c:pt>
                <c:pt idx="42">
                  <c:v>6895</c:v>
                </c:pt>
                <c:pt idx="44">
                  <c:v>7879</c:v>
                </c:pt>
                <c:pt idx="45">
                  <c:v>7426</c:v>
                </c:pt>
                <c:pt idx="47">
                  <c:v>11142.599999999999</c:v>
                </c:pt>
                <c:pt idx="48">
                  <c:v>11343.2</c:v>
                </c:pt>
                <c:pt idx="49">
                  <c:v>12250</c:v>
                </c:pt>
                <c:pt idx="50">
                  <c:v>12404.800000000001</c:v>
                </c:pt>
                <c:pt idx="52">
                  <c:v>11505.6</c:v>
                </c:pt>
                <c:pt idx="54">
                  <c:v>12263</c:v>
                </c:pt>
                <c:pt idx="55">
                  <c:v>12492</c:v>
                </c:pt>
                <c:pt idx="56">
                  <c:v>9175</c:v>
                </c:pt>
                <c:pt idx="58">
                  <c:v>7543</c:v>
                </c:pt>
                <c:pt idx="59">
                  <c:v>9662</c:v>
                </c:pt>
                <c:pt idx="61">
                  <c:v>17929</c:v>
                </c:pt>
                <c:pt idx="62">
                  <c:v>15447</c:v>
                </c:pt>
                <c:pt idx="63">
                  <c:v>15327</c:v>
                </c:pt>
                <c:pt idx="65">
                  <c:v>16438</c:v>
                </c:pt>
                <c:pt idx="67">
                  <c:v>2409</c:v>
                </c:pt>
                <c:pt idx="68">
                  <c:v>1835</c:v>
                </c:pt>
                <c:pt idx="69">
                  <c:v>4124</c:v>
                </c:pt>
                <c:pt idx="70">
                  <c:v>4442</c:v>
                </c:pt>
                <c:pt idx="71">
                  <c:v>9769</c:v>
                </c:pt>
                <c:pt idx="72">
                  <c:v>4212</c:v>
                </c:pt>
                <c:pt idx="73">
                  <c:v>5221</c:v>
                </c:pt>
                <c:pt idx="74">
                  <c:v>5212</c:v>
                </c:pt>
                <c:pt idx="75">
                  <c:v>5265</c:v>
                </c:pt>
                <c:pt idx="76">
                  <c:v>2634</c:v>
                </c:pt>
              </c:numCache>
            </c:numRef>
          </c:xVal>
          <c:yVal>
            <c:numRef>
              <c:f>Summary!$C$37:$CA$37</c:f>
              <c:numCache>
                <c:formatCode>General</c:formatCode>
                <c:ptCount val="77"/>
                <c:pt idx="0">
                  <c:v>37.200000000000003</c:v>
                </c:pt>
                <c:pt idx="1">
                  <c:v>54.2</c:v>
                </c:pt>
                <c:pt idx="2">
                  <c:v>68.739999999999995</c:v>
                </c:pt>
                <c:pt idx="3">
                  <c:v>68.740000000000009</c:v>
                </c:pt>
                <c:pt idx="4">
                  <c:v>68.740000000000009</c:v>
                </c:pt>
                <c:pt idx="5">
                  <c:v>69.039999999999992</c:v>
                </c:pt>
                <c:pt idx="6">
                  <c:v>69.039999999999992</c:v>
                </c:pt>
                <c:pt idx="7">
                  <c:v>69.039999999999992</c:v>
                </c:pt>
                <c:pt idx="8">
                  <c:v>71.22</c:v>
                </c:pt>
                <c:pt idx="9">
                  <c:v>69.739999999999995</c:v>
                </c:pt>
                <c:pt idx="10">
                  <c:v>69.739999999999995</c:v>
                </c:pt>
                <c:pt idx="11">
                  <c:v>69.039999999999992</c:v>
                </c:pt>
                <c:pt idx="12">
                  <c:v>86.1</c:v>
                </c:pt>
                <c:pt idx="13">
                  <c:v>86.1</c:v>
                </c:pt>
                <c:pt idx="14">
                  <c:v>80.8</c:v>
                </c:pt>
                <c:pt idx="15">
                  <c:v>61.05</c:v>
                </c:pt>
                <c:pt idx="17">
                  <c:v>58.8</c:v>
                </c:pt>
                <c:pt idx="19">
                  <c:v>59.05</c:v>
                </c:pt>
                <c:pt idx="20">
                  <c:v>59.05</c:v>
                </c:pt>
                <c:pt idx="21">
                  <c:v>60.210000000000008</c:v>
                </c:pt>
                <c:pt idx="22">
                  <c:v>59.01</c:v>
                </c:pt>
                <c:pt idx="23">
                  <c:v>59.01</c:v>
                </c:pt>
                <c:pt idx="24">
                  <c:v>69.489999999999995</c:v>
                </c:pt>
                <c:pt idx="25">
                  <c:v>69.489999999999995</c:v>
                </c:pt>
                <c:pt idx="26">
                  <c:v>70.260000000000005</c:v>
                </c:pt>
                <c:pt idx="28">
                  <c:v>58.7</c:v>
                </c:pt>
                <c:pt idx="29">
                  <c:v>58.7</c:v>
                </c:pt>
                <c:pt idx="30">
                  <c:v>58.7</c:v>
                </c:pt>
                <c:pt idx="31">
                  <c:v>58.7</c:v>
                </c:pt>
                <c:pt idx="32">
                  <c:v>58.7</c:v>
                </c:pt>
                <c:pt idx="33">
                  <c:v>58.7</c:v>
                </c:pt>
                <c:pt idx="34">
                  <c:v>58.7</c:v>
                </c:pt>
                <c:pt idx="35">
                  <c:v>58.7</c:v>
                </c:pt>
                <c:pt idx="36">
                  <c:v>58.7</c:v>
                </c:pt>
                <c:pt idx="37">
                  <c:v>58.7</c:v>
                </c:pt>
                <c:pt idx="38">
                  <c:v>58.7</c:v>
                </c:pt>
                <c:pt idx="39">
                  <c:v>58.7</c:v>
                </c:pt>
                <c:pt idx="40">
                  <c:v>58.7</c:v>
                </c:pt>
                <c:pt idx="41">
                  <c:v>71.63</c:v>
                </c:pt>
                <c:pt idx="42">
                  <c:v>71.63</c:v>
                </c:pt>
                <c:pt idx="43">
                  <c:v>71.63</c:v>
                </c:pt>
                <c:pt idx="44">
                  <c:v>71.63</c:v>
                </c:pt>
                <c:pt idx="45">
                  <c:v>71.63</c:v>
                </c:pt>
                <c:pt idx="47">
                  <c:v>79.900000000000006</c:v>
                </c:pt>
                <c:pt idx="48">
                  <c:v>79.900000000000006</c:v>
                </c:pt>
                <c:pt idx="49">
                  <c:v>79.900000000000006</c:v>
                </c:pt>
                <c:pt idx="50">
                  <c:v>79.900000000000006</c:v>
                </c:pt>
                <c:pt idx="51">
                  <c:v>100.1</c:v>
                </c:pt>
                <c:pt idx="52">
                  <c:v>101.19999999999999</c:v>
                </c:pt>
                <c:pt idx="53">
                  <c:v>100.1</c:v>
                </c:pt>
                <c:pt idx="54">
                  <c:v>100.1</c:v>
                </c:pt>
                <c:pt idx="55">
                  <c:v>100.1</c:v>
                </c:pt>
                <c:pt idx="56">
                  <c:v>69.97</c:v>
                </c:pt>
                <c:pt idx="58">
                  <c:v>90.86</c:v>
                </c:pt>
                <c:pt idx="59">
                  <c:v>93.210000000000008</c:v>
                </c:pt>
                <c:pt idx="62">
                  <c:v>153.10000000000002</c:v>
                </c:pt>
                <c:pt idx="65">
                  <c:v>141.4</c:v>
                </c:pt>
                <c:pt idx="70">
                  <c:v>59.230000000000004</c:v>
                </c:pt>
                <c:pt idx="71">
                  <c:v>63</c:v>
                </c:pt>
                <c:pt idx="72">
                  <c:v>71.7</c:v>
                </c:pt>
                <c:pt idx="74">
                  <c:v>87.19</c:v>
                </c:pt>
                <c:pt idx="75">
                  <c:v>87.19</c:v>
                </c:pt>
              </c:numCache>
            </c:numRef>
          </c:yVal>
          <c:smooth val="0"/>
          <c:extLst>
            <c:ext xmlns:c16="http://schemas.microsoft.com/office/drawing/2014/chart" uri="{C3380CC4-5D6E-409C-BE32-E72D297353CC}">
              <c16:uniqueId val="{00000002-975B-46EF-826A-8089EA38E9B8}"/>
            </c:ext>
          </c:extLst>
        </c:ser>
        <c:ser>
          <c:idx val="0"/>
          <c:order val="2"/>
          <c:tx>
            <c:v>Fighter (USAAC)</c:v>
          </c:tx>
          <c:spPr>
            <a:ln w="25400" cap="rnd">
              <a:noFill/>
              <a:round/>
            </a:ln>
            <a:effectLst/>
          </c:spPr>
          <c:marker>
            <c:symbol val="circle"/>
            <c:size val="9"/>
            <c:spPr>
              <a:solidFill>
                <a:schemeClr val="accent6"/>
              </a:solidFill>
              <a:ln w="9525">
                <a:solidFill>
                  <a:schemeClr val="accent6"/>
                </a:solidFill>
              </a:ln>
              <a:effectLst/>
            </c:spPr>
          </c:marker>
          <c:xVal>
            <c:numRef>
              <c:f>Summary!$C$147:$AC$147</c:f>
              <c:numCache>
                <c:formatCode>General</c:formatCode>
                <c:ptCount val="27"/>
                <c:pt idx="0">
                  <c:v>2935</c:v>
                </c:pt>
                <c:pt idx="1">
                  <c:v>5599</c:v>
                </c:pt>
                <c:pt idx="2">
                  <c:v>5531</c:v>
                </c:pt>
                <c:pt idx="3">
                  <c:v>5689</c:v>
                </c:pt>
                <c:pt idx="4">
                  <c:v>5919</c:v>
                </c:pt>
                <c:pt idx="6">
                  <c:v>8427</c:v>
                </c:pt>
                <c:pt idx="12">
                  <c:v>13373</c:v>
                </c:pt>
                <c:pt idx="16">
                  <c:v>10119</c:v>
                </c:pt>
                <c:pt idx="17">
                  <c:v>5579</c:v>
                </c:pt>
                <c:pt idx="18">
                  <c:v>7403.5</c:v>
                </c:pt>
                <c:pt idx="20">
                  <c:v>7405</c:v>
                </c:pt>
              </c:numCache>
            </c:numRef>
          </c:xVal>
          <c:yVal>
            <c:numRef>
              <c:f>Summary!$C$37:$AC$37</c:f>
              <c:numCache>
                <c:formatCode>General</c:formatCode>
                <c:ptCount val="27"/>
                <c:pt idx="0">
                  <c:v>37.200000000000003</c:v>
                </c:pt>
                <c:pt idx="1">
                  <c:v>54.2</c:v>
                </c:pt>
                <c:pt idx="2">
                  <c:v>68.739999999999995</c:v>
                </c:pt>
                <c:pt idx="3">
                  <c:v>68.740000000000009</c:v>
                </c:pt>
                <c:pt idx="4">
                  <c:v>68.740000000000009</c:v>
                </c:pt>
                <c:pt idx="5">
                  <c:v>69.039999999999992</c:v>
                </c:pt>
                <c:pt idx="6">
                  <c:v>69.039999999999992</c:v>
                </c:pt>
                <c:pt idx="7">
                  <c:v>69.039999999999992</c:v>
                </c:pt>
                <c:pt idx="8">
                  <c:v>71.22</c:v>
                </c:pt>
                <c:pt idx="9">
                  <c:v>69.739999999999995</c:v>
                </c:pt>
                <c:pt idx="10">
                  <c:v>69.739999999999995</c:v>
                </c:pt>
                <c:pt idx="11">
                  <c:v>69.039999999999992</c:v>
                </c:pt>
                <c:pt idx="12">
                  <c:v>86.1</c:v>
                </c:pt>
                <c:pt idx="13">
                  <c:v>86.1</c:v>
                </c:pt>
                <c:pt idx="14">
                  <c:v>80.8</c:v>
                </c:pt>
                <c:pt idx="15">
                  <c:v>61.05</c:v>
                </c:pt>
                <c:pt idx="17">
                  <c:v>58.8</c:v>
                </c:pt>
                <c:pt idx="19">
                  <c:v>59.05</c:v>
                </c:pt>
                <c:pt idx="20">
                  <c:v>59.05</c:v>
                </c:pt>
                <c:pt idx="21">
                  <c:v>60.210000000000008</c:v>
                </c:pt>
                <c:pt idx="22">
                  <c:v>59.01</c:v>
                </c:pt>
                <c:pt idx="23">
                  <c:v>59.01</c:v>
                </c:pt>
                <c:pt idx="24">
                  <c:v>69.489999999999995</c:v>
                </c:pt>
                <c:pt idx="25">
                  <c:v>69.489999999999995</c:v>
                </c:pt>
                <c:pt idx="26">
                  <c:v>70.260000000000005</c:v>
                </c:pt>
              </c:numCache>
            </c:numRef>
          </c:yVal>
          <c:smooth val="0"/>
          <c:extLst>
            <c:ext xmlns:c16="http://schemas.microsoft.com/office/drawing/2014/chart" uri="{C3380CC4-5D6E-409C-BE32-E72D297353CC}">
              <c16:uniqueId val="{00000003-975B-46EF-826A-8089EA38E9B8}"/>
            </c:ext>
          </c:extLst>
        </c:ser>
        <c:ser>
          <c:idx val="1"/>
          <c:order val="3"/>
          <c:tx>
            <c:v>Fighter (USN)</c:v>
          </c:tx>
          <c:spPr>
            <a:ln w="25400" cap="rnd">
              <a:noFill/>
              <a:round/>
            </a:ln>
            <a:effectLst/>
          </c:spPr>
          <c:marker>
            <c:symbol val="square"/>
            <c:size val="9"/>
            <c:spPr>
              <a:solidFill>
                <a:srgbClr val="0070C0"/>
              </a:solidFill>
              <a:ln w="9525">
                <a:solidFill>
                  <a:srgbClr val="0070C0"/>
                </a:solidFill>
              </a:ln>
              <a:effectLst/>
            </c:spPr>
          </c:marker>
          <c:xVal>
            <c:numRef>
              <c:f>Summary!$AE$147:$BG$147</c:f>
              <c:numCache>
                <c:formatCode>General</c:formatCode>
                <c:ptCount val="29"/>
                <c:pt idx="0">
                  <c:v>4999.55</c:v>
                </c:pt>
                <c:pt idx="1">
                  <c:v>5053</c:v>
                </c:pt>
                <c:pt idx="2">
                  <c:v>5055.2000000000007</c:v>
                </c:pt>
                <c:pt idx="3">
                  <c:v>5409.2</c:v>
                </c:pt>
                <c:pt idx="4">
                  <c:v>5418.5</c:v>
                </c:pt>
                <c:pt idx="5">
                  <c:v>6518.6</c:v>
                </c:pt>
                <c:pt idx="7">
                  <c:v>7229</c:v>
                </c:pt>
                <c:pt idx="9">
                  <c:v>5016</c:v>
                </c:pt>
                <c:pt idx="10">
                  <c:v>5436.9</c:v>
                </c:pt>
                <c:pt idx="11">
                  <c:v>6094.5</c:v>
                </c:pt>
                <c:pt idx="12">
                  <c:v>6112.2</c:v>
                </c:pt>
                <c:pt idx="14">
                  <c:v>6895</c:v>
                </c:pt>
                <c:pt idx="16">
                  <c:v>7879</c:v>
                </c:pt>
                <c:pt idx="17">
                  <c:v>7426</c:v>
                </c:pt>
                <c:pt idx="19">
                  <c:v>11142.599999999999</c:v>
                </c:pt>
                <c:pt idx="20">
                  <c:v>11343.2</c:v>
                </c:pt>
                <c:pt idx="21">
                  <c:v>12250</c:v>
                </c:pt>
                <c:pt idx="22">
                  <c:v>12404.800000000001</c:v>
                </c:pt>
                <c:pt idx="24">
                  <c:v>11505.6</c:v>
                </c:pt>
                <c:pt idx="26">
                  <c:v>12263</c:v>
                </c:pt>
                <c:pt idx="27">
                  <c:v>12492</c:v>
                </c:pt>
                <c:pt idx="28">
                  <c:v>9175</c:v>
                </c:pt>
              </c:numCache>
            </c:numRef>
          </c:xVal>
          <c:yVal>
            <c:numRef>
              <c:f>Summary!$AE$37:$BG$37</c:f>
              <c:numCache>
                <c:formatCode>General</c:formatCode>
                <c:ptCount val="29"/>
                <c:pt idx="0">
                  <c:v>58.7</c:v>
                </c:pt>
                <c:pt idx="1">
                  <c:v>58.7</c:v>
                </c:pt>
                <c:pt idx="2">
                  <c:v>58.7</c:v>
                </c:pt>
                <c:pt idx="3">
                  <c:v>58.7</c:v>
                </c:pt>
                <c:pt idx="4">
                  <c:v>58.7</c:v>
                </c:pt>
                <c:pt idx="5">
                  <c:v>58.7</c:v>
                </c:pt>
                <c:pt idx="6">
                  <c:v>58.7</c:v>
                </c:pt>
                <c:pt idx="7">
                  <c:v>58.7</c:v>
                </c:pt>
                <c:pt idx="8">
                  <c:v>58.7</c:v>
                </c:pt>
                <c:pt idx="9">
                  <c:v>58.7</c:v>
                </c:pt>
                <c:pt idx="10">
                  <c:v>58.7</c:v>
                </c:pt>
                <c:pt idx="11">
                  <c:v>58.7</c:v>
                </c:pt>
                <c:pt idx="12">
                  <c:v>58.7</c:v>
                </c:pt>
                <c:pt idx="13">
                  <c:v>71.63</c:v>
                </c:pt>
                <c:pt idx="14">
                  <c:v>71.63</c:v>
                </c:pt>
                <c:pt idx="15">
                  <c:v>71.63</c:v>
                </c:pt>
                <c:pt idx="16">
                  <c:v>71.63</c:v>
                </c:pt>
                <c:pt idx="17">
                  <c:v>71.63</c:v>
                </c:pt>
                <c:pt idx="19">
                  <c:v>79.900000000000006</c:v>
                </c:pt>
                <c:pt idx="20">
                  <c:v>79.900000000000006</c:v>
                </c:pt>
                <c:pt idx="21">
                  <c:v>79.900000000000006</c:v>
                </c:pt>
                <c:pt idx="22">
                  <c:v>79.900000000000006</c:v>
                </c:pt>
                <c:pt idx="23">
                  <c:v>100.1</c:v>
                </c:pt>
                <c:pt idx="24">
                  <c:v>101.19999999999999</c:v>
                </c:pt>
                <c:pt idx="25">
                  <c:v>100.1</c:v>
                </c:pt>
                <c:pt idx="26">
                  <c:v>100.1</c:v>
                </c:pt>
                <c:pt idx="27">
                  <c:v>100.1</c:v>
                </c:pt>
                <c:pt idx="28">
                  <c:v>69.97</c:v>
                </c:pt>
              </c:numCache>
            </c:numRef>
          </c:yVal>
          <c:smooth val="0"/>
          <c:extLst>
            <c:ext xmlns:c16="http://schemas.microsoft.com/office/drawing/2014/chart" uri="{C3380CC4-5D6E-409C-BE32-E72D297353CC}">
              <c16:uniqueId val="{00000004-975B-46EF-826A-8089EA38E9B8}"/>
            </c:ext>
          </c:extLst>
        </c:ser>
        <c:ser>
          <c:idx val="2"/>
          <c:order val="4"/>
          <c:tx>
            <c:v>Attack/Dive Bomber</c:v>
          </c:tx>
          <c:spPr>
            <a:ln w="25400" cap="rnd">
              <a:noFill/>
              <a:round/>
            </a:ln>
            <a:effectLst/>
          </c:spPr>
          <c:marker>
            <c:symbol val="diamond"/>
            <c:size val="9"/>
            <c:spPr>
              <a:solidFill>
                <a:srgbClr val="FF0000"/>
              </a:solidFill>
              <a:ln w="9525">
                <a:solidFill>
                  <a:srgbClr val="FF0000"/>
                </a:solidFill>
              </a:ln>
              <a:effectLst/>
            </c:spPr>
          </c:marker>
          <c:trendline>
            <c:spPr>
              <a:ln w="19050" cap="rnd">
                <a:solidFill>
                  <a:srgbClr val="FF0000"/>
                </a:solidFill>
                <a:prstDash val="sysDot"/>
              </a:ln>
              <a:effectLst/>
            </c:spPr>
            <c:trendlineType val="linear"/>
            <c:dispRSqr val="1"/>
            <c:dispEq val="1"/>
            <c:trendlineLbl>
              <c:layout>
                <c:manualLayout>
                  <c:x val="2.0017355995577408E-3"/>
                  <c:y val="-4.4796845062322455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rgbClr val="FF0000"/>
                      </a:solidFill>
                      <a:latin typeface="+mn-lt"/>
                      <a:ea typeface="+mn-ea"/>
                      <a:cs typeface="+mn-cs"/>
                    </a:defRPr>
                  </a:pPr>
                  <a:endParaRPr lang="en-US"/>
                </a:p>
              </c:txPr>
            </c:trendlineLbl>
          </c:trendline>
          <c:xVal>
            <c:numRef>
              <c:f>Summary!$BI$147:$BP$147</c:f>
              <c:numCache>
                <c:formatCode>General</c:formatCode>
                <c:ptCount val="8"/>
                <c:pt idx="0">
                  <c:v>7543</c:v>
                </c:pt>
                <c:pt idx="1">
                  <c:v>9662</c:v>
                </c:pt>
                <c:pt idx="3">
                  <c:v>17929</c:v>
                </c:pt>
                <c:pt idx="4">
                  <c:v>15447</c:v>
                </c:pt>
                <c:pt idx="5">
                  <c:v>15327</c:v>
                </c:pt>
                <c:pt idx="7">
                  <c:v>16438</c:v>
                </c:pt>
              </c:numCache>
            </c:numRef>
          </c:xVal>
          <c:yVal>
            <c:numRef>
              <c:f>Summary!$BI$37:$BP$37</c:f>
              <c:numCache>
                <c:formatCode>General</c:formatCode>
                <c:ptCount val="8"/>
                <c:pt idx="0">
                  <c:v>90.86</c:v>
                </c:pt>
                <c:pt idx="1">
                  <c:v>93.210000000000008</c:v>
                </c:pt>
                <c:pt idx="4">
                  <c:v>153.10000000000002</c:v>
                </c:pt>
                <c:pt idx="7">
                  <c:v>141.4</c:v>
                </c:pt>
              </c:numCache>
            </c:numRef>
          </c:yVal>
          <c:smooth val="0"/>
          <c:extLst>
            <c:ext xmlns:c16="http://schemas.microsoft.com/office/drawing/2014/chart" uri="{C3380CC4-5D6E-409C-BE32-E72D297353CC}">
              <c16:uniqueId val="{00000006-975B-46EF-826A-8089EA38E9B8}"/>
            </c:ext>
          </c:extLst>
        </c:ser>
        <c:ser>
          <c:idx val="3"/>
          <c:order val="5"/>
          <c:tx>
            <c:v>Trainers</c:v>
          </c:tx>
          <c:spPr>
            <a:ln w="25400" cap="rnd">
              <a:noFill/>
              <a:round/>
            </a:ln>
            <a:effectLst/>
          </c:spPr>
          <c:marker>
            <c:symbol val="triangle"/>
            <c:size val="9"/>
            <c:spPr>
              <a:solidFill>
                <a:srgbClr val="FFC000"/>
              </a:solidFill>
              <a:ln w="9525">
                <a:solidFill>
                  <a:srgbClr val="FFC000"/>
                </a:solidFill>
              </a:ln>
              <a:effectLst/>
            </c:spPr>
          </c:marker>
          <c:xVal>
            <c:numRef>
              <c:f>Summary!$BR$147:$CA$147</c:f>
              <c:numCache>
                <c:formatCode>General</c:formatCode>
                <c:ptCount val="10"/>
                <c:pt idx="0">
                  <c:v>2409</c:v>
                </c:pt>
                <c:pt idx="1">
                  <c:v>1835</c:v>
                </c:pt>
                <c:pt idx="2">
                  <c:v>4124</c:v>
                </c:pt>
                <c:pt idx="3">
                  <c:v>4442</c:v>
                </c:pt>
                <c:pt idx="4">
                  <c:v>9769</c:v>
                </c:pt>
                <c:pt idx="5">
                  <c:v>4212</c:v>
                </c:pt>
                <c:pt idx="6">
                  <c:v>5221</c:v>
                </c:pt>
                <c:pt idx="7">
                  <c:v>5212</c:v>
                </c:pt>
                <c:pt idx="8">
                  <c:v>5265</c:v>
                </c:pt>
                <c:pt idx="9">
                  <c:v>2634</c:v>
                </c:pt>
              </c:numCache>
            </c:numRef>
          </c:xVal>
          <c:yVal>
            <c:numRef>
              <c:f>Summary!$BR$37:$CA$37</c:f>
              <c:numCache>
                <c:formatCode>General</c:formatCode>
                <c:ptCount val="10"/>
                <c:pt idx="3">
                  <c:v>59.230000000000004</c:v>
                </c:pt>
                <c:pt idx="4">
                  <c:v>63</c:v>
                </c:pt>
                <c:pt idx="5">
                  <c:v>71.7</c:v>
                </c:pt>
                <c:pt idx="7">
                  <c:v>87.19</c:v>
                </c:pt>
                <c:pt idx="8">
                  <c:v>87.19</c:v>
                </c:pt>
              </c:numCache>
            </c:numRef>
          </c:yVal>
          <c:smooth val="0"/>
          <c:extLst>
            <c:ext xmlns:c16="http://schemas.microsoft.com/office/drawing/2014/chart" uri="{C3380CC4-5D6E-409C-BE32-E72D297353CC}">
              <c16:uniqueId val="{00000007-975B-46EF-826A-8089EA38E9B8}"/>
            </c:ext>
          </c:extLst>
        </c:ser>
        <c:dLbls>
          <c:showLegendKey val="0"/>
          <c:showVal val="0"/>
          <c:showCatName val="0"/>
          <c:showSerName val="0"/>
          <c:showPercent val="0"/>
          <c:showBubbleSize val="0"/>
        </c:dLbls>
        <c:axId val="642505167"/>
        <c:axId val="649103391"/>
      </c:scatterChart>
      <c:valAx>
        <c:axId val="642505167"/>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Basic Mission Gross Wt (lb)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103391"/>
        <c:crosses val="autoZero"/>
        <c:crossBetween val="midCat"/>
      </c:valAx>
      <c:valAx>
        <c:axId val="64910339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 (sq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cross"/>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505167"/>
        <c:crosses val="autoZero"/>
        <c:crossBetween val="midCat"/>
      </c:valAx>
      <c:spPr>
        <a:noFill/>
        <a:ln w="19050">
          <a:solidFill>
            <a:schemeClr val="tx1"/>
          </a:solidFill>
        </a:ln>
        <a:effectLst/>
      </c:spPr>
    </c:plotArea>
    <c:legend>
      <c:legendPos val="r"/>
      <c:legendEntry>
        <c:idx val="0"/>
        <c:delete val="1"/>
      </c:legendEntry>
      <c:legendEntry>
        <c:idx val="1"/>
        <c:delete val="1"/>
      </c:legendEntry>
      <c:layout>
        <c:manualLayout>
          <c:xMode val="edge"/>
          <c:yMode val="edge"/>
          <c:x val="0.10166212572773514"/>
          <c:y val="0.11069641294838146"/>
          <c:w val="0.21259154848917861"/>
          <c:h val="0.17042751689412441"/>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chart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chart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chartsheets/_rels/sheet33.xml.rels><?xml version="1.0" encoding="UTF-8" standalone="yes"?>
<Relationships xmlns="http://schemas.openxmlformats.org/package/2006/relationships"><Relationship Id="rId1" Type="http://schemas.openxmlformats.org/officeDocument/2006/relationships/drawing" Target="../drawings/drawing35.xml"/></Relationships>
</file>

<file path=xl/chartsheets/_rels/sheet34.xml.rels><?xml version="1.0" encoding="UTF-8" standalone="yes"?>
<Relationships xmlns="http://schemas.openxmlformats.org/package/2006/relationships"><Relationship Id="rId1" Type="http://schemas.openxmlformats.org/officeDocument/2006/relationships/drawing" Target="../drawings/drawing36.xml"/></Relationships>
</file>

<file path=xl/chartsheets/_rels/sheet35.xml.rels><?xml version="1.0" encoding="UTF-8" standalone="yes"?>
<Relationships xmlns="http://schemas.openxmlformats.org/package/2006/relationships"><Relationship Id="rId1" Type="http://schemas.openxmlformats.org/officeDocument/2006/relationships/drawing" Target="../drawings/drawing37.xml"/></Relationships>
</file>

<file path=xl/chartsheets/_rels/sheet36.xml.rels><?xml version="1.0" encoding="UTF-8" standalone="yes"?>
<Relationships xmlns="http://schemas.openxmlformats.org/package/2006/relationships"><Relationship Id="rId1" Type="http://schemas.openxmlformats.org/officeDocument/2006/relationships/drawing" Target="../drawings/drawing38.xml"/></Relationships>
</file>

<file path=xl/chartsheets/_rels/sheet37.xml.rels><?xml version="1.0" encoding="UTF-8" standalone="yes"?>
<Relationships xmlns="http://schemas.openxmlformats.org/package/2006/relationships"><Relationship Id="rId1" Type="http://schemas.openxmlformats.org/officeDocument/2006/relationships/drawing" Target="../drawings/drawing39.xml"/></Relationships>
</file>

<file path=xl/chartsheets/_rels/sheet38.xml.rels><?xml version="1.0" encoding="UTF-8" standalone="yes"?>
<Relationships xmlns="http://schemas.openxmlformats.org/package/2006/relationships"><Relationship Id="rId1" Type="http://schemas.openxmlformats.org/officeDocument/2006/relationships/drawing" Target="../drawings/drawing40.xml"/></Relationships>
</file>

<file path=xl/chartsheets/_rels/sheet39.xml.rels><?xml version="1.0" encoding="UTF-8" standalone="yes"?>
<Relationships xmlns="http://schemas.openxmlformats.org/package/2006/relationships"><Relationship Id="rId1" Type="http://schemas.openxmlformats.org/officeDocument/2006/relationships/drawing" Target="../drawings/drawing41.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0.xml.rels><?xml version="1.0" encoding="UTF-8" standalone="yes"?>
<Relationships xmlns="http://schemas.openxmlformats.org/package/2006/relationships"><Relationship Id="rId1" Type="http://schemas.openxmlformats.org/officeDocument/2006/relationships/drawing" Target="../drawings/drawing42.xml"/></Relationships>
</file>

<file path=xl/chartsheets/_rels/sheet41.xml.rels><?xml version="1.0" encoding="UTF-8" standalone="yes"?>
<Relationships xmlns="http://schemas.openxmlformats.org/package/2006/relationships"><Relationship Id="rId1" Type="http://schemas.openxmlformats.org/officeDocument/2006/relationships/drawing" Target="../drawings/drawing43.xml"/></Relationships>
</file>

<file path=xl/chartsheets/_rels/sheet42.xml.rels><?xml version="1.0" encoding="UTF-8" standalone="yes"?>
<Relationships xmlns="http://schemas.openxmlformats.org/package/2006/relationships"><Relationship Id="rId1" Type="http://schemas.openxmlformats.org/officeDocument/2006/relationships/drawing" Target="../drawings/drawing44.xml"/></Relationships>
</file>

<file path=xl/chartsheets/_rels/sheet43.xml.rels><?xml version="1.0" encoding="UTF-8" standalone="yes"?>
<Relationships xmlns="http://schemas.openxmlformats.org/package/2006/relationships"><Relationship Id="rId1" Type="http://schemas.openxmlformats.org/officeDocument/2006/relationships/drawing" Target="../drawings/drawing45.xml"/></Relationships>
</file>

<file path=xl/chartsheets/_rels/sheet44.xml.rels><?xml version="1.0" encoding="UTF-8" standalone="yes"?>
<Relationships xmlns="http://schemas.openxmlformats.org/package/2006/relationships"><Relationship Id="rId1" Type="http://schemas.openxmlformats.org/officeDocument/2006/relationships/drawing" Target="../drawings/drawing46.xml"/></Relationships>
</file>

<file path=xl/chartsheets/_rels/sheet45.xml.rels><?xml version="1.0" encoding="UTF-8" standalone="yes"?>
<Relationships xmlns="http://schemas.openxmlformats.org/package/2006/relationships"><Relationship Id="rId1" Type="http://schemas.openxmlformats.org/officeDocument/2006/relationships/drawing" Target="../drawings/drawing47.xml"/></Relationships>
</file>

<file path=xl/chartsheets/_rels/sheet46.xml.rels><?xml version="1.0" encoding="UTF-8" standalone="yes"?>
<Relationships xmlns="http://schemas.openxmlformats.org/package/2006/relationships"><Relationship Id="rId1" Type="http://schemas.openxmlformats.org/officeDocument/2006/relationships/drawing" Target="../drawings/drawing48.xml"/></Relationships>
</file>

<file path=xl/chartsheets/_rels/sheet47.xml.rels><?xml version="1.0" encoding="UTF-8" standalone="yes"?>
<Relationships xmlns="http://schemas.openxmlformats.org/package/2006/relationships"><Relationship Id="rId1" Type="http://schemas.openxmlformats.org/officeDocument/2006/relationships/drawing" Target="../drawings/drawing49.xml"/></Relationships>
</file>

<file path=xl/chartsheets/_rels/sheet48.xml.rels><?xml version="1.0" encoding="UTF-8" standalone="yes"?>
<Relationships xmlns="http://schemas.openxmlformats.org/package/2006/relationships"><Relationship Id="rId1" Type="http://schemas.openxmlformats.org/officeDocument/2006/relationships/drawing" Target="../drawings/drawing50.xml"/></Relationships>
</file>

<file path=xl/chartsheets/_rels/sheet49.xml.rels><?xml version="1.0" encoding="UTF-8" standalone="yes"?>
<Relationships xmlns="http://schemas.openxmlformats.org/package/2006/relationships"><Relationship Id="rId1" Type="http://schemas.openxmlformats.org/officeDocument/2006/relationships/drawing" Target="../drawings/drawing51.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0.xml.rels><?xml version="1.0" encoding="UTF-8" standalone="yes"?>
<Relationships xmlns="http://schemas.openxmlformats.org/package/2006/relationships"><Relationship Id="rId1" Type="http://schemas.openxmlformats.org/officeDocument/2006/relationships/drawing" Target="../drawings/drawing52.xml"/></Relationships>
</file>

<file path=xl/chartsheets/_rels/sheet51.xml.rels><?xml version="1.0" encoding="UTF-8" standalone="yes"?>
<Relationships xmlns="http://schemas.openxmlformats.org/package/2006/relationships"><Relationship Id="rId1" Type="http://schemas.openxmlformats.org/officeDocument/2006/relationships/drawing" Target="../drawings/drawing53.xml"/></Relationships>
</file>

<file path=xl/chartsheets/_rels/sheet52.xml.rels><?xml version="1.0" encoding="UTF-8" standalone="yes"?>
<Relationships xmlns="http://schemas.openxmlformats.org/package/2006/relationships"><Relationship Id="rId1" Type="http://schemas.openxmlformats.org/officeDocument/2006/relationships/drawing" Target="../drawings/drawing54.xml"/></Relationships>
</file>

<file path=xl/chartsheets/_rels/sheet53.xml.rels><?xml version="1.0" encoding="UTF-8" standalone="yes"?>
<Relationships xmlns="http://schemas.openxmlformats.org/package/2006/relationships"><Relationship Id="rId1" Type="http://schemas.openxmlformats.org/officeDocument/2006/relationships/drawing" Target="../drawings/drawing55.xml"/></Relationships>
</file>

<file path=xl/chartsheets/_rels/sheet54.xml.rels><?xml version="1.0" encoding="UTF-8" standalone="yes"?>
<Relationships xmlns="http://schemas.openxmlformats.org/package/2006/relationships"><Relationship Id="rId1" Type="http://schemas.openxmlformats.org/officeDocument/2006/relationships/drawing" Target="../drawings/drawing56.xml"/></Relationships>
</file>

<file path=xl/chartsheets/_rels/sheet55.xml.rels><?xml version="1.0" encoding="UTF-8" standalone="yes"?>
<Relationships xmlns="http://schemas.openxmlformats.org/package/2006/relationships"><Relationship Id="rId1" Type="http://schemas.openxmlformats.org/officeDocument/2006/relationships/drawing" Target="../drawings/drawing57.xml"/></Relationships>
</file>

<file path=xl/chartsheets/_rels/sheet56.xml.rels><?xml version="1.0" encoding="UTF-8" standalone="yes"?>
<Relationships xmlns="http://schemas.openxmlformats.org/package/2006/relationships"><Relationship Id="rId1" Type="http://schemas.openxmlformats.org/officeDocument/2006/relationships/drawing" Target="../drawings/drawing58.xml"/></Relationships>
</file>

<file path=xl/chartsheets/_rels/sheet57.xml.rels><?xml version="1.0" encoding="UTF-8" standalone="yes"?>
<Relationships xmlns="http://schemas.openxmlformats.org/package/2006/relationships"><Relationship Id="rId1" Type="http://schemas.openxmlformats.org/officeDocument/2006/relationships/drawing" Target="../drawings/drawing59.xml"/></Relationships>
</file>

<file path=xl/chartsheets/_rels/sheet58.xml.rels><?xml version="1.0" encoding="UTF-8" standalone="yes"?>
<Relationships xmlns="http://schemas.openxmlformats.org/package/2006/relationships"><Relationship Id="rId1" Type="http://schemas.openxmlformats.org/officeDocument/2006/relationships/drawing" Target="../drawings/drawing60.xml"/></Relationships>
</file>

<file path=xl/chartsheets/_rels/sheet59.xml.rels><?xml version="1.0" encoding="UTF-8" standalone="yes"?>
<Relationships xmlns="http://schemas.openxmlformats.org/package/2006/relationships"><Relationship Id="rId1" Type="http://schemas.openxmlformats.org/officeDocument/2006/relationships/drawing" Target="../drawings/drawing61.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60.xml.rels><?xml version="1.0" encoding="UTF-8" standalone="yes"?>
<Relationships xmlns="http://schemas.openxmlformats.org/package/2006/relationships"><Relationship Id="rId1" Type="http://schemas.openxmlformats.org/officeDocument/2006/relationships/drawing" Target="../drawings/drawing62.xml"/></Relationships>
</file>

<file path=xl/chartsheets/_rels/sheet61.xml.rels><?xml version="1.0" encoding="UTF-8" standalone="yes"?>
<Relationships xmlns="http://schemas.openxmlformats.org/package/2006/relationships"><Relationship Id="rId1" Type="http://schemas.openxmlformats.org/officeDocument/2006/relationships/drawing" Target="../drawings/drawing64.xml"/></Relationships>
</file>

<file path=xl/chartsheets/_rels/sheet62.xml.rels><?xml version="1.0" encoding="UTF-8" standalone="yes"?>
<Relationships xmlns="http://schemas.openxmlformats.org/package/2006/relationships"><Relationship Id="rId1" Type="http://schemas.openxmlformats.org/officeDocument/2006/relationships/drawing" Target="../drawings/drawing65.xml"/></Relationships>
</file>

<file path=xl/chartsheets/_rels/sheet63.xml.rels><?xml version="1.0" encoding="UTF-8" standalone="yes"?>
<Relationships xmlns="http://schemas.openxmlformats.org/package/2006/relationships"><Relationship Id="rId1" Type="http://schemas.openxmlformats.org/officeDocument/2006/relationships/drawing" Target="../drawings/drawing66.xml"/></Relationships>
</file>

<file path=xl/chartsheets/_rels/sheet64.xml.rels><?xml version="1.0" encoding="UTF-8" standalone="yes"?>
<Relationships xmlns="http://schemas.openxmlformats.org/package/2006/relationships"><Relationship Id="rId1" Type="http://schemas.openxmlformats.org/officeDocument/2006/relationships/drawing" Target="../drawings/drawing67.xml"/></Relationships>
</file>

<file path=xl/chartsheets/_rels/sheet65.xml.rels><?xml version="1.0" encoding="UTF-8" standalone="yes"?>
<Relationships xmlns="http://schemas.openxmlformats.org/package/2006/relationships"><Relationship Id="rId1" Type="http://schemas.openxmlformats.org/officeDocument/2006/relationships/drawing" Target="../drawings/drawing68.xml"/></Relationships>
</file>

<file path=xl/chartsheets/_rels/sheet66.xml.rels><?xml version="1.0" encoding="UTF-8" standalone="yes"?>
<Relationships xmlns="http://schemas.openxmlformats.org/package/2006/relationships"><Relationship Id="rId1" Type="http://schemas.openxmlformats.org/officeDocument/2006/relationships/drawing" Target="../drawings/drawing69.xml"/></Relationships>
</file>

<file path=xl/chartsheets/_rels/sheet67.xml.rels><?xml version="1.0" encoding="UTF-8" standalone="yes"?>
<Relationships xmlns="http://schemas.openxmlformats.org/package/2006/relationships"><Relationship Id="rId1" Type="http://schemas.openxmlformats.org/officeDocument/2006/relationships/drawing" Target="../drawings/drawing70.xml"/></Relationships>
</file>

<file path=xl/chartsheets/_rels/sheet68.xml.rels><?xml version="1.0" encoding="UTF-8" standalone="yes"?>
<Relationships xmlns="http://schemas.openxmlformats.org/package/2006/relationships"><Relationship Id="rId1" Type="http://schemas.openxmlformats.org/officeDocument/2006/relationships/drawing" Target="../drawings/drawing71.xml"/></Relationships>
</file>

<file path=xl/chartsheets/_rels/sheet69.xml.rels><?xml version="1.0" encoding="UTF-8" standalone="yes"?>
<Relationships xmlns="http://schemas.openxmlformats.org/package/2006/relationships"><Relationship Id="rId1" Type="http://schemas.openxmlformats.org/officeDocument/2006/relationships/drawing" Target="../drawings/drawing7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70.xml.rels><?xml version="1.0" encoding="UTF-8" standalone="yes"?>
<Relationships xmlns="http://schemas.openxmlformats.org/package/2006/relationships"><Relationship Id="rId1" Type="http://schemas.openxmlformats.org/officeDocument/2006/relationships/drawing" Target="../drawings/drawing73.xml"/></Relationships>
</file>

<file path=xl/chartsheets/_rels/sheet71.xml.rels><?xml version="1.0" encoding="UTF-8" standalone="yes"?>
<Relationships xmlns="http://schemas.openxmlformats.org/package/2006/relationships"><Relationship Id="rId1" Type="http://schemas.openxmlformats.org/officeDocument/2006/relationships/drawing" Target="../drawings/drawing74.xml"/></Relationships>
</file>

<file path=xl/chartsheets/_rels/sheet72.xml.rels><?xml version="1.0" encoding="UTF-8" standalone="yes"?>
<Relationships xmlns="http://schemas.openxmlformats.org/package/2006/relationships"><Relationship Id="rId1" Type="http://schemas.openxmlformats.org/officeDocument/2006/relationships/drawing" Target="../drawings/drawing75.xml"/></Relationships>
</file>

<file path=xl/chartsheets/_rels/sheet73.xml.rels><?xml version="1.0" encoding="UTF-8" standalone="yes"?>
<Relationships xmlns="http://schemas.openxmlformats.org/package/2006/relationships"><Relationship Id="rId1" Type="http://schemas.openxmlformats.org/officeDocument/2006/relationships/drawing" Target="../drawings/drawing76.xml"/></Relationships>
</file>

<file path=xl/chartsheets/_rels/sheet74.xml.rels><?xml version="1.0" encoding="UTF-8" standalone="yes"?>
<Relationships xmlns="http://schemas.openxmlformats.org/package/2006/relationships"><Relationship Id="rId1" Type="http://schemas.openxmlformats.org/officeDocument/2006/relationships/drawing" Target="../drawings/drawing77.xml"/></Relationships>
</file>

<file path=xl/chartsheets/_rels/sheet75.xml.rels><?xml version="1.0" encoding="UTF-8" standalone="yes"?>
<Relationships xmlns="http://schemas.openxmlformats.org/package/2006/relationships"><Relationship Id="rId1" Type="http://schemas.openxmlformats.org/officeDocument/2006/relationships/drawing" Target="../drawings/drawing78.xml"/></Relationships>
</file>

<file path=xl/chartsheets/_rels/sheet76.xml.rels><?xml version="1.0" encoding="UTF-8" standalone="yes"?>
<Relationships xmlns="http://schemas.openxmlformats.org/package/2006/relationships"><Relationship Id="rId1" Type="http://schemas.openxmlformats.org/officeDocument/2006/relationships/drawing" Target="../drawings/drawing79.xml"/></Relationships>
</file>

<file path=xl/chartsheets/_rels/sheet77.xml.rels><?xml version="1.0" encoding="UTF-8" standalone="yes"?>
<Relationships xmlns="http://schemas.openxmlformats.org/package/2006/relationships"><Relationship Id="rId1" Type="http://schemas.openxmlformats.org/officeDocument/2006/relationships/drawing" Target="../drawings/drawing80.xml"/></Relationships>
</file>

<file path=xl/chartsheets/_rels/sheet78.xml.rels><?xml version="1.0" encoding="UTF-8" standalone="yes"?>
<Relationships xmlns="http://schemas.openxmlformats.org/package/2006/relationships"><Relationship Id="rId1" Type="http://schemas.openxmlformats.org/officeDocument/2006/relationships/drawing" Target="../drawings/drawing81.xml"/></Relationships>
</file>

<file path=xl/chartsheets/_rels/sheet79.xml.rels><?xml version="1.0" encoding="UTF-8" standalone="yes"?>
<Relationships xmlns="http://schemas.openxmlformats.org/package/2006/relationships"><Relationship Id="rId1" Type="http://schemas.openxmlformats.org/officeDocument/2006/relationships/drawing" Target="../drawings/drawing82.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80.xml.rels><?xml version="1.0" encoding="UTF-8" standalone="yes"?>
<Relationships xmlns="http://schemas.openxmlformats.org/package/2006/relationships"><Relationship Id="rId1" Type="http://schemas.openxmlformats.org/officeDocument/2006/relationships/drawing" Target="../drawings/drawing83.xml"/></Relationships>
</file>

<file path=xl/chartsheets/_rels/sheet81.xml.rels><?xml version="1.0" encoding="UTF-8" standalone="yes"?>
<Relationships xmlns="http://schemas.openxmlformats.org/package/2006/relationships"><Relationship Id="rId1" Type="http://schemas.openxmlformats.org/officeDocument/2006/relationships/drawing" Target="../drawings/drawing84.xml"/></Relationships>
</file>

<file path=xl/chartsheets/_rels/sheet82.xml.rels><?xml version="1.0" encoding="UTF-8" standalone="yes"?>
<Relationships xmlns="http://schemas.openxmlformats.org/package/2006/relationships"><Relationship Id="rId1" Type="http://schemas.openxmlformats.org/officeDocument/2006/relationships/drawing" Target="../drawings/drawing85.xml"/></Relationships>
</file>

<file path=xl/chartsheets/_rels/sheet83.xml.rels><?xml version="1.0" encoding="UTF-8" standalone="yes"?>
<Relationships xmlns="http://schemas.openxmlformats.org/package/2006/relationships"><Relationship Id="rId1" Type="http://schemas.openxmlformats.org/officeDocument/2006/relationships/drawing" Target="../drawings/drawing86.xml"/></Relationships>
</file>

<file path=xl/chartsheets/_rels/sheet84.xml.rels><?xml version="1.0" encoding="UTF-8" standalone="yes"?>
<Relationships xmlns="http://schemas.openxmlformats.org/package/2006/relationships"><Relationship Id="rId1" Type="http://schemas.openxmlformats.org/officeDocument/2006/relationships/drawing" Target="../drawings/drawing87.xml"/></Relationships>
</file>

<file path=xl/chartsheets/_rels/sheet85.xml.rels><?xml version="1.0" encoding="UTF-8" standalone="yes"?>
<Relationships xmlns="http://schemas.openxmlformats.org/package/2006/relationships"><Relationship Id="rId1" Type="http://schemas.openxmlformats.org/officeDocument/2006/relationships/drawing" Target="../drawings/drawing88.xml"/></Relationships>
</file>

<file path=xl/chartsheets/_rels/sheet86.xml.rels><?xml version="1.0" encoding="UTF-8" standalone="yes"?>
<Relationships xmlns="http://schemas.openxmlformats.org/package/2006/relationships"><Relationship Id="rId1" Type="http://schemas.openxmlformats.org/officeDocument/2006/relationships/drawing" Target="../drawings/drawing89.xml"/></Relationships>
</file>

<file path=xl/chartsheets/_rels/sheet87.xml.rels><?xml version="1.0" encoding="UTF-8" standalone="yes"?>
<Relationships xmlns="http://schemas.openxmlformats.org/package/2006/relationships"><Relationship Id="rId1" Type="http://schemas.openxmlformats.org/officeDocument/2006/relationships/drawing" Target="../drawings/drawing90.xml"/></Relationships>
</file>

<file path=xl/chartsheets/_rels/sheet88.xml.rels><?xml version="1.0" encoding="UTF-8" standalone="yes"?>
<Relationships xmlns="http://schemas.openxmlformats.org/package/2006/relationships"><Relationship Id="rId1" Type="http://schemas.openxmlformats.org/officeDocument/2006/relationships/drawing" Target="../drawings/drawing91.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1170E32-C23C-4E3C-96E1-F999BE70C932}">
  <sheetPr>
    <tabColor theme="0" tint="-0.499984740745262"/>
  </sheetPr>
  <sheetViews>
    <sheetView zoomScale="61"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8807259-5E61-4E96-9C93-F9F059CAE9F1}">
  <sheetPr>
    <tabColor theme="2" tint="-0.499984740745262"/>
  </sheetPr>
  <sheetViews>
    <sheetView zoomScale="61"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62D07BA-0E2A-4AF2-8C44-B692E2E909DF}">
  <sheetPr>
    <tabColor theme="2" tint="-0.499984740745262"/>
  </sheetPr>
  <sheetViews>
    <sheetView zoomScale="61"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2A5B50E-3237-421B-A24B-46E10769A7EF}">
  <sheetPr>
    <tabColor theme="8" tint="0.59999389629810485"/>
  </sheetPr>
  <sheetViews>
    <sheetView zoomScale="61"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14E81F7-BFD4-44BF-9FB4-2864D0527F54}">
  <sheetPr>
    <tabColor theme="8" tint="0.59999389629810485"/>
  </sheetPr>
  <sheetViews>
    <sheetView zoomScale="61"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3CA242A-4B34-4F58-878F-17D87948E16D}">
  <sheetPr>
    <tabColor theme="8" tint="0.59999389629810485"/>
  </sheetPr>
  <sheetViews>
    <sheetView zoomScale="61"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685110C-0EF8-4C59-8513-AA64C15BB5F4}">
  <sheetPr>
    <tabColor theme="8" tint="0.59999389629810485"/>
  </sheetPr>
  <sheetViews>
    <sheetView zoomScale="61" workbookViewId="0"/>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1091699-0261-4B8A-AC64-F8380F828DDF}">
  <sheetPr>
    <tabColor theme="8" tint="0.59999389629810485"/>
  </sheetPr>
  <sheetViews>
    <sheetView zoomScale="61" workbookViewId="0"/>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38874C1-7C6C-44FB-B425-90AA6D32E07A}">
  <sheetPr>
    <tabColor theme="8" tint="0.59999389629810485"/>
  </sheetPr>
  <sheetViews>
    <sheetView zoomScale="61" workbookViewId="0"/>
  </sheetViews>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2CFC523-B407-4CCD-B177-36E5D6ADA044}">
  <sheetPr>
    <tabColor theme="8" tint="0.59999389629810485"/>
  </sheetPr>
  <sheetViews>
    <sheetView zoomScale="61" workbookViewId="0"/>
  </sheetViews>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03D2F31-FBAD-41E2-8AEF-BF11B372132C}">
  <sheetPr>
    <tabColor theme="8" tint="0.59999389629810485"/>
  </sheetPr>
  <sheetViews>
    <sheetView zoomScale="61"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9B74231-4F84-4562-88C4-A63B6533C0E9}">
  <sheetPr>
    <tabColor theme="2" tint="-0.499984740745262"/>
  </sheetPr>
  <sheetViews>
    <sheetView zoomScale="61" workbookViewId="0"/>
  </sheetViews>
  <pageMargins left="0.7" right="0.7" top="0.75" bottom="0.75" header="0.3" footer="0.3"/>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B85741E-5A4B-438B-AC7F-FBF364CAB9A0}">
  <sheetPr>
    <tabColor theme="8" tint="0.59999389629810485"/>
  </sheetPr>
  <sheetViews>
    <sheetView zoomScale="61" workbookViewId="0"/>
  </sheetViews>
  <pageMargins left="0.7" right="0.7" top="0.75" bottom="0.75" header="0.3" footer="0.3"/>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C5028DF-C0E8-4059-B5B2-F43ADE0A7315}">
  <sheetPr>
    <tabColor theme="5" tint="0.79998168889431442"/>
  </sheetPr>
  <sheetViews>
    <sheetView zoomScale="61" workbookViewId="0"/>
  </sheetViews>
  <pageMargins left="0.7" right="0.7" top="0.75" bottom="0.75" header="0.3" footer="0.3"/>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1D6DB01-3A3E-422A-8CF1-C14D3722A914}">
  <sheetPr>
    <tabColor theme="5" tint="0.79998168889431442"/>
  </sheetPr>
  <sheetViews>
    <sheetView zoomScale="61" workbookViewId="0"/>
  </sheetViews>
  <pageMargins left="0.7" right="0.7" top="0.75" bottom="0.75" header="0.3" footer="0.3"/>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FCEF40C-C22A-408A-8E1C-E56CEAD73AFB}">
  <sheetPr>
    <tabColor theme="5" tint="0.79998168889431442"/>
  </sheetPr>
  <sheetViews>
    <sheetView zoomScale="61" workbookViewId="0"/>
  </sheetViews>
  <pageMargins left="0.7" right="0.7" top="0.75" bottom="0.75" header="0.3" footer="0.3"/>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9E43174-41FA-48B9-BB16-0C9638B7EE2A}">
  <sheetPr>
    <tabColor theme="5" tint="0.79998168889431442"/>
  </sheetPr>
  <sheetViews>
    <sheetView zoomScale="61" workbookViewId="0"/>
  </sheetViews>
  <pageMargins left="0.7" right="0.7" top="0.75" bottom="0.75" header="0.3" footer="0.3"/>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A255812-C1FC-4F07-9C13-C772F3753282}">
  <sheetPr>
    <tabColor theme="5"/>
  </sheetPr>
  <sheetViews>
    <sheetView zoomScale="61" workbookViewId="0"/>
  </sheetViews>
  <pageMargins left="0.7" right="0.7" top="0.75" bottom="0.75" header="0.3" footer="0.3"/>
  <drawing r:id="rId1"/>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31F542D-C2EA-4707-9264-F90AE2D33B5B}">
  <sheetPr>
    <tabColor theme="0" tint="-0.499984740745262"/>
  </sheetPr>
  <sheetViews>
    <sheetView zoomScale="61" workbookViewId="0"/>
  </sheetViews>
  <pageMargins left="0.7" right="0.7" top="0.75" bottom="0.75" header="0.3" footer="0.3"/>
  <drawing r:id="rId1"/>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2661742-C6F4-4A9C-9E74-1FECE0EF6E96}">
  <sheetPr>
    <tabColor theme="7" tint="-0.249977111117893"/>
  </sheetPr>
  <sheetViews>
    <sheetView zoomScale="61" workbookViewId="0"/>
  </sheetViews>
  <pageMargins left="0.7" right="0.7" top="0.75" bottom="0.75" header="0.3" footer="0.3"/>
  <drawing r:id="rId1"/>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7DB7548-C4EF-478B-83A8-9BD211FA3D2F}">
  <sheetPr>
    <tabColor theme="7" tint="0.39997558519241921"/>
  </sheetPr>
  <sheetViews>
    <sheetView zoomScale="61" workbookViewId="0"/>
  </sheetViews>
  <pageMargins left="0.7" right="0.7" top="0.75" bottom="0.75" header="0.3" footer="0.3"/>
  <drawing r:id="rId1"/>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90C8DE4-3735-46B5-89B4-AA6DC1B455CB}">
  <sheetPr>
    <tabColor theme="7" tint="0.39997558519241921"/>
  </sheetPr>
  <sheetViews>
    <sheetView zoomScale="61"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106E4EC-240F-4585-8664-241CA8096E5B}">
  <sheetPr>
    <tabColor theme="2" tint="-0.499984740745262"/>
  </sheetPr>
  <sheetViews>
    <sheetView zoomScale="61" workbookViewId="0"/>
  </sheetViews>
  <pageMargins left="0.7" right="0.7" top="0.75" bottom="0.75" header="0.3" footer="0.3"/>
  <drawing r:id="rId1"/>
</chartsheet>
</file>

<file path=xl/chartsheets/sheet3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69F7031-AFEC-42B1-8B1F-1C9100EEAFB7}">
  <sheetPr>
    <tabColor theme="7" tint="0.39997558519241921"/>
  </sheetPr>
  <sheetViews>
    <sheetView zoomScale="61" workbookViewId="0"/>
  </sheetViews>
  <pageMargins left="0.7" right="0.7" top="0.75" bottom="0.75" header="0.3" footer="0.3"/>
  <drawing r:id="rId1"/>
</chartsheet>
</file>

<file path=xl/chartsheets/sheet3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D4CF4C7-F521-4DDE-BF2D-7A1CD1F02C2F}">
  <sheetPr>
    <tabColor theme="7" tint="0.39997558519241921"/>
  </sheetPr>
  <sheetViews>
    <sheetView zoomScale="61" workbookViewId="0"/>
  </sheetViews>
  <pageMargins left="0.7" right="0.7" top="0.75" bottom="0.75" header="0.3" footer="0.3"/>
  <drawing r:id="rId1"/>
</chartsheet>
</file>

<file path=xl/chartsheets/sheet3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7E2256E-045F-439A-A3B3-642E8EAC049B}">
  <sheetPr>
    <tabColor theme="7" tint="0.39997558519241921"/>
  </sheetPr>
  <sheetViews>
    <sheetView zoomScale="61" workbookViewId="0"/>
  </sheetViews>
  <pageMargins left="0.7" right="0.7" top="0.75" bottom="0.75" header="0.3" footer="0.3"/>
  <drawing r:id="rId1"/>
</chartsheet>
</file>

<file path=xl/chartsheets/sheet3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8F82E19-A28B-455B-872C-F8C8A545CFBC}">
  <sheetPr>
    <tabColor theme="7" tint="0.39997558519241921"/>
  </sheetPr>
  <sheetViews>
    <sheetView zoomScale="61" workbookViewId="0"/>
  </sheetViews>
  <pageMargins left="0.7" right="0.7" top="0.75" bottom="0.75" header="0.3" footer="0.3"/>
  <drawing r:id="rId1"/>
</chartsheet>
</file>

<file path=xl/chartsheets/sheet3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E194879-9AB4-47B9-A4C3-91514000B1A7}">
  <sheetPr>
    <tabColor theme="7" tint="0.39997558519241921"/>
  </sheetPr>
  <sheetViews>
    <sheetView zoomScale="61" workbookViewId="0"/>
  </sheetViews>
  <pageMargins left="0.7" right="0.7" top="0.75" bottom="0.75" header="0.3" footer="0.3"/>
  <drawing r:id="rId1"/>
</chartsheet>
</file>

<file path=xl/chartsheets/sheet3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8EB5264-4689-49E7-8752-84DAD1B1D4AA}">
  <sheetPr>
    <tabColor theme="7" tint="0.39997558519241921"/>
  </sheetPr>
  <sheetViews>
    <sheetView zoomScale="61" workbookViewId="0"/>
  </sheetViews>
  <pageMargins left="0.7" right="0.7" top="0.75" bottom="0.75" header="0.3" footer="0.3"/>
  <drawing r:id="rId1"/>
</chartsheet>
</file>

<file path=xl/chartsheets/sheet3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08D6C99-15AC-4137-BC7E-846A6B030AE4}">
  <sheetPr>
    <tabColor theme="7" tint="0.39997558519241921"/>
  </sheetPr>
  <sheetViews>
    <sheetView zoomScale="61" workbookViewId="0"/>
  </sheetViews>
  <pageMargins left="0.7" right="0.7" top="0.75" bottom="0.75" header="0.3" footer="0.3"/>
  <drawing r:id="rId1"/>
</chartsheet>
</file>

<file path=xl/chartsheets/sheet3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2C02DDF-5F85-498C-B330-3B5107A8E732}">
  <sheetPr>
    <tabColor theme="7" tint="0.39997558519241921"/>
  </sheetPr>
  <sheetViews>
    <sheetView zoomScale="61" workbookViewId="0"/>
  </sheetViews>
  <pageMargins left="0.7" right="0.7" top="0.75" bottom="0.75" header="0.3" footer="0.3"/>
  <drawing r:id="rId1"/>
</chartsheet>
</file>

<file path=xl/chartsheets/sheet3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6CBFD1-37BF-44B7-9859-17E3DCA7DF96}">
  <sheetPr>
    <tabColor theme="7" tint="0.39997558519241921"/>
  </sheetPr>
  <sheetViews>
    <sheetView zoomScale="61" workbookViewId="0"/>
  </sheetViews>
  <pageMargins left="0.7" right="0.7" top="0.75" bottom="0.75" header="0.3" footer="0.3"/>
  <drawing r:id="rId1"/>
</chartsheet>
</file>

<file path=xl/chartsheets/sheet3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E55FC9A-DAFC-44B4-8C25-9DF7EAA6BFC1}">
  <sheetPr>
    <tabColor theme="8"/>
  </sheetPr>
  <sheetViews>
    <sheetView zoomScale="61"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E3A098F-DD68-42AB-BA08-E8BC29EC1556}">
  <sheetPr>
    <tabColor theme="2" tint="-0.499984740745262"/>
  </sheetPr>
  <sheetViews>
    <sheetView zoomScale="61" workbookViewId="0"/>
  </sheetViews>
  <pageMargins left="0.7" right="0.7" top="0.75" bottom="0.75" header="0.3" footer="0.3"/>
  <drawing r:id="rId1"/>
</chartsheet>
</file>

<file path=xl/chartsheets/sheet4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95A1861-EEDB-477D-B5AB-0C32AA4674B2}">
  <sheetPr>
    <tabColor theme="8"/>
  </sheetPr>
  <sheetViews>
    <sheetView zoomScale="61" workbookViewId="0"/>
  </sheetViews>
  <pageMargins left="0.7" right="0.7" top="0.75" bottom="0.75" header="0.3" footer="0.3"/>
  <drawing r:id="rId1"/>
</chartsheet>
</file>

<file path=xl/chartsheets/sheet4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00E074-5561-4187-A0EC-9FF9BF319EC5}">
  <sheetPr>
    <tabColor theme="8"/>
  </sheetPr>
  <sheetViews>
    <sheetView zoomScale="61" workbookViewId="0"/>
  </sheetViews>
  <pageMargins left="0.7" right="0.7" top="0.75" bottom="0.75" header="0.3" footer="0.3"/>
  <drawing r:id="rId1"/>
</chartsheet>
</file>

<file path=xl/chartsheets/sheet4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86A2BBD-F61B-4F64-BCE6-C474E83A9051}">
  <sheetPr>
    <tabColor theme="8"/>
  </sheetPr>
  <sheetViews>
    <sheetView zoomScale="61" workbookViewId="0"/>
  </sheetViews>
  <pageMargins left="0.7" right="0.7" top="0.75" bottom="0.75" header="0.3" footer="0.3"/>
  <drawing r:id="rId1"/>
</chartsheet>
</file>

<file path=xl/chartsheets/sheet4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BCDF98F-92EF-4E00-A69E-4321177AA42A}">
  <sheetPr>
    <tabColor theme="8"/>
  </sheetPr>
  <sheetViews>
    <sheetView zoomScale="61" workbookViewId="0"/>
  </sheetViews>
  <pageMargins left="0.7" right="0.7" top="0.75" bottom="0.75" header="0.3" footer="0.3"/>
  <drawing r:id="rId1"/>
</chartsheet>
</file>

<file path=xl/chartsheets/sheet4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1FF7F1A-4F52-4BF7-93EF-1C030348302D}">
  <sheetPr>
    <tabColor theme="8"/>
  </sheetPr>
  <sheetViews>
    <sheetView zoomScale="61" workbookViewId="0"/>
  </sheetViews>
  <pageMargins left="0.7" right="0.7" top="0.75" bottom="0.75" header="0.3" footer="0.3"/>
  <drawing r:id="rId1"/>
</chartsheet>
</file>

<file path=xl/chartsheets/sheet4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3B85AF5-357D-4885-83BB-6F9286DC76E0}">
  <sheetPr>
    <tabColor theme="8"/>
  </sheetPr>
  <sheetViews>
    <sheetView zoomScale="61" workbookViewId="0"/>
  </sheetViews>
  <pageMargins left="0.7" right="0.7" top="0.75" bottom="0.75" header="0.3" footer="0.3"/>
  <drawing r:id="rId1"/>
</chartsheet>
</file>

<file path=xl/chartsheets/sheet4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48C930C-FFB7-4035-B089-9CD19375032D}">
  <sheetPr>
    <tabColor theme="8"/>
  </sheetPr>
  <sheetViews>
    <sheetView zoomScale="61" workbookViewId="0"/>
  </sheetViews>
  <pageMargins left="0.7" right="0.7" top="0.75" bottom="0.75" header="0.3" footer="0.3"/>
  <drawing r:id="rId1"/>
</chartsheet>
</file>

<file path=xl/chartsheets/sheet4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FB4B70E-D520-4046-8E9C-9B591E63FBC3}">
  <sheetPr>
    <tabColor theme="8"/>
  </sheetPr>
  <sheetViews>
    <sheetView zoomScale="61" workbookViewId="0"/>
  </sheetViews>
  <pageMargins left="0.7" right="0.7" top="0.75" bottom="0.75" header="0.3" footer="0.3"/>
  <drawing r:id="rId1"/>
</chartsheet>
</file>

<file path=xl/chartsheets/sheet4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0DEC924-0904-4976-ADC5-C02864EB2308}">
  <sheetPr>
    <tabColor theme="8"/>
  </sheetPr>
  <sheetViews>
    <sheetView zoomScale="61" workbookViewId="0"/>
  </sheetViews>
  <pageMargins left="0.7" right="0.7" top="0.75" bottom="0.75" header="0.3" footer="0.3"/>
  <drawing r:id="rId1"/>
</chartsheet>
</file>

<file path=xl/chartsheets/sheet4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E331B0D-0538-44CF-8B38-52A916A9ACC4}">
  <sheetPr>
    <tabColor theme="8"/>
  </sheetPr>
  <sheetViews>
    <sheetView zoomScale="61"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87827A7-0AAB-41CA-A4E4-8A0E579D2C60}">
  <sheetPr>
    <tabColor theme="2" tint="-0.499984740745262"/>
  </sheetPr>
  <sheetViews>
    <sheetView zoomScale="61" workbookViewId="0"/>
  </sheetViews>
  <pageMargins left="0.7" right="0.7" top="0.75" bottom="0.75" header="0.3" footer="0.3"/>
  <drawing r:id="rId1"/>
</chartsheet>
</file>

<file path=xl/chartsheets/sheet5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A217611-D12F-4CCB-82B8-FC874DBDF15D}">
  <sheetPr>
    <tabColor theme="8"/>
  </sheetPr>
  <sheetViews>
    <sheetView zoomScale="61" workbookViewId="0"/>
  </sheetViews>
  <pageMargins left="0.7" right="0.7" top="0.75" bottom="0.75" header="0.3" footer="0.3"/>
  <drawing r:id="rId1"/>
</chartsheet>
</file>

<file path=xl/chartsheets/sheet5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4FFC073-ABDC-4C4D-9DD2-479DBA644A7E}">
  <sheetPr>
    <tabColor theme="8"/>
  </sheetPr>
  <sheetViews>
    <sheetView zoomScale="61" workbookViewId="0"/>
  </sheetViews>
  <pageMargins left="0.7" right="0.7" top="0.75" bottom="0.75" header="0.3" footer="0.3"/>
  <drawing r:id="rId1"/>
</chartsheet>
</file>

<file path=xl/chartsheets/sheet5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E0B79A4-097C-41D5-8977-CBCB7FF15136}">
  <sheetPr>
    <tabColor theme="8" tint="0.39997558519241921"/>
  </sheetPr>
  <sheetViews>
    <sheetView zoomScale="60" workbookViewId="0" zoomToFit="1"/>
  </sheetViews>
  <pageMargins left="0.7" right="0.7" top="0.75" bottom="0.75" header="0.3" footer="0.3"/>
  <drawing r:id="rId1"/>
</chartsheet>
</file>

<file path=xl/chartsheets/sheet5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6CA47CD-0301-4546-B8F1-89C9694AED63}">
  <sheetPr>
    <tabColor theme="8" tint="0.39997558519241921"/>
  </sheetPr>
  <sheetViews>
    <sheetView zoomScale="60" workbookViewId="0" zoomToFit="1"/>
  </sheetViews>
  <pageMargins left="0.7" right="0.7" top="0.75" bottom="0.75" header="0.3" footer="0.3"/>
  <drawing r:id="rId1"/>
</chartsheet>
</file>

<file path=xl/chartsheets/sheet5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7553064-FE21-4E52-9057-30E6709386EA}">
  <sheetPr>
    <tabColor theme="8" tint="0.39997558519241921"/>
  </sheetPr>
  <sheetViews>
    <sheetView zoomScale="60" workbookViewId="0" zoomToFit="1"/>
  </sheetViews>
  <pageMargins left="0.7" right="0.7" top="0.75" bottom="0.75" header="0.3" footer="0.3"/>
  <drawing r:id="rId1"/>
</chartsheet>
</file>

<file path=xl/chartsheets/sheet5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2E4FF35-7593-4AD2-8DE0-B8814F25B1A9}">
  <sheetPr>
    <tabColor theme="8" tint="0.39997558519241921"/>
  </sheetPr>
  <sheetViews>
    <sheetView zoomScale="60" workbookViewId="0" zoomToFit="1"/>
  </sheetViews>
  <pageMargins left="0.7" right="0.7" top="0.75" bottom="0.75" header="0.3" footer="0.3"/>
  <drawing r:id="rId1"/>
</chartsheet>
</file>

<file path=xl/chartsheets/sheet5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4E63E94-E1BD-4ECE-8518-CCEF130C0F02}">
  <sheetPr>
    <tabColor theme="8" tint="0.59999389629810485"/>
  </sheetPr>
  <sheetViews>
    <sheetView zoomScale="61" workbookViewId="0"/>
  </sheetViews>
  <pageMargins left="0.7" right="0.7" top="0.75" bottom="0.75" header="0.3" footer="0.3"/>
  <drawing r:id="rId1"/>
</chartsheet>
</file>

<file path=xl/chartsheets/sheet5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A0D2643-45F2-4168-BA67-B18068344F81}">
  <sheetPr>
    <tabColor theme="8" tint="0.59999389629810485"/>
  </sheetPr>
  <sheetViews>
    <sheetView zoomScale="61" workbookViewId="0"/>
  </sheetViews>
  <pageMargins left="0.7" right="0.7" top="0.75" bottom="0.75" header="0.3" footer="0.3"/>
  <drawing r:id="rId1"/>
</chartsheet>
</file>

<file path=xl/chartsheets/sheet5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B134EA-45A9-441D-88AA-CA55922C147D}">
  <sheetPr>
    <tabColor theme="8" tint="0.59999389629810485"/>
  </sheetPr>
  <sheetViews>
    <sheetView zoomScale="61" workbookViewId="0"/>
  </sheetViews>
  <pageMargins left="0.7" right="0.7" top="0.75" bottom="0.75" header="0.3" footer="0.3"/>
  <drawing r:id="rId1"/>
</chartsheet>
</file>

<file path=xl/chartsheets/sheet5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ADA119-5A31-45B6-B464-4D905D07C700}">
  <sheetPr>
    <tabColor theme="8" tint="0.59999389629810485"/>
  </sheetPr>
  <sheetViews>
    <sheetView zoomScale="61"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38E3ED0-C4DD-48DE-8BE1-14AC96BFB358}">
  <sheetPr>
    <tabColor theme="2" tint="-0.499984740745262"/>
  </sheetPr>
  <sheetViews>
    <sheetView zoomScale="61" workbookViewId="0"/>
  </sheetViews>
  <pageMargins left="0.7" right="0.7" top="0.75" bottom="0.75" header="0.3" footer="0.3"/>
  <drawing r:id="rId1"/>
</chartsheet>
</file>

<file path=xl/chartsheets/sheet6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A909632-BBF3-4120-9036-CEA6AC638C94}">
  <sheetPr>
    <tabColor theme="8" tint="0.59999389629810485"/>
  </sheetPr>
  <sheetViews>
    <sheetView zoomScale="61" workbookViewId="0"/>
  </sheetViews>
  <pageMargins left="0.7" right="0.7" top="0.75" bottom="0.75" header="0.3" footer="0.3"/>
  <drawing r:id="rId1"/>
</chartsheet>
</file>

<file path=xl/chartsheets/sheet6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607FC00-BBBA-470B-B09F-252AEE798AE9}">
  <sheetPr>
    <tabColor theme="8" tint="0.59999389629810485"/>
  </sheetPr>
  <sheetViews>
    <sheetView tabSelected="1" zoomScale="61" workbookViewId="0"/>
  </sheetViews>
  <pageMargins left="0.7" right="0.7" top="0.75" bottom="0.75" header="0.3" footer="0.3"/>
  <drawing r:id="rId1"/>
</chartsheet>
</file>

<file path=xl/chartsheets/sheet6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0253CEE-5C4D-4626-903E-849C6907EDFA}">
  <sheetPr>
    <tabColor theme="8" tint="0.59999389629810485"/>
  </sheetPr>
  <sheetViews>
    <sheetView zoomScale="61" workbookViewId="0"/>
  </sheetViews>
  <pageMargins left="0.7" right="0.7" top="0.75" bottom="0.75" header="0.3" footer="0.3"/>
  <drawing r:id="rId1"/>
</chartsheet>
</file>

<file path=xl/chartsheets/sheet6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1CD8D07-36E8-4A41-9A3D-ECE417CD88DA}">
  <sheetPr>
    <tabColor theme="8" tint="0.59999389629810485"/>
  </sheetPr>
  <sheetViews>
    <sheetView zoomScale="61" workbookViewId="0"/>
  </sheetViews>
  <pageMargins left="0.7" right="0.7" top="0.75" bottom="0.75" header="0.3" footer="0.3"/>
  <drawing r:id="rId1"/>
</chartsheet>
</file>

<file path=xl/chartsheets/sheet6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FC76B6B-61E2-4590-8046-0144CB825B3D}">
  <sheetPr>
    <tabColor theme="8" tint="0.59999389629810485"/>
  </sheetPr>
  <sheetViews>
    <sheetView zoomScale="61" workbookViewId="0"/>
  </sheetViews>
  <pageMargins left="0.7" right="0.7" top="0.75" bottom="0.75" header="0.3" footer="0.3"/>
  <drawing r:id="rId1"/>
</chartsheet>
</file>

<file path=xl/chartsheets/sheet6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A204167-AC15-4D53-9E36-2EF5B4B38704}">
  <sheetPr>
    <tabColor theme="9" tint="-0.499984740745262"/>
  </sheetPr>
  <sheetViews>
    <sheetView zoomScale="61" workbookViewId="0"/>
  </sheetViews>
  <pageMargins left="0.7" right="0.7" top="0.75" bottom="0.75" header="0.3" footer="0.3"/>
  <drawing r:id="rId1"/>
</chartsheet>
</file>

<file path=xl/chartsheets/sheet6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ACE0830-D251-46DD-807F-6038B3D7EED3}">
  <sheetPr>
    <tabColor theme="9" tint="-0.249977111117893"/>
  </sheetPr>
  <sheetViews>
    <sheetView zoomScale="60" workbookViewId="0" zoomToFit="1"/>
  </sheetViews>
  <pageMargins left="0.7" right="0.7" top="0.75" bottom="0.75" header="0.3" footer="0.3"/>
  <drawing r:id="rId1"/>
</chartsheet>
</file>

<file path=xl/chartsheets/sheet6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BD440D1-91AD-491A-B313-0BAC68E56E1E}">
  <sheetPr>
    <tabColor theme="9" tint="-0.249977111117893"/>
  </sheetPr>
  <sheetViews>
    <sheetView zoomScale="60" workbookViewId="0" zoomToFit="1"/>
  </sheetViews>
  <pageMargins left="0.7" right="0.7" top="0.75" bottom="0.75" header="0.3" footer="0.3"/>
  <drawing r:id="rId1"/>
</chartsheet>
</file>

<file path=xl/chartsheets/sheet6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EF715D2-A781-4AD6-BEC8-648693664678}">
  <sheetPr>
    <tabColor theme="9" tint="-0.249977111117893"/>
  </sheetPr>
  <sheetViews>
    <sheetView zoomScale="61" workbookViewId="0"/>
  </sheetViews>
  <pageMargins left="0.7" right="0.7" top="0.75" bottom="0.75" header="0.3" footer="0.3"/>
  <drawing r:id="rId1"/>
</chartsheet>
</file>

<file path=xl/chartsheets/sheet6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DC6BC68-D4B7-4727-B995-0B1D28134F61}">
  <sheetPr>
    <tabColor theme="9" tint="-0.249977111117893"/>
  </sheetPr>
  <sheetViews>
    <sheetView zoomScale="60"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6EAC5BD-8E59-4C3D-9BBD-36C7335B2D11}">
  <sheetPr>
    <tabColor theme="2" tint="-0.499984740745262"/>
  </sheetPr>
  <sheetViews>
    <sheetView zoomScale="61" workbookViewId="0"/>
  </sheetViews>
  <pageMargins left="0.7" right="0.7" top="0.75" bottom="0.75" header="0.3" footer="0.3"/>
  <drawing r:id="rId1"/>
</chartsheet>
</file>

<file path=xl/chartsheets/sheet7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77603CC-BC95-4A85-8EC0-A6E232A56D78}">
  <sheetPr>
    <tabColor theme="9" tint="-0.249977111117893"/>
  </sheetPr>
  <sheetViews>
    <sheetView zoomScale="60" workbookViewId="0" zoomToFit="1"/>
  </sheetViews>
  <pageMargins left="0.7" right="0.7" top="0.75" bottom="0.75" header="0.3" footer="0.3"/>
  <drawing r:id="rId1"/>
</chartsheet>
</file>

<file path=xl/chartsheets/sheet7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9653E6-3F01-40BC-A75C-A0A690BEFB09}">
  <sheetPr>
    <tabColor theme="9" tint="-0.249977111117893"/>
  </sheetPr>
  <sheetViews>
    <sheetView zoomScale="61" workbookViewId="0"/>
  </sheetViews>
  <pageMargins left="0.7" right="0.7" top="0.75" bottom="0.75" header="0.3" footer="0.3"/>
  <drawing r:id="rId1"/>
</chartsheet>
</file>

<file path=xl/chartsheets/sheet7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53C9757-E295-4310-94B8-4083EDA92FA3}">
  <sheetPr>
    <tabColor theme="9" tint="0.39997558519241921"/>
  </sheetPr>
  <sheetViews>
    <sheetView zoomScale="60" workbookViewId="0" zoomToFit="1"/>
  </sheetViews>
  <pageMargins left="0.7" right="0.7" top="0.75" bottom="0.75" header="0.3" footer="0.3"/>
  <drawing r:id="rId1"/>
</chartsheet>
</file>

<file path=xl/chartsheets/sheet7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E62AFDC-454B-494E-A854-2EA1C2E1607E}">
  <sheetPr>
    <tabColor theme="9" tint="0.39997558519241921"/>
  </sheetPr>
  <sheetViews>
    <sheetView zoomScale="61" workbookViewId="0"/>
  </sheetViews>
  <pageMargins left="0.7" right="0.7" top="0.75" bottom="0.75" header="0.3" footer="0.3"/>
  <drawing r:id="rId1"/>
</chartsheet>
</file>

<file path=xl/chartsheets/sheet7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A4199C3-7721-457C-9848-1CBDA46CA5FA}">
  <sheetPr>
    <tabColor theme="9" tint="0.39997558519241921"/>
  </sheetPr>
  <sheetViews>
    <sheetView zoomScale="60" workbookViewId="0" zoomToFit="1"/>
  </sheetViews>
  <pageMargins left="0.7" right="0.7" top="0.75" bottom="0.75" header="0.3" footer="0.3"/>
  <drawing r:id="rId1"/>
</chartsheet>
</file>

<file path=xl/chartsheets/sheet7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F187E86-55D8-4811-9BBB-BA45BB628179}">
  <sheetPr>
    <tabColor theme="9" tint="0.39997558519241921"/>
  </sheetPr>
  <sheetViews>
    <sheetView zoomScale="60" workbookViewId="0" zoomToFit="1"/>
  </sheetViews>
  <pageMargins left="0.7" right="0.7" top="0.75" bottom="0.75" header="0.3" footer="0.3"/>
  <drawing r:id="rId1"/>
</chartsheet>
</file>

<file path=xl/chartsheets/sheet7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622AE21-E03B-4FC0-9E2C-A23309C6CC5C}">
  <sheetPr>
    <tabColor theme="9" tint="0.39997558519241921"/>
  </sheetPr>
  <sheetViews>
    <sheetView zoomScale="60" workbookViewId="0" zoomToFit="1"/>
  </sheetViews>
  <pageMargins left="0.7" right="0.7" top="0.75" bottom="0.75" header="0.3" footer="0.3"/>
  <drawing r:id="rId1"/>
</chartsheet>
</file>

<file path=xl/chartsheets/sheet7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6ED4893-2B16-4C8A-81BA-77BF01A17EBD}">
  <sheetPr>
    <tabColor theme="9" tint="0.39997558519241921"/>
  </sheetPr>
  <sheetViews>
    <sheetView zoomScale="60" workbookViewId="0" zoomToFit="1"/>
  </sheetViews>
  <pageMargins left="0.7" right="0.7" top="0.75" bottom="0.75" header="0.3" footer="0.3"/>
  <drawing r:id="rId1"/>
</chartsheet>
</file>

<file path=xl/chartsheets/sheet7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220602B-F18D-4655-BD1A-738D46ACDB93}">
  <sheetPr>
    <tabColor theme="9" tint="0.59999389629810485"/>
  </sheetPr>
  <sheetViews>
    <sheetView zoomScale="61" workbookViewId="0"/>
  </sheetViews>
  <pageMargins left="0.7" right="0.7" top="0.75" bottom="0.75" header="0.3" footer="0.3"/>
  <drawing r:id="rId1"/>
</chartsheet>
</file>

<file path=xl/chartsheets/sheet7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CEC16B6-1365-4516-9720-D2B59FD71736}">
  <sheetPr>
    <tabColor theme="9" tint="0.59999389629810485"/>
  </sheetPr>
  <sheetViews>
    <sheetView zoomScale="61"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8D3CE0D-A558-460D-B338-42F6A9E00327}">
  <sheetPr>
    <tabColor theme="2" tint="-0.499984740745262"/>
  </sheetPr>
  <sheetViews>
    <sheetView zoomScale="61" workbookViewId="0"/>
  </sheetViews>
  <pageMargins left="0.7" right="0.7" top="0.75" bottom="0.75" header="0.3" footer="0.3"/>
  <drawing r:id="rId1"/>
</chartsheet>
</file>

<file path=xl/chartsheets/sheet8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EB835C-0B04-43B2-BED4-22D001BD1F1D}">
  <sheetPr>
    <tabColor theme="9" tint="0.59999389629810485"/>
  </sheetPr>
  <sheetViews>
    <sheetView zoomScale="61" workbookViewId="0"/>
  </sheetViews>
  <pageMargins left="0.7" right="0.7" top="0.75" bottom="0.75" header="0.3" footer="0.3"/>
  <drawing r:id="rId1"/>
</chartsheet>
</file>

<file path=xl/chartsheets/sheet8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71CF56F-19DC-4822-B329-0A94CE28B512}">
  <sheetPr>
    <tabColor theme="9" tint="0.59999389629810485"/>
  </sheetPr>
  <sheetViews>
    <sheetView zoomScale="61" workbookViewId="0"/>
  </sheetViews>
  <pageMargins left="0.7" right="0.7" top="0.75" bottom="0.75" header="0.3" footer="0.3"/>
  <drawing r:id="rId1"/>
</chartsheet>
</file>

<file path=xl/chartsheets/sheet8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2CD7590-873D-4E05-8B36-2AE9AE88474F}">
  <sheetPr>
    <tabColor theme="9" tint="0.59999389629810485"/>
  </sheetPr>
  <sheetViews>
    <sheetView zoomScale="61" workbookViewId="0"/>
  </sheetViews>
  <pageMargins left="0.7" right="0.7" top="0.75" bottom="0.75" header="0.3" footer="0.3"/>
  <drawing r:id="rId1"/>
</chartsheet>
</file>

<file path=xl/chartsheets/sheet8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189CC37-B9EB-4915-8B01-1E1603EEF2E8}">
  <sheetPr>
    <tabColor theme="9" tint="0.59999389629810485"/>
  </sheetPr>
  <sheetViews>
    <sheetView zoomScale="61" workbookViewId="0"/>
  </sheetViews>
  <pageMargins left="0.7" right="0.7" top="0.75" bottom="0.75" header="0.3" footer="0.3"/>
  <drawing r:id="rId1"/>
</chartsheet>
</file>

<file path=xl/chartsheets/sheet8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F7F4B58-DA67-4E7F-8C0F-DC9F3F6A2C32}">
  <sheetPr>
    <tabColor theme="9" tint="0.79998168889431442"/>
  </sheetPr>
  <sheetViews>
    <sheetView zoomScale="60" workbookViewId="0" zoomToFit="1"/>
  </sheetViews>
  <pageMargins left="0.7" right="0.7" top="0.75" bottom="0.75" header="0.3" footer="0.3"/>
  <drawing r:id="rId1"/>
</chartsheet>
</file>

<file path=xl/chartsheets/sheet8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0364E73-65BA-428D-B1A1-31A744A89D17}">
  <sheetPr>
    <tabColor theme="9" tint="0.79998168889431442"/>
  </sheetPr>
  <sheetViews>
    <sheetView zoomScale="61" workbookViewId="0"/>
  </sheetViews>
  <pageMargins left="0.7" right="0.7" top="0.75" bottom="0.75" header="0.3" footer="0.3"/>
  <drawing r:id="rId1"/>
</chartsheet>
</file>

<file path=xl/chartsheets/sheet8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01DABD8-4571-4EE6-8594-65DE353F4AC4}">
  <sheetPr>
    <tabColor theme="9" tint="0.79998168889431442"/>
  </sheetPr>
  <sheetViews>
    <sheetView zoomScale="61" workbookViewId="0"/>
  </sheetViews>
  <pageMargins left="0.7" right="0.7" top="0.75" bottom="0.75" header="0.3" footer="0.3"/>
  <drawing r:id="rId1"/>
</chartsheet>
</file>

<file path=xl/chartsheets/sheet8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76B0686-344A-427F-B2BC-9C896FB328FA}">
  <sheetPr>
    <tabColor theme="9" tint="0.79998168889431442"/>
  </sheetPr>
  <sheetViews>
    <sheetView zoomScale="61" workbookViewId="0"/>
  </sheetViews>
  <pageMargins left="0.7" right="0.7" top="0.75" bottom="0.75" header="0.3" footer="0.3"/>
  <drawing r:id="rId1"/>
</chartsheet>
</file>

<file path=xl/chartsheets/sheet8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F8045A6-61A7-4C97-8AB3-130DE13136F5}">
  <sheetPr>
    <tabColor theme="9" tint="0.79998168889431442"/>
  </sheetPr>
  <sheetViews>
    <sheetView zoomScale="61"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0555118-AC42-40D8-8022-AEDA4C67D2EE}">
  <sheetPr>
    <tabColor theme="2" tint="-0.499984740745262"/>
  </sheetPr>
  <sheetViews>
    <sheetView zoomScale="6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0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92.xml.rels><?xml version="1.0" encoding="UTF-8" standalone="yes"?>
<Relationships xmlns="http://schemas.openxmlformats.org/package/2006/relationships"><Relationship Id="rId1" Type="http://schemas.openxmlformats.org/officeDocument/2006/relationships/image" Target="../media/image2.jpg"/></Relationships>
</file>

<file path=xl/drawings/_rels/drawing9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4.xml.rels><?xml version="1.0" encoding="UTF-8" standalone="yes"?>
<Relationships xmlns="http://schemas.openxmlformats.org/package/2006/relationships"><Relationship Id="rId1" Type="http://schemas.openxmlformats.org/officeDocument/2006/relationships/image" Target="../media/image3.png"/></Relationships>
</file>

<file path=xl/drawings/_rels/drawing95.xml.rels><?xml version="1.0" encoding="UTF-8" standalone="yes"?>
<Relationships xmlns="http://schemas.openxmlformats.org/package/2006/relationships"><Relationship Id="rId1" Type="http://schemas.openxmlformats.org/officeDocument/2006/relationships/image" Target="../media/image4.png"/></Relationships>
</file>

<file path=xl/drawings/_rels/drawing96.xml.rels><?xml version="1.0" encoding="UTF-8" standalone="yes"?>
<Relationships xmlns="http://schemas.openxmlformats.org/package/2006/relationships"><Relationship Id="rId1" Type="http://schemas.openxmlformats.org/officeDocument/2006/relationships/image" Target="../media/image5.png"/></Relationships>
</file>

<file path=xl/drawings/_rels/drawing97.xml.rels><?xml version="1.0" encoding="UTF-8" standalone="yes"?>
<Relationships xmlns="http://schemas.openxmlformats.org/package/2006/relationships"><Relationship Id="rId1" Type="http://schemas.openxmlformats.org/officeDocument/2006/relationships/image" Target="../media/image6.png"/></Relationships>
</file>

<file path=xl/drawings/_rels/drawing9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455</xdr:col>
      <xdr:colOff>534772</xdr:colOff>
      <xdr:row>379</xdr:row>
      <xdr:rowOff>48911</xdr:rowOff>
    </xdr:from>
    <xdr:to>
      <xdr:col>2493</xdr:col>
      <xdr:colOff>588508</xdr:colOff>
      <xdr:row>1611</xdr:row>
      <xdr:rowOff>66902</xdr:rowOff>
    </xdr:to>
    <xdr:grpSp>
      <xdr:nvGrpSpPr>
        <xdr:cNvPr id="2" name="Group 1">
          <a:extLst>
            <a:ext uri="{FF2B5EF4-FFF2-40B4-BE49-F238E27FC236}">
              <a16:creationId xmlns:a16="http://schemas.microsoft.com/office/drawing/2014/main" id="{0D1C505B-5FAA-45FD-90E2-32BD7BB3D332}"/>
            </a:ext>
          </a:extLst>
        </xdr:cNvPr>
        <xdr:cNvGrpSpPr/>
      </xdr:nvGrpSpPr>
      <xdr:grpSpPr>
        <a:xfrm>
          <a:off x="279987143" y="47438241"/>
          <a:ext cx="1240817551" cy="153255929"/>
          <a:chOff x="0" y="0"/>
          <a:chExt cx="6436995" cy="4627904"/>
        </a:xfrm>
      </xdr:grpSpPr>
      <xdr:sp macro="" textlink="">
        <xdr:nvSpPr>
          <xdr:cNvPr id="3" name="Shape 33367">
            <a:extLst>
              <a:ext uri="{FF2B5EF4-FFF2-40B4-BE49-F238E27FC236}">
                <a16:creationId xmlns:a16="http://schemas.microsoft.com/office/drawing/2014/main" id="{D5D77CBB-B318-9D86-FAE4-1BE9FD8FBB8B}"/>
              </a:ext>
            </a:extLst>
          </xdr:cNvPr>
          <xdr:cNvSpPr/>
        </xdr:nvSpPr>
        <xdr:spPr>
          <a:xfrm>
            <a:off x="381" y="381"/>
            <a:ext cx="6385560" cy="4298442"/>
          </a:xfrm>
          <a:custGeom>
            <a:avLst/>
            <a:gdLst/>
            <a:ahLst/>
            <a:cxnLst/>
            <a:rect l="0" t="0" r="0" b="0"/>
            <a:pathLst>
              <a:path w="6385560" h="4298442">
                <a:moveTo>
                  <a:pt x="0" y="0"/>
                </a:moveTo>
                <a:lnTo>
                  <a:pt x="6385560" y="0"/>
                </a:lnTo>
                <a:lnTo>
                  <a:pt x="6385560" y="4298442"/>
                </a:lnTo>
                <a:lnTo>
                  <a:pt x="0" y="429844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4" name="Picture 3">
            <a:extLst>
              <a:ext uri="{FF2B5EF4-FFF2-40B4-BE49-F238E27FC236}">
                <a16:creationId xmlns:a16="http://schemas.microsoft.com/office/drawing/2014/main" id="{B0CDD17C-4DA1-BA2E-DB1A-D32F1F3A2FFE}"/>
              </a:ext>
            </a:extLst>
          </xdr:cNvPr>
          <xdr:cNvPicPr/>
        </xdr:nvPicPr>
        <xdr:blipFill>
          <a:blip xmlns:r="http://schemas.openxmlformats.org/officeDocument/2006/relationships" r:embed="rId1"/>
          <a:stretch>
            <a:fillRect/>
          </a:stretch>
        </xdr:blipFill>
        <xdr:spPr>
          <a:xfrm>
            <a:off x="0" y="0"/>
            <a:ext cx="6386322" cy="4299204"/>
          </a:xfrm>
          <a:prstGeom prst="rect">
            <a:avLst/>
          </a:prstGeom>
        </xdr:spPr>
      </xdr:pic>
      <xdr:sp macro="" textlink="">
        <xdr:nvSpPr>
          <xdr:cNvPr id="5" name="Rectangle 4">
            <a:extLst>
              <a:ext uri="{FF2B5EF4-FFF2-40B4-BE49-F238E27FC236}">
                <a16:creationId xmlns:a16="http://schemas.microsoft.com/office/drawing/2014/main" id="{26C3C2CC-7279-1428-407B-39EC3795411D}"/>
              </a:ext>
            </a:extLst>
          </xdr:cNvPr>
          <xdr:cNvSpPr/>
        </xdr:nvSpPr>
        <xdr:spPr>
          <a:xfrm>
            <a:off x="6386322" y="4193536"/>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6" name="Rectangle 5">
            <a:extLst>
              <a:ext uri="{FF2B5EF4-FFF2-40B4-BE49-F238E27FC236}">
                <a16:creationId xmlns:a16="http://schemas.microsoft.com/office/drawing/2014/main" id="{BD86E811-C45B-8BF4-5A45-4FF298EA4296}"/>
              </a:ext>
            </a:extLst>
          </xdr:cNvPr>
          <xdr:cNvSpPr/>
        </xdr:nvSpPr>
        <xdr:spPr>
          <a:xfrm>
            <a:off x="2544318" y="4331132"/>
            <a:ext cx="1787765"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1:  Army Fighters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7" name="Rectangle 6">
            <a:extLst>
              <a:ext uri="{FF2B5EF4-FFF2-40B4-BE49-F238E27FC236}">
                <a16:creationId xmlns:a16="http://schemas.microsoft.com/office/drawing/2014/main" id="{4455D011-90AE-C477-BF58-16A1406035EF}"/>
              </a:ext>
            </a:extLst>
          </xdr:cNvPr>
          <xdr:cNvSpPr/>
        </xdr:nvSpPr>
        <xdr:spPr>
          <a:xfrm>
            <a:off x="3200402" y="4476672"/>
            <a:ext cx="42312"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0D4F3EAD-A8E9-065E-3185-611A805D4CE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0.xml><?xml version="1.0" encoding="utf-8"?>
<xdr:wsDr xmlns:xdr="http://schemas.openxmlformats.org/drawingml/2006/spreadsheetDrawing" xmlns:a="http://schemas.openxmlformats.org/drawingml/2006/main">
  <xdr:twoCellAnchor>
    <xdr:from>
      <xdr:col>0</xdr:col>
      <xdr:colOff>340179</xdr:colOff>
      <xdr:row>13</xdr:row>
      <xdr:rowOff>90715</xdr:rowOff>
    </xdr:from>
    <xdr:to>
      <xdr:col>11</xdr:col>
      <xdr:colOff>78975</xdr:colOff>
      <xdr:row>34</xdr:row>
      <xdr:rowOff>48314</xdr:rowOff>
    </xdr:to>
    <xdr:grpSp>
      <xdr:nvGrpSpPr>
        <xdr:cNvPr id="2" name="Group 1">
          <a:extLst>
            <a:ext uri="{FF2B5EF4-FFF2-40B4-BE49-F238E27FC236}">
              <a16:creationId xmlns:a16="http://schemas.microsoft.com/office/drawing/2014/main" id="{81702378-688B-2064-0C88-8B901D9A31CE}"/>
            </a:ext>
          </a:extLst>
        </xdr:cNvPr>
        <xdr:cNvGrpSpPr/>
      </xdr:nvGrpSpPr>
      <xdr:grpSpPr>
        <a:xfrm>
          <a:off x="340179" y="2508251"/>
          <a:ext cx="6424439" cy="3862849"/>
          <a:chOff x="0" y="0"/>
          <a:chExt cx="6443092" cy="3827044"/>
        </a:xfrm>
      </xdr:grpSpPr>
      <xdr:sp macro="" textlink="">
        <xdr:nvSpPr>
          <xdr:cNvPr id="3" name="Shape 33525">
            <a:extLst>
              <a:ext uri="{FF2B5EF4-FFF2-40B4-BE49-F238E27FC236}">
                <a16:creationId xmlns:a16="http://schemas.microsoft.com/office/drawing/2014/main" id="{F4624389-7EEE-5C65-2D65-A31AF192C645}"/>
              </a:ext>
            </a:extLst>
          </xdr:cNvPr>
          <xdr:cNvSpPr/>
        </xdr:nvSpPr>
        <xdr:spPr>
          <a:xfrm>
            <a:off x="381" y="381"/>
            <a:ext cx="6391656" cy="3467862"/>
          </a:xfrm>
          <a:custGeom>
            <a:avLst/>
            <a:gdLst/>
            <a:ahLst/>
            <a:cxnLst/>
            <a:rect l="0" t="0" r="0" b="0"/>
            <a:pathLst>
              <a:path w="6391656" h="3467862">
                <a:moveTo>
                  <a:pt x="0" y="0"/>
                </a:moveTo>
                <a:lnTo>
                  <a:pt x="6391656" y="0"/>
                </a:lnTo>
                <a:lnTo>
                  <a:pt x="6391656" y="3467862"/>
                </a:lnTo>
                <a:lnTo>
                  <a:pt x="0" y="346786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4" name="Picture 3">
            <a:extLst>
              <a:ext uri="{FF2B5EF4-FFF2-40B4-BE49-F238E27FC236}">
                <a16:creationId xmlns:a16="http://schemas.microsoft.com/office/drawing/2014/main" id="{D287F30C-BDA8-457E-574E-C17A08936DA5}"/>
              </a:ext>
            </a:extLst>
          </xdr:cNvPr>
          <xdr:cNvPicPr/>
        </xdr:nvPicPr>
        <xdr:blipFill>
          <a:blip xmlns:r="http://schemas.openxmlformats.org/officeDocument/2006/relationships" r:embed="rId1"/>
          <a:stretch>
            <a:fillRect/>
          </a:stretch>
        </xdr:blipFill>
        <xdr:spPr>
          <a:xfrm>
            <a:off x="0" y="0"/>
            <a:ext cx="6392418" cy="3468624"/>
          </a:xfrm>
          <a:prstGeom prst="rect">
            <a:avLst/>
          </a:prstGeom>
        </xdr:spPr>
      </xdr:pic>
      <xdr:sp macro="" textlink="">
        <xdr:nvSpPr>
          <xdr:cNvPr id="5" name="Rectangle 4">
            <a:extLst>
              <a:ext uri="{FF2B5EF4-FFF2-40B4-BE49-F238E27FC236}">
                <a16:creationId xmlns:a16="http://schemas.microsoft.com/office/drawing/2014/main" id="{849C5B98-3C3F-CEC7-3FD6-4EB565D5B51A}"/>
              </a:ext>
            </a:extLst>
          </xdr:cNvPr>
          <xdr:cNvSpPr/>
        </xdr:nvSpPr>
        <xdr:spPr>
          <a:xfrm>
            <a:off x="6392419" y="3362956"/>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6" name="Rectangle 5">
            <a:extLst>
              <a:ext uri="{FF2B5EF4-FFF2-40B4-BE49-F238E27FC236}">
                <a16:creationId xmlns:a16="http://schemas.microsoft.com/office/drawing/2014/main" id="{57463F59-34E3-E591-D5CF-92217989B17D}"/>
              </a:ext>
            </a:extLst>
          </xdr:cNvPr>
          <xdr:cNvSpPr/>
        </xdr:nvSpPr>
        <xdr:spPr>
          <a:xfrm>
            <a:off x="0" y="3503164"/>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7" name="Rectangle 6">
            <a:extLst>
              <a:ext uri="{FF2B5EF4-FFF2-40B4-BE49-F238E27FC236}">
                <a16:creationId xmlns:a16="http://schemas.microsoft.com/office/drawing/2014/main" id="{D9573DE5-0CE5-4159-C2F8-64520ECE3A8D}"/>
              </a:ext>
            </a:extLst>
          </xdr:cNvPr>
          <xdr:cNvSpPr/>
        </xdr:nvSpPr>
        <xdr:spPr>
          <a:xfrm>
            <a:off x="2279142" y="3675812"/>
            <a:ext cx="2491870"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9:  Single-Engined Trainers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C96D731A-4789-BDA3-39DE-28D74D832F3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182D6818-99C7-0E92-C4E2-9FA96AEBF2A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F77B72F1-66F8-4DC1-79CF-6EEBD8331B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7040F2CD-843E-4E03-6406-98218B4C08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626946BB-A00B-CBA3-697A-C87D9D99FD7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6E2A32E4-EC46-390D-9238-5121453B4B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1175E5F4-3620-EED0-79C1-5D939DAC0A5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A461393B-BCA4-4038-CA4A-F63822179CB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641112B4-204B-3934-5F6D-435AEC2D98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460</xdr:col>
      <xdr:colOff>534772</xdr:colOff>
      <xdr:row>380</xdr:row>
      <xdr:rowOff>48911</xdr:rowOff>
    </xdr:from>
    <xdr:to>
      <xdr:col>2498</xdr:col>
      <xdr:colOff>588508</xdr:colOff>
      <xdr:row>1612</xdr:row>
      <xdr:rowOff>66902</xdr:rowOff>
    </xdr:to>
    <xdr:grpSp>
      <xdr:nvGrpSpPr>
        <xdr:cNvPr id="2" name="Group 1">
          <a:extLst>
            <a:ext uri="{FF2B5EF4-FFF2-40B4-BE49-F238E27FC236}">
              <a16:creationId xmlns:a16="http://schemas.microsoft.com/office/drawing/2014/main" id="{F00D16AD-490E-4333-BF34-751EDFFF1388}"/>
            </a:ext>
          </a:extLst>
        </xdr:cNvPr>
        <xdr:cNvGrpSpPr/>
      </xdr:nvGrpSpPr>
      <xdr:grpSpPr>
        <a:xfrm>
          <a:off x="281211318" y="47569169"/>
          <a:ext cx="1240817551" cy="153255929"/>
          <a:chOff x="0" y="0"/>
          <a:chExt cx="6436995" cy="4627904"/>
        </a:xfrm>
      </xdr:grpSpPr>
      <xdr:sp macro="" textlink="">
        <xdr:nvSpPr>
          <xdr:cNvPr id="3" name="Shape 33367">
            <a:extLst>
              <a:ext uri="{FF2B5EF4-FFF2-40B4-BE49-F238E27FC236}">
                <a16:creationId xmlns:a16="http://schemas.microsoft.com/office/drawing/2014/main" id="{47190C83-D09A-285C-426D-0B2FF32A053F}"/>
              </a:ext>
            </a:extLst>
          </xdr:cNvPr>
          <xdr:cNvSpPr/>
        </xdr:nvSpPr>
        <xdr:spPr>
          <a:xfrm>
            <a:off x="381" y="381"/>
            <a:ext cx="6385560" cy="4298442"/>
          </a:xfrm>
          <a:custGeom>
            <a:avLst/>
            <a:gdLst/>
            <a:ahLst/>
            <a:cxnLst/>
            <a:rect l="0" t="0" r="0" b="0"/>
            <a:pathLst>
              <a:path w="6385560" h="4298442">
                <a:moveTo>
                  <a:pt x="0" y="0"/>
                </a:moveTo>
                <a:lnTo>
                  <a:pt x="6385560" y="0"/>
                </a:lnTo>
                <a:lnTo>
                  <a:pt x="6385560" y="4298442"/>
                </a:lnTo>
                <a:lnTo>
                  <a:pt x="0" y="429844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4" name="Picture 3">
            <a:extLst>
              <a:ext uri="{FF2B5EF4-FFF2-40B4-BE49-F238E27FC236}">
                <a16:creationId xmlns:a16="http://schemas.microsoft.com/office/drawing/2014/main" id="{5C6DE77C-5D94-59C9-9024-248D7F815616}"/>
              </a:ext>
            </a:extLst>
          </xdr:cNvPr>
          <xdr:cNvPicPr/>
        </xdr:nvPicPr>
        <xdr:blipFill>
          <a:blip xmlns:r="http://schemas.openxmlformats.org/officeDocument/2006/relationships" r:embed="rId1"/>
          <a:stretch>
            <a:fillRect/>
          </a:stretch>
        </xdr:blipFill>
        <xdr:spPr>
          <a:xfrm>
            <a:off x="0" y="0"/>
            <a:ext cx="6386322" cy="4299204"/>
          </a:xfrm>
          <a:prstGeom prst="rect">
            <a:avLst/>
          </a:prstGeom>
        </xdr:spPr>
      </xdr:pic>
      <xdr:sp macro="" textlink="">
        <xdr:nvSpPr>
          <xdr:cNvPr id="5" name="Rectangle 4">
            <a:extLst>
              <a:ext uri="{FF2B5EF4-FFF2-40B4-BE49-F238E27FC236}">
                <a16:creationId xmlns:a16="http://schemas.microsoft.com/office/drawing/2014/main" id="{AF829BA1-6DB6-B7D8-4E6E-76B078A1EC8B}"/>
              </a:ext>
            </a:extLst>
          </xdr:cNvPr>
          <xdr:cNvSpPr/>
        </xdr:nvSpPr>
        <xdr:spPr>
          <a:xfrm>
            <a:off x="6386322" y="4193536"/>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6" name="Rectangle 5">
            <a:extLst>
              <a:ext uri="{FF2B5EF4-FFF2-40B4-BE49-F238E27FC236}">
                <a16:creationId xmlns:a16="http://schemas.microsoft.com/office/drawing/2014/main" id="{16BC6E6B-9253-759F-58A6-2822CB83F879}"/>
              </a:ext>
            </a:extLst>
          </xdr:cNvPr>
          <xdr:cNvSpPr/>
        </xdr:nvSpPr>
        <xdr:spPr>
          <a:xfrm>
            <a:off x="2544318" y="4331132"/>
            <a:ext cx="1787765"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1:  Army Fighters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7" name="Rectangle 6">
            <a:extLst>
              <a:ext uri="{FF2B5EF4-FFF2-40B4-BE49-F238E27FC236}">
                <a16:creationId xmlns:a16="http://schemas.microsoft.com/office/drawing/2014/main" id="{0B59F8C5-9F28-E29D-C76D-BF9F9BCCB613}"/>
              </a:ext>
            </a:extLst>
          </xdr:cNvPr>
          <xdr:cNvSpPr/>
        </xdr:nvSpPr>
        <xdr:spPr>
          <a:xfrm>
            <a:off x="3200402" y="4476672"/>
            <a:ext cx="42312"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9358266D-3D50-9167-BC08-BFD5A5666EA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4AF65ACD-8F33-1FC1-14AA-4BED1628B69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C55BC534-A346-D77A-2A84-348E84DD03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3B07A8DB-BF0F-8C1C-5495-3ECC578345E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1F6C6B96-8EBB-4810-983E-04644D7721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4DFF9BCB-A008-A6A1-D390-CAAC80D204F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C17D9F60-7558-A0EF-2C09-E2C884C8621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339839DE-D24C-3D02-D9EA-35E923D9E30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29670033-04A2-1CF9-63D6-13819426783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250DE9B8-8958-CA49-0748-7F3F4C11D7A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FABB9213-B44A-B061-B789-02449701E1E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C715442F-6F7C-1AA3-AF4F-92702D7E6C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A43DABBC-966C-F765-E53A-EA6F5F1D91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671ED8F0-48F9-F99D-7A00-52E36CE96B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799746C0-5B74-B37F-A3EA-9131C603FD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43024D72-0B60-D8E3-CC78-56B5D016046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729F0490-6878-D3B0-4A24-0BC9698BEA8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9334DCF3-E2F0-0A6A-1E69-04B63E985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BEA1ABFD-DC46-6843-4005-97F335CEC0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DFE9D68A-BBFA-31D2-835B-F92351194E0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7CB47A0C-D07E-095D-D89E-864F5B5980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EF4711B3-373D-17B4-386C-4071908DC3D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0.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6FBBA8B4-2356-AD68-C999-9038F98E9F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1.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0670C72E-5D0D-3196-B014-A7EF5BED6CB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793A8AC2-FB5C-E838-5B11-462E23DD00D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3.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B425F356-D968-BAB8-3A78-D6768B10E56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50FF8521-83AC-CCE3-25F4-F95698576F1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5.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5D3642B5-696D-3753-0B36-0CF962746D7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6.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EA6A5AB6-12C0-1D09-03D3-9A438B5A220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7.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CF75B87E-33FD-C839-53B0-71C0969ABCE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8.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5A764A09-36F8-82EE-2F00-272A5AD32B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9.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5F56A5F0-C7E4-5195-7168-06E22DE247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C8D9C5C0-7DE3-5AC2-41BE-4BA7ACBE23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0.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448E9D8C-5774-C09C-646B-FED7BBA8EA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1.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20508313-62AF-8969-FE67-E312F8D50D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2.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94C9DB26-BE11-FF57-2DF7-C57512B23B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3.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BF835328-0BB9-1FBC-650A-263A9736C63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4.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1DDC5EC3-C027-4C55-82F8-E5AE2F53E1B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5.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9DC3BC2C-5307-35E2-726C-1F2DEF4CFB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6.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22F3522C-BA5C-E81F-4458-92135A4056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7.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1720FB28-1BE7-B840-F490-F94FD0DA049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8.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E641FCB9-20CD-105A-E7C2-4A99A5F501B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9.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806FC120-B161-B0C7-7D27-98B4C9A872E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18B48432-A266-4566-D5F8-E4F772E5BE7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0.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4C60886F-546E-6F60-DE69-ABDAD9F20AD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1.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080E7475-B358-6E39-D3D3-8C9AE4629BD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2.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50F56DE0-B3FE-6A7C-0A65-3664C607192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3.xml><?xml version="1.0" encoding="utf-8"?>
<xdr:wsDr xmlns:xdr="http://schemas.openxmlformats.org/drawingml/2006/spreadsheetDrawing" xmlns:a="http://schemas.openxmlformats.org/drawingml/2006/main">
  <xdr:twoCellAnchor>
    <xdr:from>
      <xdr:col>530</xdr:col>
      <xdr:colOff>534772</xdr:colOff>
      <xdr:row>438</xdr:row>
      <xdr:rowOff>48911</xdr:rowOff>
    </xdr:from>
    <xdr:to>
      <xdr:col>2568</xdr:col>
      <xdr:colOff>588508</xdr:colOff>
      <xdr:row>1670</xdr:row>
      <xdr:rowOff>66902</xdr:rowOff>
    </xdr:to>
    <xdr:grpSp>
      <xdr:nvGrpSpPr>
        <xdr:cNvPr id="30" name="Group 1">
          <a:extLst>
            <a:ext uri="{FF2B5EF4-FFF2-40B4-BE49-F238E27FC236}">
              <a16:creationId xmlns:a16="http://schemas.microsoft.com/office/drawing/2014/main" id="{C21F2B00-ECE4-4DA1-8953-B2038891D092}"/>
            </a:ext>
          </a:extLst>
        </xdr:cNvPr>
        <xdr:cNvGrpSpPr/>
      </xdr:nvGrpSpPr>
      <xdr:grpSpPr>
        <a:xfrm>
          <a:off x="332665172" y="55954311"/>
          <a:ext cx="1242418536" cy="156481991"/>
          <a:chOff x="0" y="0"/>
          <a:chExt cx="6436995" cy="4627904"/>
        </a:xfrm>
      </xdr:grpSpPr>
      <xdr:sp macro="" textlink="">
        <xdr:nvSpPr>
          <xdr:cNvPr id="31" name="Shape 33367">
            <a:extLst>
              <a:ext uri="{FF2B5EF4-FFF2-40B4-BE49-F238E27FC236}">
                <a16:creationId xmlns:a16="http://schemas.microsoft.com/office/drawing/2014/main" id="{77EC386A-569A-9342-1C6A-641C1D2A5348}"/>
              </a:ext>
            </a:extLst>
          </xdr:cNvPr>
          <xdr:cNvSpPr/>
        </xdr:nvSpPr>
        <xdr:spPr>
          <a:xfrm>
            <a:off x="381" y="381"/>
            <a:ext cx="6385560" cy="4298442"/>
          </a:xfrm>
          <a:custGeom>
            <a:avLst/>
            <a:gdLst/>
            <a:ahLst/>
            <a:cxnLst/>
            <a:rect l="0" t="0" r="0" b="0"/>
            <a:pathLst>
              <a:path w="6385560" h="4298442">
                <a:moveTo>
                  <a:pt x="0" y="0"/>
                </a:moveTo>
                <a:lnTo>
                  <a:pt x="6385560" y="0"/>
                </a:lnTo>
                <a:lnTo>
                  <a:pt x="6385560" y="4298442"/>
                </a:lnTo>
                <a:lnTo>
                  <a:pt x="0" y="429844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32" name="Picture 3">
            <a:extLst>
              <a:ext uri="{FF2B5EF4-FFF2-40B4-BE49-F238E27FC236}">
                <a16:creationId xmlns:a16="http://schemas.microsoft.com/office/drawing/2014/main" id="{2D9DE24B-E358-FB2F-1044-549905FF0A59}"/>
              </a:ext>
            </a:extLst>
          </xdr:cNvPr>
          <xdr:cNvPicPr/>
        </xdr:nvPicPr>
        <xdr:blipFill>
          <a:blip xmlns:r="http://schemas.openxmlformats.org/officeDocument/2006/relationships" r:embed="rId1"/>
          <a:stretch>
            <a:fillRect/>
          </a:stretch>
        </xdr:blipFill>
        <xdr:spPr>
          <a:xfrm>
            <a:off x="0" y="0"/>
            <a:ext cx="6386322" cy="4299204"/>
          </a:xfrm>
          <a:prstGeom prst="rect">
            <a:avLst/>
          </a:prstGeom>
        </xdr:spPr>
      </xdr:pic>
      <xdr:sp macro="" textlink="">
        <xdr:nvSpPr>
          <xdr:cNvPr id="33" name="Rectangle 4">
            <a:extLst>
              <a:ext uri="{FF2B5EF4-FFF2-40B4-BE49-F238E27FC236}">
                <a16:creationId xmlns:a16="http://schemas.microsoft.com/office/drawing/2014/main" id="{E3496D47-56D7-8795-031F-E33860A7D4C8}"/>
              </a:ext>
            </a:extLst>
          </xdr:cNvPr>
          <xdr:cNvSpPr/>
        </xdr:nvSpPr>
        <xdr:spPr>
          <a:xfrm>
            <a:off x="6386322" y="4193536"/>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34" name="Rectangle 5">
            <a:extLst>
              <a:ext uri="{FF2B5EF4-FFF2-40B4-BE49-F238E27FC236}">
                <a16:creationId xmlns:a16="http://schemas.microsoft.com/office/drawing/2014/main" id="{624E2827-C679-09EA-819E-BEF7543C1147}"/>
              </a:ext>
            </a:extLst>
          </xdr:cNvPr>
          <xdr:cNvSpPr/>
        </xdr:nvSpPr>
        <xdr:spPr>
          <a:xfrm>
            <a:off x="2544318" y="4331132"/>
            <a:ext cx="1787765"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1:  Army Fighters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35" name="Rectangle 6">
            <a:extLst>
              <a:ext uri="{FF2B5EF4-FFF2-40B4-BE49-F238E27FC236}">
                <a16:creationId xmlns:a16="http://schemas.microsoft.com/office/drawing/2014/main" id="{40C728B1-D913-2C2D-6807-7AAAD3F98E4C}"/>
              </a:ext>
            </a:extLst>
          </xdr:cNvPr>
          <xdr:cNvSpPr/>
        </xdr:nvSpPr>
        <xdr:spPr>
          <a:xfrm>
            <a:off x="3200402" y="4476672"/>
            <a:ext cx="42312"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64.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455D3843-B591-2B25-B4B0-FB9EDC01746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5.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058EECCF-B4D8-2F49-8611-2547EA08C04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6.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65BE2379-C1B7-8360-BA71-BE85FD37D6D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7.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E77C84F6-DBAA-CD13-ADE0-4B6385CC44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8.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864B7066-093A-F4C7-5778-E5DEE9BDC3C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9.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8AFC75BD-181C-3E40-8776-61F3B39649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F9C5D90C-271D-D344-5110-60862CFFFDF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0.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F9486CC3-0828-8D2C-E0FE-FBE7629DE31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1.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9F80AD54-AE4F-F6D5-1C1E-ED4723B7A9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2.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D7D47BA6-91FE-9533-9B55-34FDF946AD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3.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77674740-3DB0-ECE8-09D4-ACB9098D09B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4.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8D713DAA-BB1E-E7B1-1FAB-0B9DE64DBFC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5.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CE5A05EC-DA2C-9D1B-956E-D5CA5E89F85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6.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6F78CB8E-3E83-E485-AB64-820AA29F3B8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7.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58F5D07B-DDB5-30B5-6307-469C48408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8.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0B2763DA-C54C-5761-5FC1-388D0F9F87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9.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14AD3D3B-405C-B74B-867B-6AB98FF017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8BB4E9EA-5D0E-5652-74ED-B51DE12502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0.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B8F9B935-2A3F-04F8-79DC-D38A3E6A45F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1.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EA334A59-820A-DF23-EF7D-8C2830BDD07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2.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1424894C-DA0D-C237-0CA7-F8A324419EF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3.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4A78862A-9398-60FE-6268-477582226E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4.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8B03C2B1-BAE9-4193-FE27-B39BDE7F1B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5.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B9D29233-B96E-BB5D-8F11-BAEDAD01F6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6.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359285BA-0C76-A3D4-9457-338BEB3BD4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7.xml><?xml version="1.0" encoding="utf-8"?>
<xdr:wsDr xmlns:xdr="http://schemas.openxmlformats.org/drawingml/2006/spreadsheetDrawing" xmlns:a="http://schemas.openxmlformats.org/drawingml/2006/main">
  <xdr:absoluteAnchor>
    <xdr:pos x="0" y="0"/>
    <xdr:ext cx="8657167" cy="6286500"/>
    <xdr:graphicFrame macro="">
      <xdr:nvGraphicFramePr>
        <xdr:cNvPr id="2" name="Chart 1">
          <a:extLst>
            <a:ext uri="{FF2B5EF4-FFF2-40B4-BE49-F238E27FC236}">
              <a16:creationId xmlns:a16="http://schemas.microsoft.com/office/drawing/2014/main" id="{CBE88D48-69A1-95A7-98A0-EAEF9ECB340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8.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4D88D073-5AA7-388B-65BE-C3ED28F714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9.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AD2EB15D-5B2F-C657-0F70-EF6B306F79D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A37DE9A4-2B7A-0D35-1335-5EB6ADD9B0A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0.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2B04B7EB-A081-B520-7B80-D939D039A09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1.xml><?xml version="1.0" encoding="utf-8"?>
<xdr:wsDr xmlns:xdr="http://schemas.openxmlformats.org/drawingml/2006/spreadsheetDrawing" xmlns:a="http://schemas.openxmlformats.org/drawingml/2006/main">
  <xdr:absoluteAnchor>
    <xdr:pos x="0" y="0"/>
    <xdr:ext cx="8660984" cy="6287541"/>
    <xdr:graphicFrame macro="">
      <xdr:nvGraphicFramePr>
        <xdr:cNvPr id="2" name="Chart 1">
          <a:extLst>
            <a:ext uri="{FF2B5EF4-FFF2-40B4-BE49-F238E27FC236}">
              <a16:creationId xmlns:a16="http://schemas.microsoft.com/office/drawing/2014/main" id="{077F2939-819D-3188-0826-DF9D9D2CF9B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295275</xdr:colOff>
      <xdr:row>36</xdr:row>
      <xdr:rowOff>72390</xdr:rowOff>
    </xdr:to>
    <xdr:pic>
      <xdr:nvPicPr>
        <xdr:cNvPr id="2" name="Picture 1">
          <a:extLst>
            <a:ext uri="{FF2B5EF4-FFF2-40B4-BE49-F238E27FC236}">
              <a16:creationId xmlns:a16="http://schemas.microsoft.com/office/drawing/2014/main" id="{F48480D1-E659-3340-268E-F13B622C6279}"/>
            </a:ext>
          </a:extLst>
        </xdr:cNvPr>
        <xdr:cNvPicPr/>
      </xdr:nvPicPr>
      <xdr:blipFill>
        <a:blip xmlns:r="http://schemas.openxmlformats.org/officeDocument/2006/relationships" r:embed="rId1"/>
        <a:stretch>
          <a:fillRect/>
        </a:stretch>
      </xdr:blipFill>
      <xdr:spPr>
        <a:xfrm>
          <a:off x="0" y="0"/>
          <a:ext cx="6391275" cy="672719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xdr:from>
      <xdr:col>0</xdr:col>
      <xdr:colOff>0</xdr:colOff>
      <xdr:row>0</xdr:row>
      <xdr:rowOff>16932</xdr:rowOff>
    </xdr:from>
    <xdr:to>
      <xdr:col>10</xdr:col>
      <xdr:colOff>340868</xdr:colOff>
      <xdr:row>25</xdr:row>
      <xdr:rowOff>40480</xdr:rowOff>
    </xdr:to>
    <xdr:grpSp>
      <xdr:nvGrpSpPr>
        <xdr:cNvPr id="20" name="Group 1">
          <a:extLst>
            <a:ext uri="{FF2B5EF4-FFF2-40B4-BE49-F238E27FC236}">
              <a16:creationId xmlns:a16="http://schemas.microsoft.com/office/drawing/2014/main" id="{EDC9C7A1-323B-B325-D85A-F7D7A3B4A52C}"/>
            </a:ext>
          </a:extLst>
        </xdr:cNvPr>
        <xdr:cNvGrpSpPr/>
      </xdr:nvGrpSpPr>
      <xdr:grpSpPr>
        <a:xfrm>
          <a:off x="0" y="16932"/>
          <a:ext cx="6436868" cy="4680215"/>
          <a:chOff x="0" y="0"/>
          <a:chExt cx="6436995" cy="4627904"/>
        </a:xfrm>
      </xdr:grpSpPr>
      <xdr:sp macro="" textlink="">
        <xdr:nvSpPr>
          <xdr:cNvPr id="21" name="Shape 33367">
            <a:extLst>
              <a:ext uri="{FF2B5EF4-FFF2-40B4-BE49-F238E27FC236}">
                <a16:creationId xmlns:a16="http://schemas.microsoft.com/office/drawing/2014/main" id="{0EC75CE5-FAFD-1541-5CFD-B0D41E1CC772}"/>
              </a:ext>
            </a:extLst>
          </xdr:cNvPr>
          <xdr:cNvSpPr/>
        </xdr:nvSpPr>
        <xdr:spPr>
          <a:xfrm>
            <a:off x="381" y="381"/>
            <a:ext cx="6385560" cy="4298442"/>
          </a:xfrm>
          <a:custGeom>
            <a:avLst/>
            <a:gdLst/>
            <a:ahLst/>
            <a:cxnLst/>
            <a:rect l="0" t="0" r="0" b="0"/>
            <a:pathLst>
              <a:path w="6385560" h="4298442">
                <a:moveTo>
                  <a:pt x="0" y="0"/>
                </a:moveTo>
                <a:lnTo>
                  <a:pt x="6385560" y="0"/>
                </a:lnTo>
                <a:lnTo>
                  <a:pt x="6385560" y="4298442"/>
                </a:lnTo>
                <a:lnTo>
                  <a:pt x="0" y="429844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22" name="Picture 3">
            <a:extLst>
              <a:ext uri="{FF2B5EF4-FFF2-40B4-BE49-F238E27FC236}">
                <a16:creationId xmlns:a16="http://schemas.microsoft.com/office/drawing/2014/main" id="{437C6919-FBA7-DAC4-79E6-5AAF022141D0}"/>
              </a:ext>
            </a:extLst>
          </xdr:cNvPr>
          <xdr:cNvPicPr/>
        </xdr:nvPicPr>
        <xdr:blipFill>
          <a:blip xmlns:r="http://schemas.openxmlformats.org/officeDocument/2006/relationships" r:embed="rId1"/>
          <a:stretch>
            <a:fillRect/>
          </a:stretch>
        </xdr:blipFill>
        <xdr:spPr>
          <a:xfrm>
            <a:off x="0" y="0"/>
            <a:ext cx="6386322" cy="4299204"/>
          </a:xfrm>
          <a:prstGeom prst="rect">
            <a:avLst/>
          </a:prstGeom>
        </xdr:spPr>
      </xdr:pic>
      <xdr:sp macro="" textlink="">
        <xdr:nvSpPr>
          <xdr:cNvPr id="23" name="Rectangle 4">
            <a:extLst>
              <a:ext uri="{FF2B5EF4-FFF2-40B4-BE49-F238E27FC236}">
                <a16:creationId xmlns:a16="http://schemas.microsoft.com/office/drawing/2014/main" id="{2537B873-144E-6444-C962-D9F4D1C5F025}"/>
              </a:ext>
            </a:extLst>
          </xdr:cNvPr>
          <xdr:cNvSpPr/>
        </xdr:nvSpPr>
        <xdr:spPr>
          <a:xfrm>
            <a:off x="6386322" y="4193536"/>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24" name="Rectangle 5">
            <a:extLst>
              <a:ext uri="{FF2B5EF4-FFF2-40B4-BE49-F238E27FC236}">
                <a16:creationId xmlns:a16="http://schemas.microsoft.com/office/drawing/2014/main" id="{A208CEEE-FC07-3CC8-F1A4-4376F6F333EC}"/>
              </a:ext>
            </a:extLst>
          </xdr:cNvPr>
          <xdr:cNvSpPr/>
        </xdr:nvSpPr>
        <xdr:spPr>
          <a:xfrm>
            <a:off x="2544318" y="4331132"/>
            <a:ext cx="1787765"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1:  Army Fighters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25" name="Rectangle 6">
            <a:extLst>
              <a:ext uri="{FF2B5EF4-FFF2-40B4-BE49-F238E27FC236}">
                <a16:creationId xmlns:a16="http://schemas.microsoft.com/office/drawing/2014/main" id="{DA31F6E9-C218-140B-4E68-0996E6CDEF8C}"/>
              </a:ext>
            </a:extLst>
          </xdr:cNvPr>
          <xdr:cNvSpPr/>
        </xdr:nvSpPr>
        <xdr:spPr>
          <a:xfrm>
            <a:off x="3200402" y="4476672"/>
            <a:ext cx="42312"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94.xml><?xml version="1.0" encoding="utf-8"?>
<xdr:wsDr xmlns:xdr="http://schemas.openxmlformats.org/drawingml/2006/spreadsheetDrawing" xmlns:a="http://schemas.openxmlformats.org/drawingml/2006/main">
  <xdr:twoCellAnchor>
    <xdr:from>
      <xdr:col>0</xdr:col>
      <xdr:colOff>245166</xdr:colOff>
      <xdr:row>0</xdr:row>
      <xdr:rowOff>88537</xdr:rowOff>
    </xdr:from>
    <xdr:to>
      <xdr:col>10</xdr:col>
      <xdr:colOff>582546</xdr:colOff>
      <xdr:row>26</xdr:row>
      <xdr:rowOff>113500</xdr:rowOff>
    </xdr:to>
    <xdr:grpSp>
      <xdr:nvGrpSpPr>
        <xdr:cNvPr id="8" name="Group 1">
          <a:extLst>
            <a:ext uri="{FF2B5EF4-FFF2-40B4-BE49-F238E27FC236}">
              <a16:creationId xmlns:a16="http://schemas.microsoft.com/office/drawing/2014/main" id="{7AC2D577-61A5-87D5-B8B3-887C0C29AD94}"/>
            </a:ext>
          </a:extLst>
        </xdr:cNvPr>
        <xdr:cNvGrpSpPr/>
      </xdr:nvGrpSpPr>
      <xdr:grpSpPr>
        <a:xfrm>
          <a:off x="245166" y="88537"/>
          <a:ext cx="6415237" cy="4860034"/>
          <a:chOff x="0" y="0"/>
          <a:chExt cx="6437756" cy="5657369"/>
        </a:xfrm>
      </xdr:grpSpPr>
      <xdr:sp macro="" textlink="">
        <xdr:nvSpPr>
          <xdr:cNvPr id="9" name="Shape 33385">
            <a:extLst>
              <a:ext uri="{FF2B5EF4-FFF2-40B4-BE49-F238E27FC236}">
                <a16:creationId xmlns:a16="http://schemas.microsoft.com/office/drawing/2014/main" id="{356F4422-02DA-4AFD-05B7-67C3CEFFBA8D}"/>
              </a:ext>
            </a:extLst>
          </xdr:cNvPr>
          <xdr:cNvSpPr/>
        </xdr:nvSpPr>
        <xdr:spPr>
          <a:xfrm>
            <a:off x="381" y="381"/>
            <a:ext cx="6386322" cy="5327142"/>
          </a:xfrm>
          <a:custGeom>
            <a:avLst/>
            <a:gdLst/>
            <a:ahLst/>
            <a:cxnLst/>
            <a:rect l="0" t="0" r="0" b="0"/>
            <a:pathLst>
              <a:path w="6386322" h="5327142">
                <a:moveTo>
                  <a:pt x="0" y="0"/>
                </a:moveTo>
                <a:lnTo>
                  <a:pt x="6386322" y="0"/>
                </a:lnTo>
                <a:lnTo>
                  <a:pt x="6386322" y="5327142"/>
                </a:lnTo>
                <a:lnTo>
                  <a:pt x="0" y="532714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10" name="Picture 3">
            <a:extLst>
              <a:ext uri="{FF2B5EF4-FFF2-40B4-BE49-F238E27FC236}">
                <a16:creationId xmlns:a16="http://schemas.microsoft.com/office/drawing/2014/main" id="{664C49D3-4205-7C4D-2FF9-458C26F7B2CA}"/>
              </a:ext>
            </a:extLst>
          </xdr:cNvPr>
          <xdr:cNvPicPr/>
        </xdr:nvPicPr>
        <xdr:blipFill>
          <a:blip xmlns:r="http://schemas.openxmlformats.org/officeDocument/2006/relationships" r:embed="rId1"/>
          <a:stretch>
            <a:fillRect/>
          </a:stretch>
        </xdr:blipFill>
        <xdr:spPr>
          <a:xfrm>
            <a:off x="0" y="0"/>
            <a:ext cx="6387085" cy="5327904"/>
          </a:xfrm>
          <a:prstGeom prst="rect">
            <a:avLst/>
          </a:prstGeom>
        </xdr:spPr>
      </xdr:pic>
      <xdr:sp macro="" textlink="">
        <xdr:nvSpPr>
          <xdr:cNvPr id="11" name="Rectangle 4">
            <a:extLst>
              <a:ext uri="{FF2B5EF4-FFF2-40B4-BE49-F238E27FC236}">
                <a16:creationId xmlns:a16="http://schemas.microsoft.com/office/drawing/2014/main" id="{26614EF8-1AE0-487B-B565-5400ACF5D467}"/>
              </a:ext>
            </a:extLst>
          </xdr:cNvPr>
          <xdr:cNvSpPr/>
        </xdr:nvSpPr>
        <xdr:spPr>
          <a:xfrm>
            <a:off x="6387083" y="5222236"/>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12" name="Rectangle 5">
            <a:extLst>
              <a:ext uri="{FF2B5EF4-FFF2-40B4-BE49-F238E27FC236}">
                <a16:creationId xmlns:a16="http://schemas.microsoft.com/office/drawing/2014/main" id="{F038BCA4-C9A0-1CE9-3760-8B8C25039043}"/>
              </a:ext>
            </a:extLst>
          </xdr:cNvPr>
          <xdr:cNvSpPr/>
        </xdr:nvSpPr>
        <xdr:spPr>
          <a:xfrm>
            <a:off x="2561844" y="5359832"/>
            <a:ext cx="1740663"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2:  Navy Fighters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13" name="Rectangle 6">
            <a:extLst>
              <a:ext uri="{FF2B5EF4-FFF2-40B4-BE49-F238E27FC236}">
                <a16:creationId xmlns:a16="http://schemas.microsoft.com/office/drawing/2014/main" id="{A450C870-D50B-5DF6-1DCF-E0B4003467A1}"/>
              </a:ext>
            </a:extLst>
          </xdr:cNvPr>
          <xdr:cNvSpPr/>
        </xdr:nvSpPr>
        <xdr:spPr>
          <a:xfrm>
            <a:off x="3200405" y="5506136"/>
            <a:ext cx="42312" cy="151233"/>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95.xml><?xml version="1.0" encoding="utf-8"?>
<xdr:wsDr xmlns:xdr="http://schemas.openxmlformats.org/drawingml/2006/spreadsheetDrawing" xmlns:a="http://schemas.openxmlformats.org/drawingml/2006/main">
  <xdr:twoCellAnchor>
    <xdr:from>
      <xdr:col>0</xdr:col>
      <xdr:colOff>190392</xdr:colOff>
      <xdr:row>0</xdr:row>
      <xdr:rowOff>129931</xdr:rowOff>
    </xdr:from>
    <xdr:to>
      <xdr:col>10</xdr:col>
      <xdr:colOff>535616</xdr:colOff>
      <xdr:row>73</xdr:row>
      <xdr:rowOff>44898</xdr:rowOff>
    </xdr:to>
    <xdr:grpSp>
      <xdr:nvGrpSpPr>
        <xdr:cNvPr id="2" name="Group 1">
          <a:extLst>
            <a:ext uri="{FF2B5EF4-FFF2-40B4-BE49-F238E27FC236}">
              <a16:creationId xmlns:a16="http://schemas.microsoft.com/office/drawing/2014/main" id="{25CE2EE0-26C9-EDD0-E00D-6D51377A86D4}"/>
            </a:ext>
          </a:extLst>
        </xdr:cNvPr>
        <xdr:cNvGrpSpPr/>
      </xdr:nvGrpSpPr>
      <xdr:grpSpPr>
        <a:xfrm>
          <a:off x="190392" y="129931"/>
          <a:ext cx="6441224" cy="13357917"/>
          <a:chOff x="381" y="-7963227"/>
          <a:chExt cx="6442711" cy="13358465"/>
        </a:xfrm>
      </xdr:grpSpPr>
      <xdr:sp macro="" textlink="">
        <xdr:nvSpPr>
          <xdr:cNvPr id="3" name="Shape 33417">
            <a:extLst>
              <a:ext uri="{FF2B5EF4-FFF2-40B4-BE49-F238E27FC236}">
                <a16:creationId xmlns:a16="http://schemas.microsoft.com/office/drawing/2014/main" id="{D66A7E7E-82C9-66E8-9EA2-12DF58C9F968}"/>
              </a:ext>
            </a:extLst>
          </xdr:cNvPr>
          <xdr:cNvSpPr/>
        </xdr:nvSpPr>
        <xdr:spPr>
          <a:xfrm>
            <a:off x="381" y="381"/>
            <a:ext cx="6391656" cy="5065776"/>
          </a:xfrm>
          <a:custGeom>
            <a:avLst/>
            <a:gdLst/>
            <a:ahLst/>
            <a:cxnLst/>
            <a:rect l="0" t="0" r="0" b="0"/>
            <a:pathLst>
              <a:path w="6391656" h="5065776">
                <a:moveTo>
                  <a:pt x="0" y="0"/>
                </a:moveTo>
                <a:lnTo>
                  <a:pt x="6391656" y="0"/>
                </a:lnTo>
                <a:lnTo>
                  <a:pt x="6391656" y="5065776"/>
                </a:lnTo>
                <a:lnTo>
                  <a:pt x="0" y="5065776"/>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4" name="Picture 3">
            <a:extLst>
              <a:ext uri="{FF2B5EF4-FFF2-40B4-BE49-F238E27FC236}">
                <a16:creationId xmlns:a16="http://schemas.microsoft.com/office/drawing/2014/main" id="{EED83B2E-708C-DA97-AC06-E2EBA5E58BB2}"/>
              </a:ext>
            </a:extLst>
          </xdr:cNvPr>
          <xdr:cNvPicPr/>
        </xdr:nvPicPr>
        <xdr:blipFill>
          <a:blip xmlns:r="http://schemas.openxmlformats.org/officeDocument/2006/relationships" r:embed="rId1"/>
          <a:stretch>
            <a:fillRect/>
          </a:stretch>
        </xdr:blipFill>
        <xdr:spPr>
          <a:xfrm>
            <a:off x="25407" y="-7963227"/>
            <a:ext cx="6392418" cy="5066538"/>
          </a:xfrm>
          <a:prstGeom prst="rect">
            <a:avLst/>
          </a:prstGeom>
        </xdr:spPr>
      </xdr:pic>
      <xdr:sp macro="" textlink="">
        <xdr:nvSpPr>
          <xdr:cNvPr id="5" name="Rectangle 4">
            <a:extLst>
              <a:ext uri="{FF2B5EF4-FFF2-40B4-BE49-F238E27FC236}">
                <a16:creationId xmlns:a16="http://schemas.microsoft.com/office/drawing/2014/main" id="{2509FBED-F230-ED25-C938-C86C248C473E}"/>
              </a:ext>
            </a:extLst>
          </xdr:cNvPr>
          <xdr:cNvSpPr/>
        </xdr:nvSpPr>
        <xdr:spPr>
          <a:xfrm>
            <a:off x="6392419" y="4960870"/>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6" name="Rectangle 5">
            <a:extLst>
              <a:ext uri="{FF2B5EF4-FFF2-40B4-BE49-F238E27FC236}">
                <a16:creationId xmlns:a16="http://schemas.microsoft.com/office/drawing/2014/main" id="{F79C186A-D9A9-11D0-1AA0-746078471440}"/>
              </a:ext>
            </a:extLst>
          </xdr:cNvPr>
          <xdr:cNvSpPr/>
        </xdr:nvSpPr>
        <xdr:spPr>
          <a:xfrm>
            <a:off x="3200400" y="5098466"/>
            <a:ext cx="42312"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7" name="Rectangle 6">
            <a:extLst>
              <a:ext uri="{FF2B5EF4-FFF2-40B4-BE49-F238E27FC236}">
                <a16:creationId xmlns:a16="http://schemas.microsoft.com/office/drawing/2014/main" id="{200FF884-5F97-C531-5076-8C933756B0AC}"/>
              </a:ext>
            </a:extLst>
          </xdr:cNvPr>
          <xdr:cNvSpPr/>
        </xdr:nvSpPr>
        <xdr:spPr>
          <a:xfrm>
            <a:off x="1639057" y="5244006"/>
            <a:ext cx="4193944"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4:  Attackers, Dive Bombers and Torpedo Bombers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96.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353567</xdr:colOff>
      <xdr:row>28</xdr:row>
      <xdr:rowOff>150554</xdr:rowOff>
    </xdr:to>
    <xdr:grpSp>
      <xdr:nvGrpSpPr>
        <xdr:cNvPr id="2" name="Group 1">
          <a:extLst>
            <a:ext uri="{FF2B5EF4-FFF2-40B4-BE49-F238E27FC236}">
              <a16:creationId xmlns:a16="http://schemas.microsoft.com/office/drawing/2014/main" id="{D9BEC841-0399-8E05-2968-32A365266F4E}"/>
            </a:ext>
          </a:extLst>
        </xdr:cNvPr>
        <xdr:cNvGrpSpPr/>
      </xdr:nvGrpSpPr>
      <xdr:grpSpPr>
        <a:xfrm>
          <a:off x="0" y="0"/>
          <a:ext cx="6449567" cy="5306754"/>
          <a:chOff x="0" y="0"/>
          <a:chExt cx="6449949" cy="5306848"/>
        </a:xfrm>
      </xdr:grpSpPr>
      <xdr:sp macro="" textlink="">
        <xdr:nvSpPr>
          <xdr:cNvPr id="3" name="Shape 33433">
            <a:extLst>
              <a:ext uri="{FF2B5EF4-FFF2-40B4-BE49-F238E27FC236}">
                <a16:creationId xmlns:a16="http://schemas.microsoft.com/office/drawing/2014/main" id="{05DFEB15-62D2-B096-462E-06A5C1A31DE4}"/>
              </a:ext>
            </a:extLst>
          </xdr:cNvPr>
          <xdr:cNvSpPr/>
        </xdr:nvSpPr>
        <xdr:spPr>
          <a:xfrm>
            <a:off x="383" y="381"/>
            <a:ext cx="6398514" cy="4947666"/>
          </a:xfrm>
          <a:custGeom>
            <a:avLst/>
            <a:gdLst/>
            <a:ahLst/>
            <a:cxnLst/>
            <a:rect l="0" t="0" r="0" b="0"/>
            <a:pathLst>
              <a:path w="6398514" h="4947666">
                <a:moveTo>
                  <a:pt x="0" y="0"/>
                </a:moveTo>
                <a:lnTo>
                  <a:pt x="6398514" y="0"/>
                </a:lnTo>
                <a:lnTo>
                  <a:pt x="6398514" y="4947666"/>
                </a:lnTo>
                <a:lnTo>
                  <a:pt x="0" y="4947666"/>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4" name="Picture 3">
            <a:extLst>
              <a:ext uri="{FF2B5EF4-FFF2-40B4-BE49-F238E27FC236}">
                <a16:creationId xmlns:a16="http://schemas.microsoft.com/office/drawing/2014/main" id="{4B237FB4-0CA7-B31F-EA77-56236BAFA870}"/>
              </a:ext>
            </a:extLst>
          </xdr:cNvPr>
          <xdr:cNvPicPr/>
        </xdr:nvPicPr>
        <xdr:blipFill>
          <a:blip xmlns:r="http://schemas.openxmlformats.org/officeDocument/2006/relationships" r:embed="rId1"/>
          <a:stretch>
            <a:fillRect/>
          </a:stretch>
        </xdr:blipFill>
        <xdr:spPr>
          <a:xfrm>
            <a:off x="2" y="0"/>
            <a:ext cx="6399276" cy="4948428"/>
          </a:xfrm>
          <a:prstGeom prst="rect">
            <a:avLst/>
          </a:prstGeom>
        </xdr:spPr>
      </xdr:pic>
      <xdr:sp macro="" textlink="">
        <xdr:nvSpPr>
          <xdr:cNvPr id="5" name="Rectangle 4">
            <a:extLst>
              <a:ext uri="{FF2B5EF4-FFF2-40B4-BE49-F238E27FC236}">
                <a16:creationId xmlns:a16="http://schemas.microsoft.com/office/drawing/2014/main" id="{D91E4E51-9B10-3B84-CEDD-75ED6CEC0E75}"/>
              </a:ext>
            </a:extLst>
          </xdr:cNvPr>
          <xdr:cNvSpPr/>
        </xdr:nvSpPr>
        <xdr:spPr>
          <a:xfrm>
            <a:off x="6399276" y="4845216"/>
            <a:ext cx="50673" cy="181116"/>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b="1" kern="100">
                <a:solidFill>
                  <a:srgbClr val="000000"/>
                </a:solidFill>
                <a:effectLst/>
                <a:latin typeface="Times New Roman" panose="02020603050405020304" pitchFamily="18" charset="0"/>
                <a:ea typeface="Times New Roman" panose="02020603050405020304" pitchFamily="18" charset="0"/>
              </a:rPr>
              <a: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6" name="Rectangle 5">
            <a:extLst>
              <a:ext uri="{FF2B5EF4-FFF2-40B4-BE49-F238E27FC236}">
                <a16:creationId xmlns:a16="http://schemas.microsoft.com/office/drawing/2014/main" id="{65417D11-EA5F-72E2-C6DE-2638B3EBBA49}"/>
              </a:ext>
            </a:extLst>
          </xdr:cNvPr>
          <xdr:cNvSpPr/>
        </xdr:nvSpPr>
        <xdr:spPr>
          <a:xfrm>
            <a:off x="0" y="4986948"/>
            <a:ext cx="50673" cy="181116"/>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b="1" kern="100">
                <a:solidFill>
                  <a:srgbClr val="000000"/>
                </a:solidFill>
                <a:effectLst/>
                <a:latin typeface="Times New Roman" panose="02020603050405020304" pitchFamily="18" charset="0"/>
                <a:ea typeface="Times New Roman" panose="02020603050405020304" pitchFamily="18" charset="0"/>
              </a:rPr>
              <a: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7" name="Rectangle 6">
            <a:extLst>
              <a:ext uri="{FF2B5EF4-FFF2-40B4-BE49-F238E27FC236}">
                <a16:creationId xmlns:a16="http://schemas.microsoft.com/office/drawing/2014/main" id="{7AFBBE46-1ED9-7D96-E941-D1140C9B2EC1}"/>
              </a:ext>
            </a:extLst>
          </xdr:cNvPr>
          <xdr:cNvSpPr/>
        </xdr:nvSpPr>
        <xdr:spPr>
          <a:xfrm>
            <a:off x="2296670" y="5155616"/>
            <a:ext cx="2445140"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5:  Twin-Engined Bombers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97.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345313</xdr:colOff>
      <xdr:row>26</xdr:row>
      <xdr:rowOff>62285</xdr:rowOff>
    </xdr:to>
    <xdr:grpSp>
      <xdr:nvGrpSpPr>
        <xdr:cNvPr id="2" name="Group 1">
          <a:extLst>
            <a:ext uri="{FF2B5EF4-FFF2-40B4-BE49-F238E27FC236}">
              <a16:creationId xmlns:a16="http://schemas.microsoft.com/office/drawing/2014/main" id="{2679CC2A-B9FB-B923-5989-DE012001D589}"/>
            </a:ext>
          </a:extLst>
        </xdr:cNvPr>
        <xdr:cNvGrpSpPr/>
      </xdr:nvGrpSpPr>
      <xdr:grpSpPr>
        <a:xfrm>
          <a:off x="0" y="0"/>
          <a:ext cx="6441313" cy="4850185"/>
          <a:chOff x="0" y="0"/>
          <a:chExt cx="6441567" cy="4850408"/>
        </a:xfrm>
      </xdr:grpSpPr>
      <xdr:sp macro="" textlink="">
        <xdr:nvSpPr>
          <xdr:cNvPr id="3" name="Shape 33457">
            <a:extLst>
              <a:ext uri="{FF2B5EF4-FFF2-40B4-BE49-F238E27FC236}">
                <a16:creationId xmlns:a16="http://schemas.microsoft.com/office/drawing/2014/main" id="{D20AD15A-679F-0BB4-7C23-845900952267}"/>
              </a:ext>
            </a:extLst>
          </xdr:cNvPr>
          <xdr:cNvSpPr/>
        </xdr:nvSpPr>
        <xdr:spPr>
          <a:xfrm>
            <a:off x="381" y="381"/>
            <a:ext cx="6390132" cy="4520946"/>
          </a:xfrm>
          <a:custGeom>
            <a:avLst/>
            <a:gdLst/>
            <a:ahLst/>
            <a:cxnLst/>
            <a:rect l="0" t="0" r="0" b="0"/>
            <a:pathLst>
              <a:path w="6390132" h="4520946">
                <a:moveTo>
                  <a:pt x="0" y="0"/>
                </a:moveTo>
                <a:lnTo>
                  <a:pt x="6390132" y="0"/>
                </a:lnTo>
                <a:lnTo>
                  <a:pt x="6390132" y="4520946"/>
                </a:lnTo>
                <a:lnTo>
                  <a:pt x="0" y="4520946"/>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4" name="Picture 3">
            <a:extLst>
              <a:ext uri="{FF2B5EF4-FFF2-40B4-BE49-F238E27FC236}">
                <a16:creationId xmlns:a16="http://schemas.microsoft.com/office/drawing/2014/main" id="{53ED4123-3C7C-58C0-1A5E-C0E0B0889E10}"/>
              </a:ext>
            </a:extLst>
          </xdr:cNvPr>
          <xdr:cNvPicPr/>
        </xdr:nvPicPr>
        <xdr:blipFill>
          <a:blip xmlns:r="http://schemas.openxmlformats.org/officeDocument/2006/relationships" r:embed="rId1"/>
          <a:stretch>
            <a:fillRect/>
          </a:stretch>
        </xdr:blipFill>
        <xdr:spPr>
          <a:xfrm>
            <a:off x="0" y="0"/>
            <a:ext cx="6390894" cy="4521708"/>
          </a:xfrm>
          <a:prstGeom prst="rect">
            <a:avLst/>
          </a:prstGeom>
        </xdr:spPr>
      </xdr:pic>
      <xdr:sp macro="" textlink="">
        <xdr:nvSpPr>
          <xdr:cNvPr id="5" name="Rectangle 4">
            <a:extLst>
              <a:ext uri="{FF2B5EF4-FFF2-40B4-BE49-F238E27FC236}">
                <a16:creationId xmlns:a16="http://schemas.microsoft.com/office/drawing/2014/main" id="{5B674B96-0546-7419-6B16-AF72D2763E60}"/>
              </a:ext>
            </a:extLst>
          </xdr:cNvPr>
          <xdr:cNvSpPr/>
        </xdr:nvSpPr>
        <xdr:spPr>
          <a:xfrm>
            <a:off x="6390894" y="4416040"/>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6" name="Rectangle 5">
            <a:extLst>
              <a:ext uri="{FF2B5EF4-FFF2-40B4-BE49-F238E27FC236}">
                <a16:creationId xmlns:a16="http://schemas.microsoft.com/office/drawing/2014/main" id="{F11CD790-B461-7479-27BA-320CE1A1348F}"/>
              </a:ext>
            </a:extLst>
          </xdr:cNvPr>
          <xdr:cNvSpPr/>
        </xdr:nvSpPr>
        <xdr:spPr>
          <a:xfrm>
            <a:off x="2304288" y="4553636"/>
            <a:ext cx="2426287"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6:  Four-Engined Bombers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7" name="Rectangle 6">
            <a:extLst>
              <a:ext uri="{FF2B5EF4-FFF2-40B4-BE49-F238E27FC236}">
                <a16:creationId xmlns:a16="http://schemas.microsoft.com/office/drawing/2014/main" id="{282093D1-43F2-5A69-CDEE-E8ADB12DA479}"/>
              </a:ext>
            </a:extLst>
          </xdr:cNvPr>
          <xdr:cNvSpPr/>
        </xdr:nvSpPr>
        <xdr:spPr>
          <a:xfrm>
            <a:off x="3200398" y="4699176"/>
            <a:ext cx="42312"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98.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352298</xdr:colOff>
      <xdr:row>33</xdr:row>
      <xdr:rowOff>140364</xdr:rowOff>
    </xdr:to>
    <xdr:grpSp>
      <xdr:nvGrpSpPr>
        <xdr:cNvPr id="2" name="Group 1">
          <a:extLst>
            <a:ext uri="{FF2B5EF4-FFF2-40B4-BE49-F238E27FC236}">
              <a16:creationId xmlns:a16="http://schemas.microsoft.com/office/drawing/2014/main" id="{C33E3301-D317-62DB-3248-5BCD65DA51F4}"/>
            </a:ext>
          </a:extLst>
        </xdr:cNvPr>
        <xdr:cNvGrpSpPr/>
      </xdr:nvGrpSpPr>
      <xdr:grpSpPr>
        <a:xfrm>
          <a:off x="0" y="0"/>
          <a:ext cx="6448298" cy="6217314"/>
          <a:chOff x="0" y="0"/>
          <a:chExt cx="6448424" cy="6217386"/>
        </a:xfrm>
      </xdr:grpSpPr>
      <xdr:sp macro="" textlink="">
        <xdr:nvSpPr>
          <xdr:cNvPr id="3" name="Shape 33473">
            <a:extLst>
              <a:ext uri="{FF2B5EF4-FFF2-40B4-BE49-F238E27FC236}">
                <a16:creationId xmlns:a16="http://schemas.microsoft.com/office/drawing/2014/main" id="{3B8AB8DC-42E8-3275-268E-F36B752AEA34}"/>
              </a:ext>
            </a:extLst>
          </xdr:cNvPr>
          <xdr:cNvSpPr/>
        </xdr:nvSpPr>
        <xdr:spPr>
          <a:xfrm>
            <a:off x="381" y="381"/>
            <a:ext cx="6396990" cy="5851398"/>
          </a:xfrm>
          <a:custGeom>
            <a:avLst/>
            <a:gdLst/>
            <a:ahLst/>
            <a:cxnLst/>
            <a:rect l="0" t="0" r="0" b="0"/>
            <a:pathLst>
              <a:path w="6396990" h="5851398">
                <a:moveTo>
                  <a:pt x="0" y="0"/>
                </a:moveTo>
                <a:lnTo>
                  <a:pt x="6396990" y="0"/>
                </a:lnTo>
                <a:lnTo>
                  <a:pt x="6396990" y="5851398"/>
                </a:lnTo>
                <a:lnTo>
                  <a:pt x="0" y="5851398"/>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4" name="Picture 3">
            <a:extLst>
              <a:ext uri="{FF2B5EF4-FFF2-40B4-BE49-F238E27FC236}">
                <a16:creationId xmlns:a16="http://schemas.microsoft.com/office/drawing/2014/main" id="{4AF2854B-60B2-B3D1-F9A6-95E554F5F492}"/>
              </a:ext>
            </a:extLst>
          </xdr:cNvPr>
          <xdr:cNvPicPr/>
        </xdr:nvPicPr>
        <xdr:blipFill>
          <a:blip xmlns:r="http://schemas.openxmlformats.org/officeDocument/2006/relationships" r:embed="rId1"/>
          <a:stretch>
            <a:fillRect/>
          </a:stretch>
        </xdr:blipFill>
        <xdr:spPr>
          <a:xfrm>
            <a:off x="0" y="0"/>
            <a:ext cx="6397752" cy="5852160"/>
          </a:xfrm>
          <a:prstGeom prst="rect">
            <a:avLst/>
          </a:prstGeom>
        </xdr:spPr>
      </xdr:pic>
      <xdr:sp macro="" textlink="">
        <xdr:nvSpPr>
          <xdr:cNvPr id="5" name="Rectangle 4">
            <a:extLst>
              <a:ext uri="{FF2B5EF4-FFF2-40B4-BE49-F238E27FC236}">
                <a16:creationId xmlns:a16="http://schemas.microsoft.com/office/drawing/2014/main" id="{AFB34FD6-E530-2163-8D0B-5F1DC913D0D2}"/>
              </a:ext>
            </a:extLst>
          </xdr:cNvPr>
          <xdr:cNvSpPr/>
        </xdr:nvSpPr>
        <xdr:spPr>
          <a:xfrm>
            <a:off x="6397751" y="5746492"/>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6" name="Rectangle 5">
            <a:extLst>
              <a:ext uri="{FF2B5EF4-FFF2-40B4-BE49-F238E27FC236}">
                <a16:creationId xmlns:a16="http://schemas.microsoft.com/office/drawing/2014/main" id="{111B5E1B-1994-2EC8-3ADF-090E954D8595}"/>
              </a:ext>
            </a:extLst>
          </xdr:cNvPr>
          <xdr:cNvSpPr/>
        </xdr:nvSpPr>
        <xdr:spPr>
          <a:xfrm>
            <a:off x="2277618" y="5884088"/>
            <a:ext cx="2496237" cy="151233"/>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7:  Seaplane Patrol Aircraft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sp macro="" textlink="">
        <xdr:nvSpPr>
          <xdr:cNvPr id="7" name="Rectangle 6">
            <a:extLst>
              <a:ext uri="{FF2B5EF4-FFF2-40B4-BE49-F238E27FC236}">
                <a16:creationId xmlns:a16="http://schemas.microsoft.com/office/drawing/2014/main" id="{8F175BA7-C588-BE79-8F59-7FE1947E01DA}"/>
              </a:ext>
            </a:extLst>
          </xdr:cNvPr>
          <xdr:cNvSpPr/>
        </xdr:nvSpPr>
        <xdr:spPr>
          <a:xfrm>
            <a:off x="3200400" y="6033004"/>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grpSp>
    <xdr:clientData/>
  </xdr:twoCellAnchor>
</xdr:wsDr>
</file>

<file path=xl/drawings/drawing9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351663</xdr:colOff>
      <xdr:row>26</xdr:row>
      <xdr:rowOff>6404</xdr:rowOff>
    </xdr:to>
    <xdr:grpSp>
      <xdr:nvGrpSpPr>
        <xdr:cNvPr id="2" name="Group 1">
          <a:extLst>
            <a:ext uri="{FF2B5EF4-FFF2-40B4-BE49-F238E27FC236}">
              <a16:creationId xmlns:a16="http://schemas.microsoft.com/office/drawing/2014/main" id="{0F0C2D97-5EFB-D8E8-24EE-5300579D1D2C}"/>
            </a:ext>
          </a:extLst>
        </xdr:cNvPr>
        <xdr:cNvGrpSpPr/>
      </xdr:nvGrpSpPr>
      <xdr:grpSpPr>
        <a:xfrm>
          <a:off x="0" y="0"/>
          <a:ext cx="6463538" cy="4753029"/>
          <a:chOff x="0" y="0"/>
          <a:chExt cx="6447663" cy="4794784"/>
        </a:xfrm>
      </xdr:grpSpPr>
      <xdr:sp macro="" textlink="">
        <xdr:nvSpPr>
          <xdr:cNvPr id="3" name="Shape 33497">
            <a:extLst>
              <a:ext uri="{FF2B5EF4-FFF2-40B4-BE49-F238E27FC236}">
                <a16:creationId xmlns:a16="http://schemas.microsoft.com/office/drawing/2014/main" id="{7FD60605-C1E0-0209-D729-074BBCAFFF8E}"/>
              </a:ext>
            </a:extLst>
          </xdr:cNvPr>
          <xdr:cNvSpPr/>
        </xdr:nvSpPr>
        <xdr:spPr>
          <a:xfrm>
            <a:off x="381" y="381"/>
            <a:ext cx="6396229" cy="4435602"/>
          </a:xfrm>
          <a:custGeom>
            <a:avLst/>
            <a:gdLst/>
            <a:ahLst/>
            <a:cxnLst/>
            <a:rect l="0" t="0" r="0" b="0"/>
            <a:pathLst>
              <a:path w="6396229" h="4435602">
                <a:moveTo>
                  <a:pt x="0" y="0"/>
                </a:moveTo>
                <a:lnTo>
                  <a:pt x="6396229" y="0"/>
                </a:lnTo>
                <a:lnTo>
                  <a:pt x="6396229" y="4435602"/>
                </a:lnTo>
                <a:lnTo>
                  <a:pt x="0" y="443560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wrap="square"/>
          <a:lstStyle/>
          <a:p>
            <a:endParaRPr lang="en-US"/>
          </a:p>
        </xdr:txBody>
      </xdr:sp>
      <xdr:pic>
        <xdr:nvPicPr>
          <xdr:cNvPr id="4" name="Picture 3">
            <a:extLst>
              <a:ext uri="{FF2B5EF4-FFF2-40B4-BE49-F238E27FC236}">
                <a16:creationId xmlns:a16="http://schemas.microsoft.com/office/drawing/2014/main" id="{270AD1B7-55B7-C472-6054-A8CFEA8FCB2F}"/>
              </a:ext>
            </a:extLst>
          </xdr:cNvPr>
          <xdr:cNvPicPr/>
        </xdr:nvPicPr>
        <xdr:blipFill>
          <a:blip xmlns:r="http://schemas.openxmlformats.org/officeDocument/2006/relationships" r:embed="rId1"/>
          <a:stretch>
            <a:fillRect/>
          </a:stretch>
        </xdr:blipFill>
        <xdr:spPr>
          <a:xfrm>
            <a:off x="0" y="0"/>
            <a:ext cx="6396990" cy="4436364"/>
          </a:xfrm>
          <a:prstGeom prst="rect">
            <a:avLst/>
          </a:prstGeom>
        </xdr:spPr>
      </xdr:pic>
      <xdr:sp macro="" textlink="">
        <xdr:nvSpPr>
          <xdr:cNvPr id="5" name="Rectangle 4">
            <a:extLst>
              <a:ext uri="{FF2B5EF4-FFF2-40B4-BE49-F238E27FC236}">
                <a16:creationId xmlns:a16="http://schemas.microsoft.com/office/drawing/2014/main" id="{186298B2-0AC8-1433-C2B3-1CFA3FB7A32C}"/>
              </a:ext>
            </a:extLst>
          </xdr:cNvPr>
          <xdr:cNvSpPr/>
        </xdr:nvSpPr>
        <xdr:spPr>
          <a:xfrm>
            <a:off x="6396990" y="4330696"/>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6" name="Rectangle 5">
            <a:extLst>
              <a:ext uri="{FF2B5EF4-FFF2-40B4-BE49-F238E27FC236}">
                <a16:creationId xmlns:a16="http://schemas.microsoft.com/office/drawing/2014/main" id="{DA0E1EBE-FAB7-80E9-1215-E6BD85918E5B}"/>
              </a:ext>
            </a:extLst>
          </xdr:cNvPr>
          <xdr:cNvSpPr/>
        </xdr:nvSpPr>
        <xdr:spPr>
          <a:xfrm>
            <a:off x="0" y="4470904"/>
            <a:ext cx="50673" cy="18438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rPr>
              <a:t> </a:t>
            </a:r>
          </a:p>
        </xdr:txBody>
      </xdr:sp>
      <xdr:sp macro="" textlink="">
        <xdr:nvSpPr>
          <xdr:cNvPr id="7" name="Rectangle 6">
            <a:extLst>
              <a:ext uri="{FF2B5EF4-FFF2-40B4-BE49-F238E27FC236}">
                <a16:creationId xmlns:a16="http://schemas.microsoft.com/office/drawing/2014/main" id="{B5E26124-2255-78AD-6A97-8C19454C9220}"/>
              </a:ext>
            </a:extLst>
          </xdr:cNvPr>
          <xdr:cNvSpPr/>
        </xdr:nvSpPr>
        <xdr:spPr>
          <a:xfrm>
            <a:off x="2640330" y="4643552"/>
            <a:ext cx="1530593" cy="151232"/>
          </a:xfrm>
          <a:prstGeom prst="rect">
            <a:avLst/>
          </a:prstGeom>
          <a:ln>
            <a:noFill/>
          </a:ln>
        </xdr:spPr>
        <xdr:txBody>
          <a:bodyPr vert="horz" wrap="square" lIns="0" tIns="0" rIns="0" bIns="0" rtlCol="0">
            <a:noAutofit/>
          </a:bodyPr>
          <a:lstStyle/>
          <a:p>
            <a:pPr marL="0" marR="0" indent="0">
              <a:lnSpc>
                <a:spcPct val="107000"/>
              </a:lnSpc>
              <a:spcAft>
                <a:spcPts val="800"/>
              </a:spcAft>
            </a:pPr>
            <a:r>
              <a:rPr lang="en-US" sz="1000" b="1" kern="100">
                <a:solidFill>
                  <a:srgbClr val="000000"/>
                </a:solidFill>
                <a:effectLst/>
                <a:latin typeface="Times New Roman" panose="02020603050405020304" pitchFamily="18" charset="0"/>
                <a:ea typeface="Times New Roman" panose="02020603050405020304" pitchFamily="18" charset="0"/>
              </a:rPr>
              <a:t>Table 8:  Transports </a:t>
            </a:r>
            <a:endParaRPr lang="en-US" sz="1200" kern="100">
              <a:solidFill>
                <a:srgbClr val="000000"/>
              </a:solidFill>
              <a:effectLst/>
              <a:latin typeface="Times New Roman" panose="02020603050405020304" pitchFamily="18" charset="0"/>
              <a:ea typeface="Times New Roman" panose="02020603050405020304" pitchFamily="18" charset="0"/>
            </a:endParaRP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AEF6E-ACB7-40AB-A44E-B7D8877ADE0B}">
  <dimension ref="A1:B5"/>
  <sheetViews>
    <sheetView workbookViewId="0">
      <selection activeCell="B5" sqref="B5"/>
    </sheetView>
  </sheetViews>
  <sheetFormatPr defaultRowHeight="14.5"/>
  <cols>
    <col min="1" max="1" width="2.6328125" style="2" customWidth="1"/>
    <col min="2" max="2" width="162.453125" style="1" customWidth="1"/>
  </cols>
  <sheetData>
    <row r="1" spans="1:2">
      <c r="A1" s="2">
        <v>1</v>
      </c>
      <c r="B1" s="1" t="s">
        <v>0</v>
      </c>
    </row>
    <row r="2" spans="1:2">
      <c r="A2" s="2">
        <v>2</v>
      </c>
      <c r="B2" s="1" t="s">
        <v>1</v>
      </c>
    </row>
    <row r="3" spans="1:2">
      <c r="A3" s="2">
        <v>3</v>
      </c>
      <c r="B3" s="1" t="s">
        <v>2</v>
      </c>
    </row>
    <row r="4" spans="1:2">
      <c r="A4" s="2">
        <v>4</v>
      </c>
      <c r="B4" s="1" t="s">
        <v>3</v>
      </c>
    </row>
    <row r="5" spans="1:2" ht="43.5">
      <c r="A5" s="2">
        <v>5</v>
      </c>
      <c r="B5" s="1" t="s">
        <v>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1D00F-B2AA-4D5B-8732-6A7E6375A460}">
  <dimension ref="N1:N4"/>
  <sheetViews>
    <sheetView topLeftCell="A13" zoomScale="150" zoomScaleNormal="150" workbookViewId="0">
      <selection activeCell="A13" sqref="A13"/>
    </sheetView>
  </sheetViews>
  <sheetFormatPr defaultRowHeight="14.5"/>
  <cols>
    <col min="12" max="12" width="13.08984375" bestFit="1" customWidth="1"/>
    <col min="13" max="13" width="4.453125" bestFit="1" customWidth="1"/>
  </cols>
  <sheetData>
    <row r="1" spans="14:14">
      <c r="N1" t="s">
        <v>8</v>
      </c>
    </row>
    <row r="2" spans="14:14">
      <c r="N2" t="s">
        <v>9</v>
      </c>
    </row>
    <row r="4" spans="14:14">
      <c r="N4">
        <v>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7962F-D368-4F10-8A72-6D9A27A9CF98}">
  <dimension ref="A1"/>
  <sheetViews>
    <sheetView zoomScale="140" zoomScaleNormal="140" workbookViewId="0">
      <selection activeCell="L33" sqref="L7:L33"/>
    </sheetView>
  </sheetViews>
  <sheetFormatPr defaultRowHeight="14.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D9EA6-E151-4AFF-AC64-10E0832E5A4D}">
  <dimension ref="A1"/>
  <sheetViews>
    <sheetView topLeftCell="A58" zoomScaleNormal="100" workbookViewId="0">
      <selection activeCell="T58" sqref="T58"/>
    </sheetView>
  </sheetViews>
  <sheetFormatPr defaultRowHeight="14.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37F7-B8AF-49F0-A030-7951C97DF261}">
  <dimension ref="A1"/>
  <sheetViews>
    <sheetView workbookViewId="0"/>
  </sheetViews>
  <sheetFormatPr defaultRowHeight="14.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FD5B-AD86-4D6D-804D-5F7A99C1E06F}">
  <dimension ref="A1"/>
  <sheetViews>
    <sheetView workbookViewId="0"/>
  </sheetViews>
  <sheetFormatPr defaultRowHeight="14.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8E700-FFC8-40D8-AEDE-7BFEFC92004C}">
  <dimension ref="A1"/>
  <sheetViews>
    <sheetView workbookViewId="0"/>
  </sheetViews>
  <sheetFormatPr defaultRowHeight="14.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332A7-3216-47E3-BF62-710883683C3A}">
  <dimension ref="A1"/>
  <sheetViews>
    <sheetView zoomScale="160" zoomScaleNormal="160" workbookViewId="0"/>
  </sheetViews>
  <sheetFormatPr defaultRowHeight="14.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1C136-F1CA-468A-92B1-DF69F9B936B6}">
  <dimension ref="A1"/>
  <sheetViews>
    <sheetView topLeftCell="I71" zoomScale="140" zoomScaleNormal="140" workbookViewId="0">
      <selection activeCell="L71" sqref="L1:U1048576"/>
    </sheetView>
  </sheetViews>
  <sheetFormatPr defaultRowHeight="1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3118A-BD51-4C7F-B6DD-1710699B2055}">
  <dimension ref="A1:H178"/>
  <sheetViews>
    <sheetView zoomScale="97" zoomScaleNormal="100" workbookViewId="0">
      <pane xSplit="2" ySplit="2" topLeftCell="C120" activePane="bottomRight" state="frozen"/>
      <selection activeCell="B5" sqref="B5"/>
      <selection pane="topRight" activeCell="B5" sqref="B5"/>
      <selection pane="bottomLeft" activeCell="B5" sqref="B5"/>
      <selection pane="bottomRight" activeCell="D1" sqref="D1:D1048576"/>
    </sheetView>
  </sheetViews>
  <sheetFormatPr defaultRowHeight="10"/>
  <cols>
    <col min="1" max="1" width="32.36328125" style="3" bestFit="1" customWidth="1"/>
    <col min="2" max="2" width="26.1796875" style="3" bestFit="1" customWidth="1"/>
    <col min="3" max="3" width="2.08984375" style="13" customWidth="1"/>
    <col min="4" max="4" width="9.26953125" style="13" bestFit="1" customWidth="1"/>
    <col min="5" max="16384" width="8.7265625" style="3"/>
  </cols>
  <sheetData>
    <row r="1" spans="1:4" ht="10.5" thickBot="1">
      <c r="B1" s="51"/>
      <c r="C1" s="52"/>
      <c r="D1" s="93" t="s">
        <v>256</v>
      </c>
    </row>
    <row r="2" spans="1:4">
      <c r="A2" s="125"/>
      <c r="B2" s="63"/>
      <c r="C2" s="45"/>
      <c r="D2" s="94" t="s">
        <v>257</v>
      </c>
    </row>
    <row r="3" spans="1:4">
      <c r="A3" s="126"/>
      <c r="B3" s="64"/>
      <c r="C3" s="65"/>
      <c r="D3" s="95" t="s">
        <v>235</v>
      </c>
    </row>
    <row r="4" spans="1:4" ht="10.5" thickBot="1">
      <c r="A4" s="292" t="s">
        <v>446</v>
      </c>
      <c r="B4" s="68" t="s">
        <v>272</v>
      </c>
      <c r="C4" s="69"/>
      <c r="D4" s="96">
        <v>1</v>
      </c>
    </row>
    <row r="5" spans="1:4" ht="10.5" thickTop="1">
      <c r="A5" s="127" t="s">
        <v>161</v>
      </c>
      <c r="B5" s="56" t="s">
        <v>161</v>
      </c>
      <c r="C5" s="17"/>
      <c r="D5" s="97" t="s">
        <v>244</v>
      </c>
    </row>
    <row r="6" spans="1:4">
      <c r="A6" s="127" t="s">
        <v>60</v>
      </c>
      <c r="B6" s="56" t="s">
        <v>60</v>
      </c>
      <c r="D6" s="98"/>
    </row>
    <row r="7" spans="1:4">
      <c r="A7" s="127" t="s">
        <v>61</v>
      </c>
      <c r="B7" s="56" t="s">
        <v>61</v>
      </c>
      <c r="C7" s="47"/>
      <c r="D7" s="99" t="s">
        <v>230</v>
      </c>
    </row>
    <row r="8" spans="1:4">
      <c r="A8" s="212" t="s">
        <v>448</v>
      </c>
    </row>
    <row r="9" spans="1:4">
      <c r="A9" s="127" t="s">
        <v>162</v>
      </c>
      <c r="B9" s="56" t="s">
        <v>162</v>
      </c>
      <c r="D9" s="98"/>
    </row>
    <row r="10" spans="1:4">
      <c r="A10" s="128" t="s">
        <v>63</v>
      </c>
      <c r="B10" s="58" t="s">
        <v>63</v>
      </c>
      <c r="C10" s="17"/>
      <c r="D10" s="97">
        <v>1</v>
      </c>
    </row>
    <row r="11" spans="1:4">
      <c r="A11" s="128" t="s">
        <v>62</v>
      </c>
      <c r="B11" s="58" t="s">
        <v>62</v>
      </c>
      <c r="C11" s="17"/>
      <c r="D11" s="97" t="s">
        <v>231</v>
      </c>
    </row>
    <row r="12" spans="1:4">
      <c r="A12" s="128" t="s">
        <v>478</v>
      </c>
      <c r="D12" s="13">
        <v>680</v>
      </c>
    </row>
    <row r="13" spans="1:4">
      <c r="A13" s="212" t="s">
        <v>318</v>
      </c>
    </row>
    <row r="14" spans="1:4">
      <c r="A14" s="128" t="s">
        <v>463</v>
      </c>
    </row>
    <row r="15" spans="1:4">
      <c r="A15" s="128" t="s">
        <v>326</v>
      </c>
    </row>
    <row r="16" spans="1:4">
      <c r="A16" s="128" t="s">
        <v>464</v>
      </c>
    </row>
    <row r="17" spans="1:4">
      <c r="A17" s="128" t="s">
        <v>319</v>
      </c>
      <c r="B17" s="56" t="s">
        <v>163</v>
      </c>
      <c r="C17" s="17"/>
      <c r="D17" s="97">
        <v>220</v>
      </c>
    </row>
    <row r="18" spans="1:4">
      <c r="A18" s="212" t="s">
        <v>320</v>
      </c>
      <c r="B18" s="58"/>
      <c r="C18" s="17"/>
    </row>
    <row r="19" spans="1:4">
      <c r="A19" s="128" t="s">
        <v>276</v>
      </c>
      <c r="B19" s="58"/>
      <c r="C19" s="17"/>
      <c r="D19" s="97"/>
    </row>
    <row r="20" spans="1:4">
      <c r="A20" s="128" t="s">
        <v>465</v>
      </c>
    </row>
    <row r="21" spans="1:4">
      <c r="A21" s="128" t="s">
        <v>466</v>
      </c>
    </row>
    <row r="22" spans="1:4">
      <c r="A22" s="128" t="s">
        <v>449</v>
      </c>
    </row>
    <row r="23" spans="1:4">
      <c r="A23" s="128" t="s">
        <v>381</v>
      </c>
    </row>
    <row r="24" spans="1:4">
      <c r="A24" s="127" t="s">
        <v>148</v>
      </c>
      <c r="B24" s="56" t="s">
        <v>148</v>
      </c>
      <c r="C24" s="17"/>
      <c r="D24" s="97"/>
    </row>
    <row r="25" spans="1:4">
      <c r="A25" s="128" t="s">
        <v>155</v>
      </c>
      <c r="B25" s="58" t="s">
        <v>155</v>
      </c>
      <c r="C25" s="17"/>
      <c r="D25" s="97">
        <v>2</v>
      </c>
    </row>
    <row r="26" spans="1:4">
      <c r="A26" s="128" t="s">
        <v>149</v>
      </c>
      <c r="B26" s="58" t="s">
        <v>149</v>
      </c>
      <c r="C26" s="17"/>
      <c r="D26" s="97">
        <v>8.5</v>
      </c>
    </row>
    <row r="27" spans="1:4">
      <c r="A27" s="128" t="s">
        <v>273</v>
      </c>
      <c r="B27" s="58" t="s">
        <v>273</v>
      </c>
      <c r="C27" s="17"/>
      <c r="D27" s="97"/>
    </row>
    <row r="28" spans="1:4">
      <c r="A28" s="128" t="s">
        <v>274</v>
      </c>
      <c r="B28" s="58" t="s">
        <v>274</v>
      </c>
      <c r="C28" s="17"/>
      <c r="D28" s="97"/>
    </row>
    <row r="29" spans="1:4">
      <c r="A29" s="212" t="s">
        <v>41</v>
      </c>
    </row>
    <row r="30" spans="1:4">
      <c r="A30" s="128" t="s">
        <v>467</v>
      </c>
      <c r="B30" s="56" t="s">
        <v>277</v>
      </c>
      <c r="C30" s="17"/>
      <c r="D30" s="97"/>
    </row>
    <row r="31" spans="1:4">
      <c r="A31" s="128" t="s">
        <v>349</v>
      </c>
      <c r="B31" s="56" t="s">
        <v>68</v>
      </c>
      <c r="C31" s="49"/>
      <c r="D31" s="100"/>
    </row>
    <row r="32" spans="1:4">
      <c r="A32" s="127"/>
      <c r="B32" s="56" t="s">
        <v>67</v>
      </c>
      <c r="C32" s="17"/>
      <c r="D32" s="97"/>
    </row>
    <row r="33" spans="1:4">
      <c r="A33" s="128" t="s">
        <v>468</v>
      </c>
      <c r="B33" s="56" t="s">
        <v>65</v>
      </c>
      <c r="C33" s="17"/>
      <c r="D33" s="97">
        <v>298</v>
      </c>
    </row>
    <row r="34" spans="1:4">
      <c r="A34" s="128" t="s">
        <v>469</v>
      </c>
    </row>
    <row r="35" spans="1:4">
      <c r="A35" s="128" t="s">
        <v>341</v>
      </c>
    </row>
    <row r="36" spans="1:4">
      <c r="A36" s="128" t="s">
        <v>342</v>
      </c>
    </row>
    <row r="37" spans="1:4">
      <c r="A37" s="127" t="s">
        <v>355</v>
      </c>
      <c r="B37" s="56" t="s">
        <v>192</v>
      </c>
      <c r="C37" s="17"/>
      <c r="D37" s="97"/>
    </row>
    <row r="38" spans="1:4">
      <c r="A38" s="128" t="s">
        <v>354</v>
      </c>
    </row>
    <row r="39" spans="1:4">
      <c r="A39" s="310" t="s">
        <v>358</v>
      </c>
    </row>
    <row r="40" spans="1:4">
      <c r="A40" s="310" t="s">
        <v>359</v>
      </c>
    </row>
    <row r="41" spans="1:4">
      <c r="A41" s="128" t="s">
        <v>353</v>
      </c>
      <c r="B41" s="56" t="s">
        <v>281</v>
      </c>
      <c r="C41" s="17"/>
      <c r="D41" s="97"/>
    </row>
    <row r="42" spans="1:4">
      <c r="A42" s="310" t="s">
        <v>356</v>
      </c>
    </row>
    <row r="43" spans="1:4">
      <c r="A43" s="310" t="s">
        <v>357</v>
      </c>
    </row>
    <row r="44" spans="1:4">
      <c r="A44" s="212" t="s">
        <v>470</v>
      </c>
    </row>
    <row r="45" spans="1:4">
      <c r="A45" s="212" t="s">
        <v>276</v>
      </c>
      <c r="B45" s="56" t="s">
        <v>276</v>
      </c>
      <c r="C45" s="17"/>
      <c r="D45" s="97"/>
    </row>
    <row r="46" spans="1:4">
      <c r="A46" s="128" t="s">
        <v>471</v>
      </c>
    </row>
    <row r="47" spans="1:4">
      <c r="A47" s="128" t="s">
        <v>226</v>
      </c>
    </row>
    <row r="48" spans="1:4">
      <c r="A48" s="128" t="s">
        <v>472</v>
      </c>
      <c r="B48" s="56" t="s">
        <v>69</v>
      </c>
      <c r="C48" s="30"/>
      <c r="D48" s="101">
        <v>24.75</v>
      </c>
    </row>
    <row r="49" spans="1:8">
      <c r="A49" s="127" t="s">
        <v>352</v>
      </c>
    </row>
    <row r="50" spans="1:8">
      <c r="A50" s="127" t="s">
        <v>351</v>
      </c>
    </row>
    <row r="51" spans="1:8">
      <c r="A51" s="127" t="s">
        <v>312</v>
      </c>
      <c r="G51" s="13"/>
      <c r="H51" s="13"/>
    </row>
    <row r="52" spans="1:8">
      <c r="A52" s="127" t="s">
        <v>445</v>
      </c>
    </row>
    <row r="53" spans="1:8">
      <c r="A53" s="127" t="s">
        <v>372</v>
      </c>
    </row>
    <row r="54" spans="1:8">
      <c r="A54" s="128" t="s">
        <v>378</v>
      </c>
    </row>
    <row r="55" spans="1:8">
      <c r="A55" s="128" t="s">
        <v>379</v>
      </c>
    </row>
    <row r="56" spans="1:8">
      <c r="A56" s="127" t="s">
        <v>373</v>
      </c>
    </row>
    <row r="57" spans="1:8">
      <c r="A57" s="127" t="s">
        <v>374</v>
      </c>
    </row>
    <row r="58" spans="1:8">
      <c r="A58" s="127" t="s">
        <v>70</v>
      </c>
      <c r="B58" s="56" t="s">
        <v>70</v>
      </c>
      <c r="C58" s="30"/>
      <c r="D58" s="101"/>
    </row>
    <row r="59" spans="1:8">
      <c r="A59" s="127" t="s">
        <v>64</v>
      </c>
      <c r="B59" s="56" t="s">
        <v>64</v>
      </c>
      <c r="C59" s="17"/>
      <c r="D59" s="97">
        <v>11.97</v>
      </c>
    </row>
    <row r="60" spans="1:8">
      <c r="A60" s="127" t="s">
        <v>66</v>
      </c>
      <c r="B60" s="56" t="s">
        <v>66</v>
      </c>
      <c r="C60" s="17"/>
      <c r="D60" s="97">
        <v>8.84</v>
      </c>
    </row>
    <row r="61" spans="1:8">
      <c r="A61" s="127" t="s">
        <v>71</v>
      </c>
      <c r="B61" s="56" t="s">
        <v>71</v>
      </c>
      <c r="C61" s="30"/>
      <c r="D61" s="101">
        <v>2638</v>
      </c>
    </row>
    <row r="62" spans="1:8">
      <c r="A62" s="127" t="s">
        <v>476</v>
      </c>
      <c r="B62" s="56" t="s">
        <v>5</v>
      </c>
      <c r="C62" s="30"/>
      <c r="D62" s="101"/>
    </row>
    <row r="63" spans="1:8">
      <c r="A63" s="127" t="s">
        <v>350</v>
      </c>
      <c r="B63" s="72" t="s">
        <v>12</v>
      </c>
      <c r="C63" s="73"/>
      <c r="D63" s="102">
        <v>125</v>
      </c>
    </row>
    <row r="64" spans="1:8">
      <c r="A64" s="127" t="s">
        <v>385</v>
      </c>
    </row>
    <row r="65" spans="1:4" ht="10.5" thickBot="1">
      <c r="A65" s="129"/>
    </row>
    <row r="66" spans="1:4" ht="11" thickTop="1" thickBot="1">
      <c r="A66" s="130" t="s">
        <v>43</v>
      </c>
      <c r="B66" s="75" t="s">
        <v>43</v>
      </c>
      <c r="C66" s="76"/>
      <c r="D66" s="103">
        <f>D67+D72+D81+D88+D84+D87+D89</f>
        <v>1051</v>
      </c>
    </row>
    <row r="67" spans="1:4" ht="10.5" thickTop="1">
      <c r="A67" s="128" t="s">
        <v>340</v>
      </c>
      <c r="B67" s="58" t="s">
        <v>41</v>
      </c>
      <c r="C67" s="17"/>
      <c r="D67" s="97">
        <v>444</v>
      </c>
    </row>
    <row r="68" spans="1:4">
      <c r="A68" s="131" t="s">
        <v>41</v>
      </c>
    </row>
    <row r="69" spans="1:4">
      <c r="A69" s="131" t="s">
        <v>341</v>
      </c>
    </row>
    <row r="70" spans="1:4">
      <c r="A70" s="131" t="s">
        <v>342</v>
      </c>
    </row>
    <row r="71" spans="1:4">
      <c r="A71" s="131" t="s">
        <v>371</v>
      </c>
    </row>
    <row r="72" spans="1:4">
      <c r="A72" s="128" t="s">
        <v>152</v>
      </c>
      <c r="B72" s="58" t="s">
        <v>152</v>
      </c>
      <c r="C72" s="17"/>
      <c r="D72" s="97">
        <f>SUM(D73:D76)</f>
        <v>72</v>
      </c>
    </row>
    <row r="73" spans="1:4">
      <c r="A73" s="131" t="s">
        <v>40</v>
      </c>
      <c r="B73" s="84" t="s">
        <v>40</v>
      </c>
      <c r="C73" s="85"/>
      <c r="D73" s="104">
        <v>52</v>
      </c>
    </row>
    <row r="74" spans="1:4">
      <c r="A74" s="275" t="s">
        <v>356</v>
      </c>
    </row>
    <row r="75" spans="1:4">
      <c r="A75" s="275" t="s">
        <v>357</v>
      </c>
    </row>
    <row r="76" spans="1:4">
      <c r="A76" s="131" t="s">
        <v>39</v>
      </c>
      <c r="B76" s="84" t="s">
        <v>39</v>
      </c>
      <c r="C76" s="85"/>
      <c r="D76" s="104">
        <v>20</v>
      </c>
    </row>
    <row r="77" spans="1:4">
      <c r="A77" s="275" t="s">
        <v>358</v>
      </c>
    </row>
    <row r="78" spans="1:4">
      <c r="A78" s="275" t="s">
        <v>359</v>
      </c>
    </row>
    <row r="79" spans="1:4">
      <c r="A79" s="128" t="s">
        <v>229</v>
      </c>
      <c r="B79" s="92" t="s">
        <v>229</v>
      </c>
      <c r="C79" s="17"/>
      <c r="D79" s="97"/>
    </row>
    <row r="80" spans="1:4">
      <c r="A80" s="128" t="s">
        <v>289</v>
      </c>
      <c r="B80" s="92" t="s">
        <v>289</v>
      </c>
      <c r="C80" s="17"/>
      <c r="D80" s="97"/>
    </row>
    <row r="81" spans="1:4">
      <c r="A81" s="128" t="s">
        <v>42</v>
      </c>
      <c r="B81" s="58" t="s">
        <v>42</v>
      </c>
      <c r="C81" s="17"/>
      <c r="D81" s="97">
        <v>274</v>
      </c>
    </row>
    <row r="82" spans="1:4">
      <c r="A82" s="131" t="s">
        <v>226</v>
      </c>
      <c r="B82" s="84" t="s">
        <v>226</v>
      </c>
      <c r="C82" s="87"/>
      <c r="D82" s="105"/>
    </row>
    <row r="83" spans="1:4">
      <c r="A83" s="131" t="s">
        <v>218</v>
      </c>
      <c r="B83" s="84" t="s">
        <v>218</v>
      </c>
      <c r="C83" s="85"/>
      <c r="D83" s="104"/>
    </row>
    <row r="84" spans="1:4">
      <c r="A84" s="128" t="s">
        <v>153</v>
      </c>
      <c r="B84" s="58" t="s">
        <v>153</v>
      </c>
      <c r="D84" s="98">
        <f t="shared" ref="D84" si="0">SUM(D85:D86)</f>
        <v>261</v>
      </c>
    </row>
    <row r="85" spans="1:4">
      <c r="A85" s="131" t="s">
        <v>45</v>
      </c>
      <c r="B85" s="84" t="s">
        <v>45</v>
      </c>
      <c r="C85" s="87"/>
      <c r="D85" s="105">
        <v>233</v>
      </c>
    </row>
    <row r="86" spans="1:4">
      <c r="A86" s="131" t="s">
        <v>46</v>
      </c>
      <c r="B86" s="84" t="s">
        <v>46</v>
      </c>
      <c r="C86" s="87"/>
      <c r="D86" s="105">
        <v>28</v>
      </c>
    </row>
    <row r="87" spans="1:4">
      <c r="A87" s="128" t="s">
        <v>176</v>
      </c>
      <c r="B87" s="58" t="s">
        <v>176</v>
      </c>
      <c r="D87" s="98"/>
    </row>
    <row r="88" spans="1:4">
      <c r="A88" s="128" t="s">
        <v>44</v>
      </c>
      <c r="B88" s="58" t="s">
        <v>44</v>
      </c>
      <c r="D88" s="98"/>
    </row>
    <row r="89" spans="1:4" ht="10.5" thickBot="1">
      <c r="A89" s="128" t="s">
        <v>177</v>
      </c>
      <c r="B89" s="58" t="s">
        <v>177</v>
      </c>
      <c r="D89" s="98"/>
    </row>
    <row r="90" spans="1:4" ht="10.5" thickBot="1">
      <c r="A90" s="132" t="s">
        <v>154</v>
      </c>
      <c r="B90" s="75" t="s">
        <v>154</v>
      </c>
      <c r="C90" s="78"/>
      <c r="D90" s="103">
        <f>D91+D94+D95+D96+SUM(D100:D110)</f>
        <v>714</v>
      </c>
    </row>
    <row r="91" spans="1:4">
      <c r="A91" s="133" t="s">
        <v>335</v>
      </c>
      <c r="B91" s="61" t="s">
        <v>224</v>
      </c>
      <c r="C91" s="17"/>
      <c r="D91" s="98">
        <f t="shared" ref="D91" si="1">SUM(D92:D93)</f>
        <v>524</v>
      </c>
    </row>
    <row r="92" spans="1:4">
      <c r="A92" s="131" t="s">
        <v>382</v>
      </c>
      <c r="B92" s="84" t="s">
        <v>34</v>
      </c>
      <c r="C92" s="87"/>
      <c r="D92" s="105">
        <v>500</v>
      </c>
    </row>
    <row r="93" spans="1:4">
      <c r="A93" s="131" t="s">
        <v>48</v>
      </c>
      <c r="B93" s="84" t="s">
        <v>48</v>
      </c>
      <c r="C93" s="87"/>
      <c r="D93" s="105">
        <v>24</v>
      </c>
    </row>
    <row r="94" spans="1:4">
      <c r="A94" s="134" t="s">
        <v>47</v>
      </c>
      <c r="B94" s="61" t="s">
        <v>47</v>
      </c>
      <c r="D94" s="98"/>
    </row>
    <row r="95" spans="1:4">
      <c r="A95" s="134" t="s">
        <v>49</v>
      </c>
      <c r="B95" s="61" t="s">
        <v>49</v>
      </c>
      <c r="C95" s="17"/>
      <c r="D95" s="97">
        <v>11</v>
      </c>
    </row>
    <row r="96" spans="1:4">
      <c r="A96" s="134" t="s">
        <v>35</v>
      </c>
      <c r="B96" s="58" t="s">
        <v>35</v>
      </c>
      <c r="C96" s="17"/>
      <c r="D96" s="97">
        <f>SUM(D97:D99)</f>
        <v>84</v>
      </c>
    </row>
    <row r="97" spans="1:4">
      <c r="A97" s="131" t="s">
        <v>195</v>
      </c>
      <c r="B97" s="84" t="s">
        <v>195</v>
      </c>
      <c r="C97" s="85"/>
      <c r="D97" s="104">
        <v>84</v>
      </c>
    </row>
    <row r="98" spans="1:4">
      <c r="A98" s="131" t="s">
        <v>194</v>
      </c>
      <c r="B98" s="84" t="s">
        <v>194</v>
      </c>
      <c r="C98" s="85"/>
      <c r="D98" s="104"/>
    </row>
    <row r="99" spans="1:4">
      <c r="A99" s="131" t="s">
        <v>193</v>
      </c>
      <c r="B99" s="84" t="s">
        <v>193</v>
      </c>
      <c r="C99" s="85"/>
      <c r="D99" s="104"/>
    </row>
    <row r="100" spans="1:4">
      <c r="A100" s="128" t="s">
        <v>36</v>
      </c>
      <c r="B100" s="58" t="s">
        <v>36</v>
      </c>
      <c r="C100" s="17"/>
      <c r="D100" s="97">
        <v>28</v>
      </c>
    </row>
    <row r="101" spans="1:4">
      <c r="A101" s="128" t="s">
        <v>50</v>
      </c>
      <c r="B101" s="58" t="s">
        <v>50</v>
      </c>
      <c r="D101" s="98"/>
    </row>
    <row r="102" spans="1:4">
      <c r="A102" s="131" t="s">
        <v>360</v>
      </c>
    </row>
    <row r="103" spans="1:4">
      <c r="A103" s="131" t="s">
        <v>361</v>
      </c>
    </row>
    <row r="104" spans="1:4">
      <c r="A104" s="128" t="s">
        <v>51</v>
      </c>
      <c r="B104" s="58" t="s">
        <v>51</v>
      </c>
      <c r="C104" s="17"/>
      <c r="D104" s="97"/>
    </row>
    <row r="105" spans="1:4">
      <c r="A105" s="134" t="s">
        <v>52</v>
      </c>
      <c r="B105" s="61" t="s">
        <v>52</v>
      </c>
      <c r="C105" s="17"/>
      <c r="D105" s="97">
        <v>12</v>
      </c>
    </row>
    <row r="106" spans="1:4">
      <c r="A106" s="131" t="s">
        <v>360</v>
      </c>
    </row>
    <row r="107" spans="1:4">
      <c r="A107" s="131" t="s">
        <v>361</v>
      </c>
    </row>
    <row r="108" spans="1:4">
      <c r="A108" s="128" t="s">
        <v>53</v>
      </c>
      <c r="B108" s="58" t="s">
        <v>53</v>
      </c>
      <c r="C108" s="17"/>
      <c r="D108" s="97">
        <v>55</v>
      </c>
    </row>
    <row r="109" spans="1:4">
      <c r="A109" s="131" t="s">
        <v>360</v>
      </c>
    </row>
    <row r="110" spans="1:4" ht="10.5" thickBot="1">
      <c r="A110" s="131" t="s">
        <v>361</v>
      </c>
    </row>
    <row r="111" spans="1:4" ht="10.5" thickBot="1">
      <c r="A111" s="132" t="s">
        <v>37</v>
      </c>
      <c r="B111" s="75" t="s">
        <v>37</v>
      </c>
      <c r="C111" s="78"/>
      <c r="D111" s="106">
        <f>SUM(D112:D124)</f>
        <v>181</v>
      </c>
    </row>
    <row r="112" spans="1:4">
      <c r="A112" s="128" t="s">
        <v>38</v>
      </c>
      <c r="B112" s="58" t="s">
        <v>38</v>
      </c>
      <c r="C112" s="17"/>
      <c r="D112" s="97">
        <v>29</v>
      </c>
    </row>
    <row r="113" spans="1:4">
      <c r="A113" s="128" t="s">
        <v>54</v>
      </c>
      <c r="B113" s="58" t="s">
        <v>54</v>
      </c>
      <c r="C113" s="17"/>
      <c r="D113" s="97">
        <v>64</v>
      </c>
    </row>
    <row r="114" spans="1:4">
      <c r="A114" s="134" t="s">
        <v>55</v>
      </c>
      <c r="B114" s="61" t="s">
        <v>55</v>
      </c>
      <c r="C114" s="31"/>
      <c r="D114" s="107"/>
    </row>
    <row r="115" spans="1:4">
      <c r="A115" s="128" t="s">
        <v>56</v>
      </c>
      <c r="B115" s="58" t="s">
        <v>56</v>
      </c>
      <c r="C115" s="31"/>
      <c r="D115" s="107">
        <v>11</v>
      </c>
    </row>
    <row r="116" spans="1:4" ht="20">
      <c r="A116" s="135" t="s">
        <v>481</v>
      </c>
      <c r="B116" s="62" t="s">
        <v>57</v>
      </c>
      <c r="C116" s="31"/>
      <c r="D116" s="107"/>
    </row>
    <row r="117" spans="1:4">
      <c r="A117" s="134" t="s">
        <v>227</v>
      </c>
      <c r="B117" s="61" t="s">
        <v>227</v>
      </c>
      <c r="C117" s="31"/>
      <c r="D117" s="107"/>
    </row>
    <row r="118" spans="1:4">
      <c r="A118" s="134" t="s">
        <v>58</v>
      </c>
      <c r="B118" s="61" t="s">
        <v>58</v>
      </c>
      <c r="C118" s="31"/>
      <c r="D118" s="107">
        <v>77</v>
      </c>
    </row>
    <row r="119" spans="1:4">
      <c r="A119" s="134" t="s">
        <v>200</v>
      </c>
      <c r="B119" s="61" t="s">
        <v>200</v>
      </c>
      <c r="D119" s="98"/>
    </row>
    <row r="120" spans="1:4">
      <c r="A120" s="134" t="s">
        <v>156</v>
      </c>
      <c r="B120" s="61" t="s">
        <v>156</v>
      </c>
      <c r="C120" s="31"/>
      <c r="D120" s="107"/>
    </row>
    <row r="121" spans="1:4">
      <c r="A121" s="286" t="s">
        <v>367</v>
      </c>
    </row>
    <row r="122" spans="1:4">
      <c r="A122" s="286" t="s">
        <v>368</v>
      </c>
    </row>
    <row r="123" spans="1:4">
      <c r="A123" s="301" t="s">
        <v>369</v>
      </c>
    </row>
    <row r="124" spans="1:4" ht="10.5" thickBot="1">
      <c r="A124" s="134"/>
    </row>
    <row r="125" spans="1:4" ht="10.5" thickBot="1">
      <c r="A125" s="136" t="s">
        <v>6</v>
      </c>
      <c r="B125" s="79" t="s">
        <v>6</v>
      </c>
      <c r="C125" s="78"/>
      <c r="D125" s="108">
        <f>D66+D90+D111</f>
        <v>1946</v>
      </c>
    </row>
    <row r="126" spans="1:4" ht="10.5" thickBot="1">
      <c r="A126" s="136" t="s">
        <v>92</v>
      </c>
      <c r="B126" s="79" t="s">
        <v>92</v>
      </c>
      <c r="C126" s="78"/>
      <c r="D126" s="108">
        <f>SUM(D127:D137)+D144</f>
        <v>688</v>
      </c>
    </row>
    <row r="127" spans="1:4">
      <c r="A127" s="134" t="s">
        <v>86</v>
      </c>
      <c r="B127" s="61" t="s">
        <v>86</v>
      </c>
      <c r="D127" s="98">
        <v>400</v>
      </c>
    </row>
    <row r="128" spans="1:4">
      <c r="A128" s="134" t="s">
        <v>228</v>
      </c>
      <c r="B128" s="61" t="s">
        <v>228</v>
      </c>
      <c r="D128" s="98"/>
    </row>
    <row r="129" spans="1:4">
      <c r="A129" s="134" t="s">
        <v>87</v>
      </c>
      <c r="B129" s="61" t="s">
        <v>87</v>
      </c>
      <c r="D129" s="98">
        <v>33</v>
      </c>
    </row>
    <row r="130" spans="1:4">
      <c r="A130" s="134" t="s">
        <v>88</v>
      </c>
      <c r="B130" s="61" t="s">
        <v>88</v>
      </c>
      <c r="D130" s="98">
        <v>255</v>
      </c>
    </row>
    <row r="131" spans="1:4">
      <c r="A131" s="134" t="s">
        <v>339</v>
      </c>
    </row>
    <row r="132" spans="1:4">
      <c r="A132" s="134" t="s">
        <v>366</v>
      </c>
    </row>
    <row r="133" spans="1:4">
      <c r="A133" s="134" t="s">
        <v>201</v>
      </c>
      <c r="B133" s="61" t="s">
        <v>201</v>
      </c>
      <c r="D133" s="98"/>
    </row>
    <row r="134" spans="1:4">
      <c r="A134" s="134" t="s">
        <v>290</v>
      </c>
      <c r="B134" s="61" t="s">
        <v>290</v>
      </c>
      <c r="D134" s="98"/>
    </row>
    <row r="135" spans="1:4">
      <c r="A135" s="134" t="s">
        <v>365</v>
      </c>
    </row>
    <row r="136" spans="1:4">
      <c r="A136" s="134" t="s">
        <v>376</v>
      </c>
    </row>
    <row r="137" spans="1:4">
      <c r="A137" s="134" t="s">
        <v>225</v>
      </c>
      <c r="B137" s="61" t="s">
        <v>225</v>
      </c>
      <c r="D137" s="98"/>
    </row>
    <row r="138" spans="1:4">
      <c r="A138" s="137" t="s">
        <v>370</v>
      </c>
    </row>
    <row r="139" spans="1:4">
      <c r="A139" s="287" t="s">
        <v>89</v>
      </c>
      <c r="B139" s="89" t="s">
        <v>89</v>
      </c>
      <c r="C139" s="87"/>
      <c r="D139" s="105"/>
    </row>
    <row r="140" spans="1:4">
      <c r="A140" s="287" t="s">
        <v>90</v>
      </c>
      <c r="B140" s="89" t="s">
        <v>90</v>
      </c>
      <c r="C140" s="87"/>
      <c r="D140" s="105"/>
    </row>
    <row r="141" spans="1:4">
      <c r="A141" s="137" t="s">
        <v>363</v>
      </c>
    </row>
    <row r="142" spans="1:4">
      <c r="A142" s="137" t="s">
        <v>362</v>
      </c>
    </row>
    <row r="143" spans="1:4">
      <c r="A143" s="137" t="s">
        <v>364</v>
      </c>
    </row>
    <row r="144" spans="1:4" ht="10.5" thickBot="1">
      <c r="A144" s="134" t="s">
        <v>91</v>
      </c>
      <c r="B144" s="61" t="s">
        <v>91</v>
      </c>
      <c r="D144" s="98"/>
    </row>
    <row r="145" spans="1:8" ht="10.5" thickBot="1">
      <c r="A145" s="136" t="s">
        <v>7</v>
      </c>
      <c r="B145" s="54" t="s">
        <v>7</v>
      </c>
      <c r="D145" s="98">
        <f>D125+D126</f>
        <v>2634</v>
      </c>
    </row>
    <row r="146" spans="1:8" ht="10.5" thickBot="1">
      <c r="A146" s="136" t="s">
        <v>95</v>
      </c>
      <c r="B146" s="79" t="s">
        <v>95</v>
      </c>
      <c r="C146" s="78"/>
      <c r="D146" s="108"/>
    </row>
    <row r="147" spans="1:8">
      <c r="A147" s="134" t="s">
        <v>88</v>
      </c>
      <c r="B147" s="61" t="s">
        <v>88</v>
      </c>
      <c r="D147" s="98"/>
    </row>
    <row r="148" spans="1:8">
      <c r="A148" s="134" t="s">
        <v>93</v>
      </c>
      <c r="B148" s="61" t="s">
        <v>93</v>
      </c>
      <c r="D148" s="98"/>
    </row>
    <row r="149" spans="1:8">
      <c r="A149" s="129"/>
      <c r="B149" s="54"/>
      <c r="D149" s="98"/>
    </row>
    <row r="150" spans="1:8">
      <c r="A150" s="134" t="s">
        <v>89</v>
      </c>
      <c r="B150" s="61" t="s">
        <v>89</v>
      </c>
      <c r="D150" s="98"/>
    </row>
    <row r="151" spans="1:8">
      <c r="A151" s="134" t="s">
        <v>212</v>
      </c>
      <c r="B151" s="61" t="s">
        <v>212</v>
      </c>
      <c r="D151" s="98"/>
    </row>
    <row r="152" spans="1:8">
      <c r="A152" s="138" t="s">
        <v>99</v>
      </c>
      <c r="B152" s="79" t="s">
        <v>99</v>
      </c>
      <c r="C152" s="78"/>
      <c r="D152" s="108"/>
    </row>
    <row r="153" spans="1:8" ht="10.5" thickBot="1">
      <c r="A153" s="139" t="s">
        <v>94</v>
      </c>
      <c r="B153" s="63" t="s">
        <v>94</v>
      </c>
      <c r="D153" s="94"/>
      <c r="G153" s="13"/>
      <c r="H153" s="13"/>
    </row>
    <row r="154" spans="1:8">
      <c r="G154" s="13"/>
      <c r="H154" s="13"/>
    </row>
    <row r="155" spans="1:8">
      <c r="A155" s="3" t="s">
        <v>96</v>
      </c>
      <c r="B155" s="3" t="s">
        <v>96</v>
      </c>
      <c r="G155" s="13"/>
      <c r="H155" s="13"/>
    </row>
    <row r="156" spans="1:8">
      <c r="G156" s="13"/>
      <c r="H156" s="13"/>
    </row>
    <row r="157" spans="1:8">
      <c r="G157" s="13"/>
      <c r="H157" s="13"/>
    </row>
    <row r="158" spans="1:8">
      <c r="G158" s="13"/>
      <c r="H158" s="13"/>
    </row>
    <row r="159" spans="1:8">
      <c r="G159" s="13"/>
      <c r="H159" s="13"/>
    </row>
    <row r="170" spans="1:1">
      <c r="A170" s="3" t="s">
        <v>383</v>
      </c>
    </row>
    <row r="171" spans="1:1">
      <c r="A171" s="3" t="s">
        <v>450</v>
      </c>
    </row>
    <row r="172" spans="1:1">
      <c r="A172" s="3" t="s">
        <v>451</v>
      </c>
    </row>
    <row r="173" spans="1:1">
      <c r="A173" s="3" t="s">
        <v>480</v>
      </c>
    </row>
    <row r="175" spans="1:1">
      <c r="A175" s="3" t="s">
        <v>482</v>
      </c>
    </row>
    <row r="176" spans="1:1">
      <c r="A176" s="3" t="s">
        <v>195</v>
      </c>
    </row>
    <row r="177" spans="1:1">
      <c r="A177" s="3" t="s">
        <v>194</v>
      </c>
    </row>
    <row r="178" spans="1:1">
      <c r="A178" s="3" t="s">
        <v>193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27DE6-F912-4854-A7C4-AD4CB1FB49AF}">
  <dimension ref="A1:I101"/>
  <sheetViews>
    <sheetView zoomScale="97" zoomScaleNormal="100" workbookViewId="0">
      <pane xSplit="1" ySplit="2" topLeftCell="B5" activePane="bottomRight" state="frozen"/>
      <selection activeCell="B5" sqref="B5"/>
      <selection pane="topRight" activeCell="B5" sqref="B5"/>
      <selection pane="bottomLeft" activeCell="B5" sqref="B5"/>
      <selection pane="bottomRight" activeCell="H28" sqref="H28"/>
    </sheetView>
  </sheetViews>
  <sheetFormatPr defaultRowHeight="10"/>
  <cols>
    <col min="1" max="1" width="26.1796875" style="3" bestFit="1" customWidth="1"/>
    <col min="2" max="2" width="11.90625" style="13" customWidth="1"/>
    <col min="3" max="4" width="9.90625" style="13" bestFit="1" customWidth="1"/>
    <col min="5" max="5" width="2.08984375" style="13" customWidth="1"/>
    <col min="6" max="6" width="14.26953125" style="13" bestFit="1" customWidth="1"/>
    <col min="7" max="7" width="2.08984375" style="13" customWidth="1"/>
    <col min="8" max="8" width="9" style="13" customWidth="1"/>
    <col min="9" max="9" width="2.08984375" style="13" customWidth="1"/>
    <col min="10" max="16384" width="8.7265625" style="3"/>
  </cols>
  <sheetData>
    <row r="1" spans="1:9">
      <c r="A1" s="51"/>
      <c r="B1" s="52" t="s">
        <v>84</v>
      </c>
      <c r="C1" s="52" t="s">
        <v>84</v>
      </c>
      <c r="D1" s="53" t="s">
        <v>84</v>
      </c>
      <c r="E1" s="52"/>
      <c r="F1" s="53" t="s">
        <v>158</v>
      </c>
      <c r="G1" s="52"/>
      <c r="H1" s="53" t="s">
        <v>187</v>
      </c>
      <c r="I1" s="52"/>
    </row>
    <row r="2" spans="1:9">
      <c r="A2" s="63"/>
      <c r="B2" s="45" t="s">
        <v>85</v>
      </c>
      <c r="C2" s="45" t="s">
        <v>118</v>
      </c>
      <c r="D2" s="46" t="s">
        <v>85</v>
      </c>
      <c r="E2" s="45"/>
      <c r="F2" s="46" t="s">
        <v>191</v>
      </c>
      <c r="G2" s="45"/>
      <c r="H2" s="46" t="s">
        <v>197</v>
      </c>
      <c r="I2" s="45"/>
    </row>
    <row r="3" spans="1:9" ht="30">
      <c r="A3" s="64"/>
      <c r="B3" s="65" t="s">
        <v>32</v>
      </c>
      <c r="C3" s="65"/>
      <c r="D3" s="66" t="s">
        <v>32</v>
      </c>
      <c r="E3" s="67"/>
      <c r="F3" s="66" t="s">
        <v>270</v>
      </c>
      <c r="G3" s="65"/>
      <c r="H3" s="66" t="s">
        <v>271</v>
      </c>
      <c r="I3" s="65"/>
    </row>
    <row r="4" spans="1:9">
      <c r="A4" s="68" t="s">
        <v>272</v>
      </c>
      <c r="B4" s="69" t="s">
        <v>28</v>
      </c>
      <c r="C4" s="69"/>
      <c r="D4" s="70"/>
      <c r="E4" s="71"/>
      <c r="F4" s="70" t="s">
        <v>28</v>
      </c>
      <c r="G4" s="69"/>
      <c r="H4" s="70" t="s">
        <v>16</v>
      </c>
      <c r="I4" s="69"/>
    </row>
    <row r="5" spans="1:9">
      <c r="A5" s="56" t="s">
        <v>161</v>
      </c>
      <c r="B5" s="17">
        <v>4810</v>
      </c>
      <c r="C5" s="17"/>
      <c r="D5" s="55"/>
      <c r="E5" s="17"/>
      <c r="F5" s="55" t="s">
        <v>168</v>
      </c>
      <c r="G5" s="17"/>
      <c r="H5" s="55"/>
      <c r="I5" s="17"/>
    </row>
    <row r="6" spans="1:9">
      <c r="A6" s="56" t="s">
        <v>60</v>
      </c>
      <c r="B6" s="13">
        <v>16254</v>
      </c>
      <c r="D6" s="44"/>
      <c r="E6" s="17"/>
      <c r="F6" s="44"/>
      <c r="H6" s="44"/>
    </row>
    <row r="7" spans="1:9">
      <c r="A7" s="56" t="s">
        <v>61</v>
      </c>
      <c r="B7" s="47">
        <v>16254</v>
      </c>
      <c r="C7" s="47"/>
      <c r="D7" s="57"/>
      <c r="E7" s="17"/>
      <c r="F7" s="57">
        <v>16528</v>
      </c>
      <c r="G7" s="47"/>
      <c r="H7" s="57"/>
      <c r="I7" s="47"/>
    </row>
    <row r="8" spans="1:9">
      <c r="A8" s="56" t="s">
        <v>162</v>
      </c>
      <c r="D8" s="44"/>
      <c r="E8" s="17"/>
      <c r="F8" s="44"/>
      <c r="H8" s="44"/>
    </row>
    <row r="9" spans="1:9">
      <c r="A9" s="58" t="s">
        <v>63</v>
      </c>
      <c r="B9" s="17">
        <v>2</v>
      </c>
      <c r="C9" s="17">
        <v>2</v>
      </c>
      <c r="D9" s="55">
        <v>2</v>
      </c>
      <c r="E9" s="17"/>
      <c r="F9" s="55">
        <v>2</v>
      </c>
      <c r="G9" s="17"/>
      <c r="H9" s="55">
        <v>2</v>
      </c>
      <c r="I9" s="17"/>
    </row>
    <row r="10" spans="1:9">
      <c r="A10" s="58" t="s">
        <v>62</v>
      </c>
      <c r="B10" s="17" t="s">
        <v>33</v>
      </c>
      <c r="C10" s="17" t="s">
        <v>283</v>
      </c>
      <c r="D10" s="55" t="s">
        <v>284</v>
      </c>
      <c r="E10" s="17"/>
      <c r="F10" s="55" t="s">
        <v>174</v>
      </c>
      <c r="G10" s="17"/>
      <c r="H10" s="55" t="s">
        <v>215</v>
      </c>
      <c r="I10" s="17"/>
    </row>
    <row r="11" spans="1:9">
      <c r="A11" s="56" t="s">
        <v>163</v>
      </c>
      <c r="B11" s="17"/>
      <c r="C11" s="17"/>
      <c r="D11" s="55"/>
      <c r="E11" s="17"/>
      <c r="F11" s="55"/>
      <c r="G11" s="17"/>
      <c r="H11" s="55"/>
      <c r="I11" s="17"/>
    </row>
    <row r="12" spans="1:9">
      <c r="A12" s="58" t="s">
        <v>292</v>
      </c>
      <c r="B12" s="17">
        <v>1425</v>
      </c>
      <c r="C12" s="17">
        <f>1150</f>
        <v>1150</v>
      </c>
      <c r="D12" s="55">
        <f>1425</f>
        <v>1425</v>
      </c>
      <c r="E12" s="17"/>
      <c r="F12" s="55">
        <f>4200/2</f>
        <v>2100</v>
      </c>
      <c r="G12" s="17"/>
      <c r="H12" s="55">
        <f>3200/2</f>
        <v>1600</v>
      </c>
      <c r="I12" s="17"/>
    </row>
    <row r="13" spans="1:9">
      <c r="A13" s="58" t="s">
        <v>293</v>
      </c>
      <c r="B13" s="17">
        <f t="shared" ref="B13:D13" si="0">B12*B9</f>
        <v>2850</v>
      </c>
      <c r="C13" s="17">
        <f t="shared" si="0"/>
        <v>2300</v>
      </c>
      <c r="D13" s="55">
        <f t="shared" si="0"/>
        <v>2850</v>
      </c>
      <c r="E13" s="17"/>
      <c r="F13" s="55">
        <f>F12*F9</f>
        <v>4200</v>
      </c>
      <c r="G13" s="17"/>
      <c r="H13" s="55">
        <f>H12*H9</f>
        <v>3200</v>
      </c>
      <c r="I13" s="17"/>
    </row>
    <row r="14" spans="1:9">
      <c r="A14" s="56" t="s">
        <v>148</v>
      </c>
      <c r="B14" s="17"/>
      <c r="C14" s="17"/>
      <c r="D14" s="55"/>
      <c r="E14" s="17"/>
      <c r="F14" s="55"/>
      <c r="G14" s="17"/>
      <c r="H14" s="55"/>
      <c r="I14" s="17"/>
    </row>
    <row r="15" spans="1:9">
      <c r="A15" s="58" t="s">
        <v>63</v>
      </c>
      <c r="B15" s="17">
        <v>2</v>
      </c>
      <c r="C15" s="17">
        <v>2</v>
      </c>
      <c r="D15" s="55">
        <v>2</v>
      </c>
      <c r="E15" s="17"/>
      <c r="F15" s="55">
        <v>2</v>
      </c>
      <c r="G15" s="17"/>
      <c r="H15" s="55">
        <v>2</v>
      </c>
      <c r="I15" s="17"/>
    </row>
    <row r="16" spans="1:9">
      <c r="A16" s="58" t="s">
        <v>155</v>
      </c>
      <c r="B16" s="17">
        <v>3</v>
      </c>
      <c r="C16" s="17">
        <v>3</v>
      </c>
      <c r="D16" s="55">
        <v>3</v>
      </c>
      <c r="E16" s="17"/>
      <c r="F16" s="55">
        <v>3</v>
      </c>
      <c r="G16" s="17"/>
      <c r="H16" s="55">
        <v>3</v>
      </c>
      <c r="I16" s="17"/>
    </row>
    <row r="17" spans="1:9">
      <c r="A17" s="58" t="s">
        <v>149</v>
      </c>
      <c r="B17" s="17">
        <v>11.5</v>
      </c>
      <c r="C17" s="17">
        <v>11.5</v>
      </c>
      <c r="D17" s="55">
        <v>11.5</v>
      </c>
      <c r="E17" s="17"/>
      <c r="F17" s="91">
        <f>13+2/12</f>
        <v>13.166666666666666</v>
      </c>
      <c r="G17" s="17"/>
      <c r="H17" s="55">
        <f>11+3/12</f>
        <v>11.25</v>
      </c>
      <c r="I17" s="17"/>
    </row>
    <row r="18" spans="1:9">
      <c r="A18" s="58" t="s">
        <v>273</v>
      </c>
      <c r="B18" s="17"/>
      <c r="C18" s="17"/>
      <c r="D18" s="55"/>
      <c r="E18" s="17"/>
      <c r="F18" s="55"/>
      <c r="G18" s="17"/>
      <c r="H18" s="55"/>
      <c r="I18" s="17"/>
    </row>
    <row r="19" spans="1:9">
      <c r="A19" s="58" t="s">
        <v>274</v>
      </c>
      <c r="B19" s="17"/>
      <c r="C19" s="17"/>
      <c r="D19" s="55"/>
      <c r="E19" s="17"/>
      <c r="F19" s="55"/>
      <c r="G19" s="17"/>
      <c r="H19" s="55"/>
      <c r="I19" s="17"/>
    </row>
    <row r="20" spans="1:9">
      <c r="A20" s="56" t="s">
        <v>64</v>
      </c>
      <c r="B20" s="17">
        <v>6.12</v>
      </c>
      <c r="C20" s="17"/>
      <c r="D20" s="55">
        <v>6.12</v>
      </c>
      <c r="E20" s="17"/>
      <c r="F20" s="55">
        <v>5.12</v>
      </c>
      <c r="G20" s="17"/>
      <c r="H20" s="55">
        <v>5.98</v>
      </c>
      <c r="I20" s="17"/>
    </row>
    <row r="21" spans="1:9">
      <c r="A21" s="56" t="s">
        <v>277</v>
      </c>
      <c r="B21" s="17">
        <v>52</v>
      </c>
      <c r="C21" s="17"/>
      <c r="D21" s="55">
        <v>52</v>
      </c>
      <c r="E21" s="17"/>
      <c r="F21" s="55">
        <v>51.5</v>
      </c>
      <c r="G21" s="17"/>
      <c r="H21" s="55">
        <v>61.3</v>
      </c>
      <c r="I21" s="17"/>
    </row>
    <row r="22" spans="1:9">
      <c r="A22" s="56" t="s">
        <v>65</v>
      </c>
      <c r="B22" s="109">
        <v>327.5</v>
      </c>
      <c r="C22" s="109">
        <v>327.5</v>
      </c>
      <c r="D22" s="202">
        <v>327.5</v>
      </c>
      <c r="E22" s="17"/>
      <c r="F22" s="202">
        <v>456</v>
      </c>
      <c r="G22" s="17"/>
      <c r="H22" s="202">
        <v>464.8</v>
      </c>
      <c r="I22" s="17"/>
    </row>
    <row r="23" spans="1:9">
      <c r="A23" s="56" t="s">
        <v>66</v>
      </c>
      <c r="B23" s="17">
        <v>53.3</v>
      </c>
      <c r="C23" s="17"/>
      <c r="D23" s="55">
        <v>53.3</v>
      </c>
      <c r="E23" s="17"/>
      <c r="F23" s="55">
        <v>47.2</v>
      </c>
      <c r="G23" s="17"/>
      <c r="H23" s="55">
        <v>41.2</v>
      </c>
      <c r="I23" s="17"/>
    </row>
    <row r="24" spans="1:9">
      <c r="A24" s="56" t="s">
        <v>68</v>
      </c>
      <c r="B24" s="49">
        <v>0.09</v>
      </c>
      <c r="C24" s="49"/>
      <c r="D24" s="59">
        <v>0.09</v>
      </c>
      <c r="E24" s="17"/>
      <c r="F24" s="59">
        <v>0.15</v>
      </c>
      <c r="G24" s="49"/>
      <c r="H24" s="59">
        <v>0.18</v>
      </c>
      <c r="I24" s="49"/>
    </row>
    <row r="25" spans="1:9">
      <c r="A25" s="56" t="s">
        <v>67</v>
      </c>
      <c r="B25" s="17">
        <v>10.5</v>
      </c>
      <c r="C25" s="17"/>
      <c r="D25" s="55">
        <v>10.5</v>
      </c>
      <c r="E25" s="17"/>
      <c r="F25" s="55">
        <v>21.9</v>
      </c>
      <c r="G25" s="17"/>
      <c r="H25" s="55">
        <v>23.8</v>
      </c>
      <c r="I25" s="17"/>
    </row>
    <row r="26" spans="1:9">
      <c r="A26" s="56" t="s">
        <v>311</v>
      </c>
      <c r="B26" s="17"/>
      <c r="C26" s="17"/>
      <c r="D26" s="55"/>
      <c r="E26" s="17"/>
      <c r="F26" s="55"/>
      <c r="G26" s="17"/>
      <c r="H26" s="202">
        <f>SUM(H27:H28)</f>
        <v>239.5</v>
      </c>
      <c r="I26" s="17"/>
    </row>
    <row r="27" spans="1:9">
      <c r="A27" s="56" t="s">
        <v>192</v>
      </c>
      <c r="B27" s="17"/>
      <c r="C27" s="17"/>
      <c r="D27" s="55"/>
      <c r="E27" s="17"/>
      <c r="F27" s="55"/>
      <c r="G27" s="17"/>
      <c r="H27" s="202">
        <f>62.6+36.1</f>
        <v>98.7</v>
      </c>
      <c r="I27" s="17"/>
    </row>
    <row r="28" spans="1:9">
      <c r="A28" s="56" t="s">
        <v>281</v>
      </c>
      <c r="B28" s="17"/>
      <c r="C28" s="17"/>
      <c r="D28" s="55"/>
      <c r="E28" s="17"/>
      <c r="F28" s="55"/>
      <c r="G28" s="17"/>
      <c r="H28" s="202">
        <f>101+39.8</f>
        <v>140.80000000000001</v>
      </c>
      <c r="I28" s="17"/>
    </row>
    <row r="29" spans="1:9">
      <c r="A29" s="56" t="s">
        <v>276</v>
      </c>
      <c r="B29" s="48">
        <f>37+10/12</f>
        <v>37.833333333333336</v>
      </c>
      <c r="C29" s="17"/>
      <c r="D29" s="91">
        <f>37+10/12</f>
        <v>37.833333333333336</v>
      </c>
      <c r="E29" s="17"/>
      <c r="F29" s="55"/>
      <c r="G29" s="17"/>
      <c r="H29" s="55"/>
      <c r="I29" s="17"/>
    </row>
    <row r="30" spans="1:9">
      <c r="A30" s="56" t="s">
        <v>69</v>
      </c>
      <c r="B30" s="30">
        <v>36.4</v>
      </c>
      <c r="C30" s="30"/>
      <c r="D30" s="60">
        <v>36.4</v>
      </c>
      <c r="E30" s="17"/>
      <c r="F30" s="60">
        <v>45.3</v>
      </c>
      <c r="G30" s="30"/>
      <c r="H30" s="60">
        <v>47.6</v>
      </c>
      <c r="I30" s="30"/>
    </row>
    <row r="31" spans="1:9">
      <c r="A31" s="56" t="s">
        <v>70</v>
      </c>
      <c r="B31" s="30"/>
      <c r="C31" s="30"/>
      <c r="D31" s="60"/>
      <c r="E31" s="17"/>
      <c r="F31" s="60" t="s">
        <v>175</v>
      </c>
      <c r="G31" s="30"/>
      <c r="H31" s="60"/>
      <c r="I31" s="30"/>
    </row>
    <row r="32" spans="1:9">
      <c r="A32" s="56" t="s">
        <v>71</v>
      </c>
      <c r="B32" s="30">
        <v>15500</v>
      </c>
      <c r="C32" s="30"/>
      <c r="D32" s="60">
        <v>15500</v>
      </c>
      <c r="E32" s="17"/>
      <c r="F32" s="60">
        <v>21500</v>
      </c>
      <c r="G32" s="30"/>
      <c r="H32" s="60">
        <v>19750</v>
      </c>
      <c r="I32" s="30"/>
    </row>
    <row r="33" spans="1:9">
      <c r="A33" s="56" t="s">
        <v>5</v>
      </c>
      <c r="B33" s="30">
        <v>11</v>
      </c>
      <c r="C33" s="30"/>
      <c r="D33" s="60">
        <v>11</v>
      </c>
      <c r="E33" s="17"/>
      <c r="F33" s="60">
        <v>10.5</v>
      </c>
      <c r="G33" s="30"/>
      <c r="H33" s="60"/>
      <c r="I33" s="30"/>
    </row>
    <row r="34" spans="1:9">
      <c r="A34" s="72" t="s">
        <v>12</v>
      </c>
      <c r="B34" s="73"/>
      <c r="C34" s="73"/>
      <c r="D34" s="74"/>
      <c r="E34" s="65"/>
      <c r="F34" s="74"/>
      <c r="G34" s="73"/>
      <c r="H34" s="74"/>
      <c r="I34" s="73"/>
    </row>
    <row r="35" spans="1:9">
      <c r="A35" s="54"/>
      <c r="D35" s="44"/>
      <c r="F35" s="44"/>
      <c r="H35" s="44"/>
    </row>
    <row r="36" spans="1:9">
      <c r="A36" s="75" t="s">
        <v>43</v>
      </c>
      <c r="B36" s="76">
        <f t="shared" ref="B36:D36" si="1">B37+B38+B43+B46+B47+B50+B51</f>
        <v>5375</v>
      </c>
      <c r="C36" s="76">
        <f t="shared" si="1"/>
        <v>4898.1000000000004</v>
      </c>
      <c r="D36" s="77">
        <f t="shared" si="1"/>
        <v>5087.2999999999993</v>
      </c>
      <c r="E36" s="76"/>
      <c r="F36" s="77">
        <f t="shared" ref="F36" si="2">F37+F38+F43+F46+F47+F50+F51</f>
        <v>7258</v>
      </c>
      <c r="G36" s="76"/>
      <c r="H36" s="77">
        <f>H37+H38+H43+H46+H47+H50+H51</f>
        <v>6266</v>
      </c>
      <c r="I36" s="76"/>
    </row>
    <row r="37" spans="1:9">
      <c r="A37" s="58" t="s">
        <v>41</v>
      </c>
      <c r="B37" s="17">
        <v>2035</v>
      </c>
      <c r="C37" s="17">
        <v>1821.6</v>
      </c>
      <c r="D37" s="55">
        <v>1859.6</v>
      </c>
      <c r="E37" s="17"/>
      <c r="F37" s="55">
        <v>2590</v>
      </c>
      <c r="G37" s="17"/>
      <c r="H37" s="55">
        <v>2208</v>
      </c>
      <c r="I37" s="17"/>
    </row>
    <row r="38" spans="1:9">
      <c r="A38" s="58" t="s">
        <v>152</v>
      </c>
      <c r="B38" s="17">
        <f>SUM(B39:B40)</f>
        <v>354</v>
      </c>
      <c r="C38" s="17">
        <v>418.3</v>
      </c>
      <c r="D38" s="55">
        <v>417.2</v>
      </c>
      <c r="E38" s="17"/>
      <c r="F38" s="55">
        <f t="shared" ref="F38:H38" si="3">SUM(F39:F40)</f>
        <v>483</v>
      </c>
      <c r="G38" s="17"/>
      <c r="H38" s="55">
        <f t="shared" si="3"/>
        <v>393</v>
      </c>
      <c r="I38" s="17"/>
    </row>
    <row r="39" spans="1:9">
      <c r="A39" s="84" t="s">
        <v>40</v>
      </c>
      <c r="B39" s="85">
        <v>203</v>
      </c>
      <c r="C39" s="85"/>
      <c r="D39" s="86"/>
      <c r="E39" s="85"/>
      <c r="F39" s="86">
        <v>341</v>
      </c>
      <c r="G39" s="85"/>
      <c r="H39" s="86">
        <v>219</v>
      </c>
      <c r="I39" s="85"/>
    </row>
    <row r="40" spans="1:9">
      <c r="A40" s="84" t="s">
        <v>39</v>
      </c>
      <c r="B40" s="85">
        <v>151</v>
      </c>
      <c r="C40" s="85"/>
      <c r="D40" s="86"/>
      <c r="E40" s="85"/>
      <c r="F40" s="86">
        <v>142</v>
      </c>
      <c r="G40" s="85"/>
      <c r="H40" s="86">
        <v>174</v>
      </c>
      <c r="I40" s="85"/>
    </row>
    <row r="41" spans="1:9">
      <c r="A41" s="92" t="s">
        <v>229</v>
      </c>
      <c r="B41" s="17"/>
      <c r="C41" s="17"/>
      <c r="D41" s="55"/>
      <c r="E41" s="17"/>
      <c r="F41" s="55"/>
      <c r="G41" s="17"/>
      <c r="H41" s="55"/>
      <c r="I41" s="17"/>
    </row>
    <row r="42" spans="1:9">
      <c r="A42" s="92" t="s">
        <v>289</v>
      </c>
      <c r="B42" s="17"/>
      <c r="C42" s="17"/>
      <c r="D42" s="55"/>
      <c r="E42" s="17"/>
      <c r="F42" s="55"/>
      <c r="G42" s="17"/>
      <c r="H42" s="55"/>
      <c r="I42" s="17"/>
    </row>
    <row r="43" spans="1:9">
      <c r="A43" s="58" t="s">
        <v>42</v>
      </c>
      <c r="B43" s="17">
        <v>651</v>
      </c>
      <c r="C43" s="13">
        <f>SUM(C44:C45)</f>
        <v>1821.6</v>
      </c>
      <c r="D43" s="44">
        <f>SUM(D44:D45)</f>
        <v>1924.6</v>
      </c>
      <c r="E43" s="17"/>
      <c r="F43" s="55">
        <v>1691</v>
      </c>
      <c r="G43" s="17"/>
      <c r="H43" s="55">
        <v>1421</v>
      </c>
      <c r="I43" s="17"/>
    </row>
    <row r="44" spans="1:9">
      <c r="A44" s="84" t="s">
        <v>226</v>
      </c>
      <c r="B44" s="85"/>
      <c r="C44" s="87">
        <v>1376.3</v>
      </c>
      <c r="D44" s="88">
        <v>1453.6</v>
      </c>
      <c r="E44" s="85"/>
      <c r="F44" s="88"/>
      <c r="G44" s="87"/>
      <c r="H44" s="88"/>
      <c r="I44" s="87"/>
    </row>
    <row r="45" spans="1:9">
      <c r="A45" s="84" t="s">
        <v>218</v>
      </c>
      <c r="B45" s="85"/>
      <c r="C45" s="85">
        <v>445.3</v>
      </c>
      <c r="D45" s="86">
        <v>471</v>
      </c>
      <c r="E45" s="85"/>
      <c r="F45" s="86"/>
      <c r="G45" s="85"/>
      <c r="H45" s="86"/>
      <c r="I45" s="85"/>
    </row>
    <row r="46" spans="1:9">
      <c r="A46" s="58" t="s">
        <v>44</v>
      </c>
      <c r="B46" s="17">
        <v>1430</v>
      </c>
      <c r="D46" s="44"/>
      <c r="E46" s="17"/>
      <c r="F46" s="44"/>
      <c r="H46" s="44"/>
    </row>
    <row r="47" spans="1:9">
      <c r="A47" s="58" t="s">
        <v>153</v>
      </c>
      <c r="B47" s="17">
        <f>SUM(B48:B49)</f>
        <v>905</v>
      </c>
      <c r="C47" s="13">
        <v>836.6</v>
      </c>
      <c r="D47" s="44">
        <v>885.9</v>
      </c>
      <c r="E47" s="17"/>
      <c r="F47" s="44">
        <f t="shared" ref="F47:H47" si="4">SUM(F48:F49)</f>
        <v>1241</v>
      </c>
      <c r="H47" s="44">
        <f t="shared" si="4"/>
        <v>1343</v>
      </c>
    </row>
    <row r="48" spans="1:9">
      <c r="A48" s="84" t="s">
        <v>45</v>
      </c>
      <c r="B48" s="85">
        <v>687</v>
      </c>
      <c r="C48" s="87"/>
      <c r="D48" s="88"/>
      <c r="E48" s="85"/>
      <c r="F48" s="88">
        <v>966</v>
      </c>
      <c r="G48" s="87"/>
      <c r="H48" s="88">
        <v>1152</v>
      </c>
      <c r="I48" s="87"/>
    </row>
    <row r="49" spans="1:9">
      <c r="A49" s="84" t="s">
        <v>46</v>
      </c>
      <c r="B49" s="85">
        <v>218</v>
      </c>
      <c r="C49" s="87"/>
      <c r="D49" s="88"/>
      <c r="E49" s="85"/>
      <c r="F49" s="88">
        <v>275</v>
      </c>
      <c r="G49" s="87"/>
      <c r="H49" s="88">
        <v>191</v>
      </c>
      <c r="I49" s="87"/>
    </row>
    <row r="50" spans="1:9">
      <c r="A50" s="58" t="s">
        <v>176</v>
      </c>
      <c r="B50" s="17"/>
      <c r="D50" s="44"/>
      <c r="E50" s="17"/>
      <c r="F50" s="44">
        <v>79</v>
      </c>
      <c r="H50" s="44"/>
    </row>
    <row r="51" spans="1:9">
      <c r="A51" s="58" t="s">
        <v>177</v>
      </c>
      <c r="B51" s="17"/>
      <c r="D51" s="44"/>
      <c r="E51" s="17"/>
      <c r="F51" s="44">
        <v>1174</v>
      </c>
      <c r="H51" s="44">
        <v>901</v>
      </c>
    </row>
    <row r="52" spans="1:9">
      <c r="A52" s="75" t="s">
        <v>154</v>
      </c>
      <c r="B52" s="76">
        <f t="shared" ref="B52" si="5">B53+B56+B57+B58+SUM(B62:B66)</f>
        <v>5612</v>
      </c>
      <c r="C52" s="76">
        <f>C53+C57+C58+SUM(C62:C66)</f>
        <v>5199.2999999999993</v>
      </c>
      <c r="D52" s="77">
        <f>D53+D56+D57+D58+SUM(D62:D66)</f>
        <v>6420.2000000000007</v>
      </c>
      <c r="E52" s="76"/>
      <c r="F52" s="77">
        <f t="shared" ref="F52" si="6">F53+F56+F57+F58+SUM(F62:F66)</f>
        <v>7206</v>
      </c>
      <c r="G52" s="78"/>
      <c r="H52" s="77">
        <f>H53+H56+H57+H58+SUM(H62:H66)</f>
        <v>5751</v>
      </c>
      <c r="I52" s="78"/>
    </row>
    <row r="53" spans="1:9">
      <c r="A53" s="61" t="s">
        <v>224</v>
      </c>
      <c r="B53" s="13">
        <f>SUM(B54:B55)</f>
        <v>3003</v>
      </c>
      <c r="C53" s="13">
        <f>SUM(C54:C55)</f>
        <v>3197.8999999999996</v>
      </c>
      <c r="D53" s="44">
        <f>SUM(D54:D55)</f>
        <v>3051.3</v>
      </c>
      <c r="F53" s="44">
        <f t="shared" ref="F53" si="7">SUM(F54:F55)</f>
        <v>4921</v>
      </c>
      <c r="G53" s="17"/>
      <c r="H53" s="44">
        <f>SUM(H54:H55)</f>
        <v>4292</v>
      </c>
      <c r="I53" s="17"/>
    </row>
    <row r="54" spans="1:9">
      <c r="A54" s="84" t="s">
        <v>34</v>
      </c>
      <c r="B54" s="85">
        <v>2726</v>
      </c>
      <c r="C54" s="87">
        <v>2536.6999999999998</v>
      </c>
      <c r="D54" s="88">
        <v>2730</v>
      </c>
      <c r="E54" s="85"/>
      <c r="F54" s="88">
        <v>4647</v>
      </c>
      <c r="G54" s="87"/>
      <c r="H54" s="88">
        <v>3908</v>
      </c>
      <c r="I54" s="87"/>
    </row>
    <row r="55" spans="1:9">
      <c r="A55" s="84" t="s">
        <v>48</v>
      </c>
      <c r="B55" s="85">
        <v>277</v>
      </c>
      <c r="C55" s="87">
        <v>661.2</v>
      </c>
      <c r="D55" s="88">
        <v>321.3</v>
      </c>
      <c r="E55" s="85"/>
      <c r="F55" s="88">
        <v>274</v>
      </c>
      <c r="G55" s="87"/>
      <c r="H55" s="88">
        <v>384</v>
      </c>
      <c r="I55" s="87"/>
    </row>
    <row r="56" spans="1:9">
      <c r="A56" s="61" t="s">
        <v>47</v>
      </c>
      <c r="B56" s="17">
        <v>450</v>
      </c>
      <c r="C56" s="13" t="s">
        <v>150</v>
      </c>
      <c r="D56" s="44">
        <v>613.5</v>
      </c>
      <c r="F56" s="44"/>
      <c r="H56" s="44"/>
    </row>
    <row r="57" spans="1:9">
      <c r="A57" s="61" t="s">
        <v>49</v>
      </c>
      <c r="B57" s="17">
        <v>72</v>
      </c>
      <c r="C57" s="17">
        <v>81</v>
      </c>
      <c r="D57" s="55">
        <v>80.8</v>
      </c>
      <c r="F57" s="55">
        <v>99</v>
      </c>
      <c r="G57" s="17"/>
      <c r="H57" s="55">
        <v>140</v>
      </c>
      <c r="I57" s="17"/>
    </row>
    <row r="58" spans="1:9">
      <c r="A58" s="58" t="s">
        <v>35</v>
      </c>
      <c r="B58" s="90"/>
      <c r="C58" s="17">
        <f>SUM(C59:C61)*C15</f>
        <v>692.5</v>
      </c>
      <c r="D58" s="55">
        <f>SUM(D59:D61)*D15</f>
        <v>827.3</v>
      </c>
      <c r="E58" s="17"/>
      <c r="F58" s="55">
        <f t="shared" ref="F58" si="8">SUM(F59:F61)*F15</f>
        <v>1012</v>
      </c>
      <c r="G58" s="17"/>
      <c r="H58" s="55">
        <f>SUM(H59:H61)*H15</f>
        <v>854</v>
      </c>
      <c r="I58" s="17"/>
    </row>
    <row r="59" spans="1:9">
      <c r="A59" s="84" t="s">
        <v>195</v>
      </c>
      <c r="B59" s="85"/>
      <c r="C59" s="85"/>
      <c r="D59" s="86"/>
      <c r="E59" s="85"/>
      <c r="F59" s="86"/>
      <c r="G59" s="85"/>
      <c r="H59" s="86"/>
      <c r="I59" s="85"/>
    </row>
    <row r="60" spans="1:9">
      <c r="A60" s="84" t="s">
        <v>194</v>
      </c>
      <c r="B60" s="85"/>
      <c r="C60" s="85">
        <f>692.5/2</f>
        <v>346.25</v>
      </c>
      <c r="D60" s="86">
        <f>827.3/2</f>
        <v>413.65</v>
      </c>
      <c r="E60" s="85"/>
      <c r="F60" s="86">
        <f>1012/2</f>
        <v>506</v>
      </c>
      <c r="G60" s="85"/>
      <c r="H60" s="86">
        <f>854/2</f>
        <v>427</v>
      </c>
      <c r="I60" s="85"/>
    </row>
    <row r="61" spans="1:9">
      <c r="A61" s="84" t="s">
        <v>193</v>
      </c>
      <c r="B61" s="85"/>
      <c r="C61" s="85"/>
      <c r="D61" s="86"/>
      <c r="E61" s="85"/>
      <c r="F61" s="86"/>
      <c r="G61" s="85"/>
      <c r="H61" s="86"/>
      <c r="I61" s="85"/>
    </row>
    <row r="62" spans="1:9">
      <c r="A62" s="58" t="s">
        <v>36</v>
      </c>
      <c r="B62" s="17">
        <v>82</v>
      </c>
      <c r="C62" s="17">
        <v>81</v>
      </c>
      <c r="D62" s="55">
        <v>82.3</v>
      </c>
      <c r="E62" s="17"/>
      <c r="F62" s="55">
        <v>74</v>
      </c>
      <c r="G62" s="17"/>
      <c r="H62" s="55">
        <v>148</v>
      </c>
      <c r="I62" s="17"/>
    </row>
    <row r="63" spans="1:9">
      <c r="A63" s="58" t="s">
        <v>50</v>
      </c>
      <c r="B63" s="17"/>
      <c r="D63" s="44"/>
      <c r="E63" s="17"/>
      <c r="F63" s="44">
        <v>73</v>
      </c>
      <c r="H63" s="44"/>
    </row>
    <row r="64" spans="1:9">
      <c r="A64" s="58" t="s">
        <v>51</v>
      </c>
      <c r="B64" s="17">
        <v>1005</v>
      </c>
      <c r="C64" s="17">
        <v>863.6</v>
      </c>
      <c r="D64" s="55">
        <v>1065.0999999999999</v>
      </c>
      <c r="E64" s="17"/>
      <c r="F64" s="55"/>
      <c r="G64" s="17"/>
      <c r="H64" s="55"/>
      <c r="I64" s="17"/>
    </row>
    <row r="65" spans="1:9">
      <c r="A65" s="61" t="s">
        <v>52</v>
      </c>
      <c r="B65" s="17">
        <v>186</v>
      </c>
      <c r="C65" s="17">
        <v>161.9</v>
      </c>
      <c r="D65" s="55">
        <v>194.1</v>
      </c>
      <c r="F65" s="55">
        <v>350</v>
      </c>
      <c r="G65" s="17"/>
      <c r="H65" s="55">
        <v>85</v>
      </c>
      <c r="I65" s="17"/>
    </row>
    <row r="66" spans="1:9">
      <c r="A66" s="58" t="s">
        <v>53</v>
      </c>
      <c r="B66" s="17">
        <v>814</v>
      </c>
      <c r="C66" s="17">
        <v>121.4</v>
      </c>
      <c r="D66" s="55">
        <v>505.8</v>
      </c>
      <c r="E66" s="17"/>
      <c r="F66" s="55">
        <v>677</v>
      </c>
      <c r="G66" s="17"/>
      <c r="H66" s="55">
        <v>232</v>
      </c>
      <c r="I66" s="17"/>
    </row>
    <row r="67" spans="1:9">
      <c r="A67" s="75" t="s">
        <v>37</v>
      </c>
      <c r="B67" s="41">
        <f t="shared" ref="B67:D67" si="9">SUM(B68:B76)</f>
        <v>1495</v>
      </c>
      <c r="C67" s="41">
        <f t="shared" si="9"/>
        <v>1101.0999999999999</v>
      </c>
      <c r="D67" s="42">
        <f t="shared" si="9"/>
        <v>1272.3999999999999</v>
      </c>
      <c r="E67" s="76"/>
      <c r="F67" s="42">
        <f t="shared" ref="F67" si="10">SUM(F68:F76)</f>
        <v>1761</v>
      </c>
      <c r="G67" s="78"/>
      <c r="H67" s="42">
        <f>SUM(H68:H76)</f>
        <v>2262</v>
      </c>
      <c r="I67" s="78"/>
    </row>
    <row r="68" spans="1:9">
      <c r="A68" s="58" t="s">
        <v>38</v>
      </c>
      <c r="B68" s="31">
        <v>61</v>
      </c>
      <c r="C68" s="17">
        <v>54</v>
      </c>
      <c r="D68" s="55">
        <v>73.2</v>
      </c>
      <c r="E68" s="17"/>
      <c r="F68" s="55">
        <v>76</v>
      </c>
      <c r="G68" s="17"/>
      <c r="H68" s="55">
        <v>355</v>
      </c>
      <c r="I68" s="17"/>
    </row>
    <row r="69" spans="1:9">
      <c r="A69" s="58" t="s">
        <v>54</v>
      </c>
      <c r="B69" s="31">
        <v>263</v>
      </c>
      <c r="C69" s="17">
        <v>431.8</v>
      </c>
      <c r="D69" s="55">
        <v>234.4</v>
      </c>
      <c r="E69" s="17"/>
      <c r="F69" s="55">
        <v>165</v>
      </c>
      <c r="G69" s="17"/>
      <c r="H69" s="55">
        <v>200</v>
      </c>
      <c r="I69" s="17"/>
    </row>
    <row r="70" spans="1:9">
      <c r="A70" s="61" t="s">
        <v>55</v>
      </c>
      <c r="B70" s="31">
        <v>199</v>
      </c>
      <c r="C70" s="31">
        <v>27</v>
      </c>
      <c r="D70" s="43">
        <v>209</v>
      </c>
      <c r="F70" s="43">
        <v>182</v>
      </c>
      <c r="G70" s="31"/>
      <c r="H70" s="43">
        <v>225</v>
      </c>
      <c r="I70" s="31"/>
    </row>
    <row r="71" spans="1:9">
      <c r="A71" s="58" t="s">
        <v>56</v>
      </c>
      <c r="B71" s="31">
        <v>411</v>
      </c>
      <c r="C71" s="31">
        <v>296.89999999999998</v>
      </c>
      <c r="D71" s="43">
        <v>321.10000000000002</v>
      </c>
      <c r="E71" s="17"/>
      <c r="F71" s="43">
        <v>385</v>
      </c>
      <c r="G71" s="31"/>
      <c r="H71" s="43">
        <v>564</v>
      </c>
      <c r="I71" s="31"/>
    </row>
    <row r="72" spans="1:9">
      <c r="A72" s="62" t="s">
        <v>57</v>
      </c>
      <c r="B72" s="31">
        <v>150</v>
      </c>
      <c r="C72" s="31">
        <v>81</v>
      </c>
      <c r="D72" s="43">
        <v>161.9</v>
      </c>
      <c r="E72" s="50"/>
      <c r="F72" s="43">
        <v>172</v>
      </c>
      <c r="G72" s="31"/>
      <c r="H72" s="43">
        <v>211</v>
      </c>
      <c r="I72" s="31"/>
    </row>
    <row r="73" spans="1:9">
      <c r="A73" s="61" t="s">
        <v>227</v>
      </c>
      <c r="B73" s="13">
        <v>323</v>
      </c>
      <c r="C73" s="31">
        <v>121.4</v>
      </c>
      <c r="D73" s="43">
        <v>175.5</v>
      </c>
      <c r="F73" s="43">
        <v>687</v>
      </c>
      <c r="G73" s="31"/>
      <c r="H73" s="43">
        <v>413</v>
      </c>
      <c r="I73" s="31"/>
    </row>
    <row r="74" spans="1:9">
      <c r="A74" s="61" t="s">
        <v>58</v>
      </c>
      <c r="B74" s="13">
        <v>88</v>
      </c>
      <c r="C74" s="31">
        <v>54</v>
      </c>
      <c r="D74" s="43">
        <v>95.8</v>
      </c>
      <c r="F74" s="43">
        <v>94</v>
      </c>
      <c r="G74" s="31"/>
      <c r="H74" s="43">
        <v>294</v>
      </c>
      <c r="I74" s="31"/>
    </row>
    <row r="75" spans="1:9">
      <c r="A75" s="61" t="s">
        <v>200</v>
      </c>
      <c r="D75" s="44"/>
      <c r="F75" s="44"/>
      <c r="H75" s="44"/>
    </row>
    <row r="76" spans="1:9">
      <c r="A76" s="61" t="s">
        <v>156</v>
      </c>
      <c r="C76" s="31">
        <v>35</v>
      </c>
      <c r="D76" s="43">
        <v>1.5</v>
      </c>
      <c r="F76" s="43"/>
      <c r="G76" s="31"/>
      <c r="H76" s="43"/>
      <c r="I76" s="31"/>
    </row>
    <row r="77" spans="1:9">
      <c r="A77" s="79" t="s">
        <v>6</v>
      </c>
      <c r="B77" s="78">
        <f t="shared" ref="B77:D77" si="11">B36+B52+B67</f>
        <v>12482</v>
      </c>
      <c r="C77" s="80">
        <f t="shared" si="11"/>
        <v>11198.5</v>
      </c>
      <c r="D77" s="81">
        <f t="shared" si="11"/>
        <v>12779.9</v>
      </c>
      <c r="E77" s="78"/>
      <c r="F77" s="82">
        <f t="shared" ref="F77" si="12">F36+F52+F67</f>
        <v>16225</v>
      </c>
      <c r="G77" s="78"/>
      <c r="H77" s="82">
        <f>H36+H52+H67</f>
        <v>14279</v>
      </c>
      <c r="I77" s="78"/>
    </row>
    <row r="78" spans="1:9">
      <c r="A78" s="61" t="s">
        <v>86</v>
      </c>
      <c r="B78" s="13">
        <v>200</v>
      </c>
      <c r="D78" s="44"/>
      <c r="F78" s="44">
        <v>200</v>
      </c>
      <c r="H78" s="44">
        <v>600</v>
      </c>
    </row>
    <row r="79" spans="1:9">
      <c r="A79" s="61" t="s">
        <v>228</v>
      </c>
      <c r="D79" s="44"/>
      <c r="F79" s="44"/>
      <c r="H79" s="44"/>
    </row>
    <row r="80" spans="1:9">
      <c r="A80" s="61" t="s">
        <v>87</v>
      </c>
      <c r="B80" s="13">
        <v>195</v>
      </c>
      <c r="D80" s="44"/>
      <c r="F80" s="44">
        <v>315</v>
      </c>
      <c r="H80" s="44">
        <v>271</v>
      </c>
    </row>
    <row r="81" spans="1:9">
      <c r="A81" s="61" t="s">
        <v>88</v>
      </c>
      <c r="B81" s="13">
        <v>2460</v>
      </c>
      <c r="D81" s="44"/>
      <c r="F81" s="44">
        <v>2730</v>
      </c>
      <c r="H81" s="44">
        <v>2400</v>
      </c>
    </row>
    <row r="82" spans="1:9">
      <c r="A82" s="61" t="s">
        <v>201</v>
      </c>
      <c r="D82" s="44"/>
      <c r="F82" s="44"/>
      <c r="H82" s="44">
        <v>1100</v>
      </c>
    </row>
    <row r="83" spans="1:9">
      <c r="A83" s="61" t="s">
        <v>290</v>
      </c>
      <c r="D83" s="44"/>
      <c r="F83" s="44"/>
      <c r="H83" s="44"/>
    </row>
    <row r="84" spans="1:9">
      <c r="A84" s="61" t="s">
        <v>225</v>
      </c>
      <c r="D84" s="44"/>
      <c r="F84" s="44"/>
      <c r="H84" s="44"/>
    </row>
    <row r="85" spans="1:9">
      <c r="A85" s="89" t="s">
        <v>89</v>
      </c>
      <c r="B85" s="87">
        <v>481</v>
      </c>
      <c r="C85" s="87"/>
      <c r="D85" s="88"/>
      <c r="E85" s="87"/>
      <c r="F85" s="88">
        <v>1060</v>
      </c>
      <c r="G85" s="87"/>
      <c r="H85" s="88">
        <v>189</v>
      </c>
      <c r="I85" s="87"/>
    </row>
    <row r="86" spans="1:9">
      <c r="A86" s="89" t="s">
        <v>90</v>
      </c>
      <c r="B86" s="87">
        <v>465</v>
      </c>
      <c r="C86" s="87"/>
      <c r="D86" s="88"/>
      <c r="E86" s="87"/>
      <c r="F86" s="88">
        <v>920</v>
      </c>
      <c r="G86" s="87"/>
      <c r="H86" s="88">
        <v>194</v>
      </c>
      <c r="I86" s="87"/>
    </row>
    <row r="87" spans="1:9">
      <c r="A87" s="61" t="s">
        <v>91</v>
      </c>
      <c r="B87" s="13">
        <v>330</v>
      </c>
      <c r="D87" s="44"/>
      <c r="F87" s="44">
        <v>63</v>
      </c>
      <c r="H87" s="44">
        <v>102</v>
      </c>
    </row>
    <row r="88" spans="1:9">
      <c r="A88" s="79" t="s">
        <v>92</v>
      </c>
      <c r="B88" s="78">
        <f>SUM(B78:B87)</f>
        <v>4131</v>
      </c>
      <c r="C88" s="78"/>
      <c r="D88" s="82"/>
      <c r="E88" s="78"/>
      <c r="F88" s="82">
        <f>SUM(F78:F87)</f>
        <v>5288</v>
      </c>
      <c r="G88" s="78"/>
      <c r="H88" s="82">
        <f>SUM(H78:H87)</f>
        <v>4856</v>
      </c>
      <c r="I88" s="78"/>
    </row>
    <row r="89" spans="1:9">
      <c r="A89" s="54" t="s">
        <v>7</v>
      </c>
      <c r="B89" s="13">
        <f>B77+B88</f>
        <v>16613</v>
      </c>
      <c r="D89" s="44"/>
      <c r="F89" s="44">
        <f>F77+F88</f>
        <v>21513</v>
      </c>
      <c r="H89" s="44">
        <f>H77+H88</f>
        <v>19135</v>
      </c>
    </row>
    <row r="90" spans="1:9">
      <c r="A90" s="79" t="s">
        <v>95</v>
      </c>
      <c r="B90" s="78"/>
      <c r="C90" s="78"/>
      <c r="D90" s="82"/>
      <c r="E90" s="78"/>
      <c r="F90" s="82"/>
      <c r="G90" s="78"/>
      <c r="H90" s="82"/>
      <c r="I90" s="78"/>
    </row>
    <row r="91" spans="1:9">
      <c r="A91" s="61" t="s">
        <v>88</v>
      </c>
      <c r="B91" s="35">
        <v>1980</v>
      </c>
      <c r="D91" s="44"/>
      <c r="F91" s="44">
        <v>3600</v>
      </c>
      <c r="H91" s="44"/>
    </row>
    <row r="92" spans="1:9">
      <c r="A92" s="61" t="s">
        <v>93</v>
      </c>
      <c r="B92" s="13">
        <v>3200</v>
      </c>
      <c r="D92" s="44"/>
      <c r="F92" s="44">
        <v>4000</v>
      </c>
      <c r="H92" s="44">
        <v>1200</v>
      </c>
    </row>
    <row r="93" spans="1:9">
      <c r="A93" s="54"/>
      <c r="D93" s="44"/>
      <c r="F93" s="44"/>
      <c r="H93" s="44">
        <v>2400</v>
      </c>
    </row>
    <row r="94" spans="1:9">
      <c r="A94" s="61" t="s">
        <v>89</v>
      </c>
      <c r="D94" s="44"/>
      <c r="F94" s="44"/>
      <c r="H94" s="44"/>
    </row>
    <row r="95" spans="1:9">
      <c r="A95" s="61" t="s">
        <v>212</v>
      </c>
      <c r="D95" s="44"/>
      <c r="F95" s="44"/>
      <c r="H95" s="44"/>
    </row>
    <row r="96" spans="1:9">
      <c r="A96" s="79" t="s">
        <v>99</v>
      </c>
      <c r="B96" s="78">
        <v>3827</v>
      </c>
      <c r="C96" s="78"/>
      <c r="D96" s="82"/>
      <c r="E96" s="78"/>
      <c r="F96" s="82">
        <v>4000</v>
      </c>
      <c r="G96" s="78"/>
      <c r="H96" s="82"/>
      <c r="I96" s="78"/>
    </row>
    <row r="97" spans="1:8">
      <c r="A97" s="63" t="s">
        <v>94</v>
      </c>
      <c r="B97" s="45">
        <v>21600</v>
      </c>
      <c r="C97" s="45"/>
      <c r="D97" s="46"/>
      <c r="F97" s="46">
        <v>25720</v>
      </c>
      <c r="H97" s="46"/>
    </row>
    <row r="99" spans="1:8">
      <c r="A99" s="3" t="s">
        <v>96</v>
      </c>
      <c r="F99" s="13" t="s">
        <v>185</v>
      </c>
    </row>
    <row r="100" spans="1:8">
      <c r="B100" s="13" t="s">
        <v>115</v>
      </c>
      <c r="F100" s="13" t="s">
        <v>186</v>
      </c>
    </row>
    <row r="101" spans="1:8">
      <c r="B101" s="13" t="s">
        <v>116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F4E1-77D1-4EA9-BD09-F56103E8543C}">
  <dimension ref="A1:AJ4"/>
  <sheetViews>
    <sheetView workbookViewId="0">
      <selection activeCell="J11" sqref="J11"/>
    </sheetView>
  </sheetViews>
  <sheetFormatPr defaultRowHeight="14.5"/>
  <cols>
    <col min="2" max="5" width="3.81640625" bestFit="1" customWidth="1"/>
    <col min="6" max="36" width="4.81640625" bestFit="1" customWidth="1"/>
  </cols>
  <sheetData>
    <row r="1" spans="1:36">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row>
    <row r="2" spans="1:36">
      <c r="A2">
        <v>0</v>
      </c>
      <c r="B2">
        <f>$A2*B$1/100</f>
        <v>0</v>
      </c>
      <c r="C2">
        <f t="shared" ref="C2:AJ4" si="0">$A2*C$1/100</f>
        <v>0</v>
      </c>
      <c r="D2">
        <f t="shared" si="0"/>
        <v>0</v>
      </c>
      <c r="E2">
        <f t="shared" si="0"/>
        <v>0</v>
      </c>
      <c r="F2">
        <f t="shared" si="0"/>
        <v>0</v>
      </c>
      <c r="G2">
        <f t="shared" si="0"/>
        <v>0</v>
      </c>
      <c r="H2">
        <f t="shared" si="0"/>
        <v>0</v>
      </c>
      <c r="I2">
        <f t="shared" si="0"/>
        <v>0</v>
      </c>
      <c r="J2">
        <f t="shared" si="0"/>
        <v>0</v>
      </c>
      <c r="K2">
        <f t="shared" si="0"/>
        <v>0</v>
      </c>
      <c r="L2">
        <f t="shared" si="0"/>
        <v>0</v>
      </c>
      <c r="M2">
        <f t="shared" si="0"/>
        <v>0</v>
      </c>
      <c r="N2">
        <f t="shared" si="0"/>
        <v>0</v>
      </c>
      <c r="O2">
        <f t="shared" si="0"/>
        <v>0</v>
      </c>
      <c r="P2">
        <f t="shared" si="0"/>
        <v>0</v>
      </c>
      <c r="Q2">
        <f t="shared" si="0"/>
        <v>0</v>
      </c>
      <c r="R2">
        <f t="shared" si="0"/>
        <v>0</v>
      </c>
      <c r="S2">
        <f t="shared" si="0"/>
        <v>0</v>
      </c>
      <c r="T2">
        <f t="shared" si="0"/>
        <v>0</v>
      </c>
      <c r="U2">
        <f t="shared" si="0"/>
        <v>0</v>
      </c>
      <c r="V2">
        <f t="shared" si="0"/>
        <v>0</v>
      </c>
      <c r="W2">
        <f t="shared" si="0"/>
        <v>0</v>
      </c>
      <c r="X2">
        <f t="shared" si="0"/>
        <v>0</v>
      </c>
      <c r="Y2">
        <f t="shared" si="0"/>
        <v>0</v>
      </c>
      <c r="Z2">
        <f t="shared" si="0"/>
        <v>0</v>
      </c>
      <c r="AA2">
        <f t="shared" si="0"/>
        <v>0</v>
      </c>
      <c r="AB2">
        <f t="shared" si="0"/>
        <v>0</v>
      </c>
      <c r="AC2">
        <f t="shared" si="0"/>
        <v>0</v>
      </c>
      <c r="AD2">
        <f t="shared" si="0"/>
        <v>0</v>
      </c>
      <c r="AE2">
        <f t="shared" si="0"/>
        <v>0</v>
      </c>
      <c r="AF2">
        <f t="shared" si="0"/>
        <v>0</v>
      </c>
      <c r="AG2">
        <f t="shared" si="0"/>
        <v>0</v>
      </c>
      <c r="AH2">
        <f t="shared" si="0"/>
        <v>0</v>
      </c>
      <c r="AI2">
        <f t="shared" si="0"/>
        <v>0</v>
      </c>
      <c r="AJ2">
        <f t="shared" si="0"/>
        <v>0</v>
      </c>
    </row>
    <row r="3" spans="1:36">
      <c r="A3">
        <v>3000</v>
      </c>
      <c r="B3">
        <f t="shared" ref="B3:Q4" si="1">$A3*B$1/100</f>
        <v>30</v>
      </c>
      <c r="C3">
        <f t="shared" si="1"/>
        <v>60</v>
      </c>
      <c r="D3">
        <f t="shared" si="1"/>
        <v>90</v>
      </c>
      <c r="E3">
        <f t="shared" si="1"/>
        <v>120</v>
      </c>
      <c r="F3">
        <f t="shared" si="1"/>
        <v>150</v>
      </c>
      <c r="G3">
        <f t="shared" si="1"/>
        <v>180</v>
      </c>
      <c r="H3">
        <f t="shared" si="1"/>
        <v>210</v>
      </c>
      <c r="I3">
        <f t="shared" si="1"/>
        <v>240</v>
      </c>
      <c r="J3">
        <f t="shared" si="1"/>
        <v>270</v>
      </c>
      <c r="K3">
        <f t="shared" si="1"/>
        <v>300</v>
      </c>
      <c r="L3">
        <f t="shared" si="1"/>
        <v>330</v>
      </c>
      <c r="M3">
        <f t="shared" si="1"/>
        <v>360</v>
      </c>
      <c r="N3">
        <f t="shared" si="1"/>
        <v>390</v>
      </c>
      <c r="O3">
        <f t="shared" si="1"/>
        <v>420</v>
      </c>
      <c r="P3">
        <f t="shared" si="1"/>
        <v>450</v>
      </c>
      <c r="Q3">
        <f t="shared" si="1"/>
        <v>480</v>
      </c>
      <c r="R3">
        <f t="shared" si="0"/>
        <v>510</v>
      </c>
      <c r="S3">
        <f t="shared" si="0"/>
        <v>540</v>
      </c>
      <c r="T3">
        <f t="shared" si="0"/>
        <v>570</v>
      </c>
      <c r="U3">
        <f t="shared" si="0"/>
        <v>600</v>
      </c>
      <c r="V3">
        <f t="shared" si="0"/>
        <v>630</v>
      </c>
      <c r="W3">
        <f t="shared" si="0"/>
        <v>660</v>
      </c>
      <c r="X3">
        <f t="shared" si="0"/>
        <v>690</v>
      </c>
      <c r="Y3">
        <f t="shared" si="0"/>
        <v>720</v>
      </c>
      <c r="Z3">
        <f t="shared" si="0"/>
        <v>750</v>
      </c>
      <c r="AA3">
        <f t="shared" si="0"/>
        <v>780</v>
      </c>
      <c r="AB3">
        <f t="shared" si="0"/>
        <v>810</v>
      </c>
      <c r="AC3">
        <f t="shared" si="0"/>
        <v>840</v>
      </c>
      <c r="AD3">
        <f t="shared" si="0"/>
        <v>870</v>
      </c>
      <c r="AE3">
        <f t="shared" si="0"/>
        <v>900</v>
      </c>
      <c r="AF3">
        <f t="shared" si="0"/>
        <v>930</v>
      </c>
      <c r="AG3">
        <f t="shared" si="0"/>
        <v>960</v>
      </c>
      <c r="AH3">
        <f t="shared" si="0"/>
        <v>990</v>
      </c>
      <c r="AI3">
        <f t="shared" si="0"/>
        <v>1020</v>
      </c>
      <c r="AJ3">
        <f t="shared" si="0"/>
        <v>1050</v>
      </c>
    </row>
    <row r="4" spans="1:36">
      <c r="A4">
        <v>20000</v>
      </c>
      <c r="B4">
        <f t="shared" si="1"/>
        <v>200</v>
      </c>
      <c r="C4">
        <f t="shared" si="0"/>
        <v>400</v>
      </c>
      <c r="D4">
        <f t="shared" si="0"/>
        <v>600</v>
      </c>
      <c r="E4">
        <f t="shared" si="0"/>
        <v>800</v>
      </c>
      <c r="F4">
        <f t="shared" si="0"/>
        <v>1000</v>
      </c>
      <c r="G4">
        <f t="shared" si="0"/>
        <v>1200</v>
      </c>
      <c r="H4">
        <f t="shared" si="0"/>
        <v>1400</v>
      </c>
      <c r="I4">
        <f t="shared" si="0"/>
        <v>1600</v>
      </c>
      <c r="J4">
        <f t="shared" si="0"/>
        <v>1800</v>
      </c>
      <c r="K4">
        <f t="shared" si="0"/>
        <v>2000</v>
      </c>
      <c r="L4">
        <f t="shared" si="0"/>
        <v>2200</v>
      </c>
      <c r="M4">
        <f t="shared" si="0"/>
        <v>2400</v>
      </c>
      <c r="N4">
        <f t="shared" si="0"/>
        <v>2600</v>
      </c>
      <c r="O4">
        <f t="shared" si="0"/>
        <v>2800</v>
      </c>
      <c r="P4">
        <f t="shared" si="0"/>
        <v>3000</v>
      </c>
      <c r="Q4">
        <f t="shared" si="0"/>
        <v>3200</v>
      </c>
      <c r="R4">
        <f t="shared" si="0"/>
        <v>3400</v>
      </c>
      <c r="S4">
        <f t="shared" si="0"/>
        <v>3600</v>
      </c>
      <c r="T4">
        <f t="shared" si="0"/>
        <v>3800</v>
      </c>
      <c r="U4">
        <f t="shared" si="0"/>
        <v>4000</v>
      </c>
      <c r="V4">
        <f t="shared" si="0"/>
        <v>4200</v>
      </c>
      <c r="W4">
        <f t="shared" si="0"/>
        <v>4400</v>
      </c>
      <c r="X4">
        <f t="shared" si="0"/>
        <v>4600</v>
      </c>
      <c r="Y4">
        <f t="shared" si="0"/>
        <v>4800</v>
      </c>
      <c r="Z4">
        <f t="shared" si="0"/>
        <v>5000</v>
      </c>
      <c r="AA4">
        <f t="shared" si="0"/>
        <v>5200</v>
      </c>
      <c r="AB4">
        <f t="shared" si="0"/>
        <v>5400</v>
      </c>
      <c r="AC4">
        <f t="shared" si="0"/>
        <v>5600</v>
      </c>
      <c r="AD4">
        <f t="shared" si="0"/>
        <v>5800</v>
      </c>
      <c r="AE4">
        <f t="shared" si="0"/>
        <v>6000</v>
      </c>
      <c r="AF4">
        <f t="shared" si="0"/>
        <v>6200</v>
      </c>
      <c r="AG4">
        <f t="shared" si="0"/>
        <v>6400</v>
      </c>
      <c r="AH4">
        <f t="shared" si="0"/>
        <v>6600</v>
      </c>
      <c r="AI4">
        <f t="shared" si="0"/>
        <v>6800</v>
      </c>
      <c r="AJ4">
        <f t="shared" si="0"/>
        <v>7000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E1467-2B11-4687-9A4C-55A60418DA13}">
  <dimension ref="A1:L48"/>
  <sheetViews>
    <sheetView topLeftCell="A44" workbookViewId="0">
      <selection activeCell="A47" sqref="A47"/>
    </sheetView>
  </sheetViews>
  <sheetFormatPr defaultRowHeight="14.5"/>
  <sheetData>
    <row r="1" spans="1:1">
      <c r="A1" s="348" t="s">
        <v>387</v>
      </c>
    </row>
    <row r="2" spans="1:1">
      <c r="A2" s="348" t="s">
        <v>388</v>
      </c>
    </row>
    <row r="3" spans="1:1">
      <c r="A3" s="348" t="s">
        <v>389</v>
      </c>
    </row>
    <row r="4" spans="1:1">
      <c r="A4" s="348" t="s">
        <v>390</v>
      </c>
    </row>
    <row r="6" spans="1:1">
      <c r="A6" s="348" t="s">
        <v>392</v>
      </c>
    </row>
    <row r="8" spans="1:1">
      <c r="A8" s="348" t="s">
        <v>393</v>
      </c>
    </row>
    <row r="9" spans="1:1">
      <c r="A9" s="348" t="s">
        <v>394</v>
      </c>
    </row>
    <row r="10" spans="1:1">
      <c r="A10" s="348" t="s">
        <v>395</v>
      </c>
    </row>
    <row r="11" spans="1:1">
      <c r="A11" s="348"/>
    </row>
    <row r="12" spans="1:1">
      <c r="A12" s="348" t="s">
        <v>396</v>
      </c>
    </row>
    <row r="14" spans="1:1" ht="34.5">
      <c r="A14" s="349" t="s">
        <v>397</v>
      </c>
    </row>
    <row r="15" spans="1:1" ht="46">
      <c r="A15" s="349" t="s">
        <v>398</v>
      </c>
    </row>
    <row r="16" spans="1:1" ht="34.5">
      <c r="A16" s="350" t="s">
        <v>399</v>
      </c>
    </row>
    <row r="17" spans="1:1" ht="57.5">
      <c r="A17" s="349" t="s">
        <v>400</v>
      </c>
    </row>
    <row r="18" spans="1:1" ht="34.5">
      <c r="A18" s="350" t="s">
        <v>401</v>
      </c>
    </row>
    <row r="19" spans="1:1" ht="34.5">
      <c r="A19" s="350" t="s">
        <v>402</v>
      </c>
    </row>
    <row r="20" spans="1:1" ht="34.5">
      <c r="A20" s="349" t="s">
        <v>403</v>
      </c>
    </row>
    <row r="21" spans="1:1" ht="23">
      <c r="A21" s="349" t="s">
        <v>404</v>
      </c>
    </row>
    <row r="22" spans="1:1" ht="23">
      <c r="A22" s="349" t="s">
        <v>405</v>
      </c>
    </row>
    <row r="23" spans="1:1" ht="34.5">
      <c r="A23" s="350" t="s">
        <v>406</v>
      </c>
    </row>
    <row r="24" spans="1:1" ht="34.5">
      <c r="A24" s="350" t="s">
        <v>407</v>
      </c>
    </row>
    <row r="25" spans="1:1" ht="34.5">
      <c r="A25" s="350" t="s">
        <v>408</v>
      </c>
    </row>
    <row r="26" spans="1:1" ht="46">
      <c r="A26" s="350" t="s">
        <v>409</v>
      </c>
    </row>
    <row r="27" spans="1:1" ht="34.5">
      <c r="A27" s="349" t="s">
        <v>410</v>
      </c>
    </row>
    <row r="28" spans="1:1" ht="23">
      <c r="A28" s="349" t="s">
        <v>411</v>
      </c>
    </row>
    <row r="29" spans="1:1" ht="46">
      <c r="A29" s="350" t="s">
        <v>412</v>
      </c>
    </row>
    <row r="30" spans="1:1" ht="34.5">
      <c r="A30" s="349" t="s">
        <v>413</v>
      </c>
    </row>
    <row r="31" spans="1:1" ht="46">
      <c r="A31" s="350" t="s">
        <v>414</v>
      </c>
    </row>
    <row r="32" spans="1:1" ht="23">
      <c r="A32" s="349" t="s">
        <v>415</v>
      </c>
    </row>
    <row r="33" spans="1:12" ht="34.5">
      <c r="A33" s="349" t="s">
        <v>416</v>
      </c>
    </row>
    <row r="34" spans="1:12" ht="34.5">
      <c r="A34" s="350" t="s">
        <v>417</v>
      </c>
    </row>
    <row r="35" spans="1:12" ht="34.5">
      <c r="A35" s="350" t="s">
        <v>418</v>
      </c>
    </row>
    <row r="36" spans="1:12" ht="34.5">
      <c r="A36" s="350" t="s">
        <v>419</v>
      </c>
    </row>
    <row r="37" spans="1:12" ht="46">
      <c r="A37" s="349" t="s">
        <v>420</v>
      </c>
    </row>
    <row r="38" spans="1:12" ht="34.5">
      <c r="A38" s="349" t="s">
        <v>421</v>
      </c>
    </row>
    <row r="39" spans="1:12" ht="92">
      <c r="A39" s="349" t="s">
        <v>422</v>
      </c>
    </row>
    <row r="40" spans="1:12">
      <c r="A40" s="1"/>
    </row>
    <row r="41" spans="1:12" ht="409.5">
      <c r="A41" s="349" t="s">
        <v>423</v>
      </c>
    </row>
    <row r="42" spans="1:12">
      <c r="A42" s="1"/>
    </row>
    <row r="43" spans="1:12" ht="161">
      <c r="A43" s="349" t="s">
        <v>424</v>
      </c>
    </row>
    <row r="44" spans="1:12" ht="34.5">
      <c r="A44" s="349" t="s">
        <v>425</v>
      </c>
    </row>
    <row r="45" spans="1:12" ht="15" thickBot="1">
      <c r="A45" s="349"/>
    </row>
    <row r="46" spans="1:12" ht="33.5" thickBot="1">
      <c r="A46" s="351" t="s">
        <v>426</v>
      </c>
      <c r="B46" s="351" t="s">
        <v>427</v>
      </c>
      <c r="C46" s="351" t="s">
        <v>135</v>
      </c>
      <c r="D46" s="351" t="s">
        <v>428</v>
      </c>
      <c r="E46" s="351" t="s">
        <v>136</v>
      </c>
      <c r="F46" s="351" t="s">
        <v>137</v>
      </c>
      <c r="G46" s="351" t="s">
        <v>429</v>
      </c>
      <c r="H46" s="351" t="s">
        <v>430</v>
      </c>
      <c r="I46" s="351" t="s">
        <v>431</v>
      </c>
      <c r="J46" s="351" t="s">
        <v>432</v>
      </c>
      <c r="K46" s="351" t="s">
        <v>138</v>
      </c>
      <c r="L46" s="351" t="s">
        <v>433</v>
      </c>
    </row>
    <row r="47" spans="1:12" ht="50" thickBot="1">
      <c r="A47" s="352" t="s">
        <v>434</v>
      </c>
      <c r="B47" s="352" t="s">
        <v>435</v>
      </c>
      <c r="C47" s="352" t="s">
        <v>436</v>
      </c>
      <c r="D47" s="352" t="s">
        <v>437</v>
      </c>
      <c r="E47" s="352" t="s">
        <v>438</v>
      </c>
      <c r="F47" s="352" t="s">
        <v>438</v>
      </c>
      <c r="G47" s="352" t="s">
        <v>439</v>
      </c>
      <c r="H47" s="352" t="s">
        <v>439</v>
      </c>
      <c r="I47" s="352" t="s">
        <v>440</v>
      </c>
      <c r="J47" s="352" t="s">
        <v>441</v>
      </c>
      <c r="K47" s="352" t="s">
        <v>438</v>
      </c>
      <c r="L47" s="352" t="s">
        <v>442</v>
      </c>
    </row>
    <row r="48" spans="1:12" ht="23">
      <c r="A48" s="349" t="s">
        <v>443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E690A-013D-4F1E-858B-246A50943B35}">
  <dimension ref="A1:U59"/>
  <sheetViews>
    <sheetView topLeftCell="A39" workbookViewId="0">
      <selection activeCell="B51" sqref="B51"/>
    </sheetView>
  </sheetViews>
  <sheetFormatPr defaultRowHeight="14.5"/>
  <cols>
    <col min="1" max="1" width="10.453125" style="242" bestFit="1" customWidth="1"/>
    <col min="2" max="2" width="11.7265625" style="242" bestFit="1" customWidth="1"/>
    <col min="3" max="3" width="10.453125" style="242" bestFit="1" customWidth="1"/>
    <col min="4" max="4" width="8.7265625" style="242"/>
    <col min="5" max="5" width="9" style="242" bestFit="1" customWidth="1"/>
    <col min="6" max="12" width="8.7265625" style="242"/>
    <col min="13" max="16384" width="8.7265625" style="15"/>
  </cols>
  <sheetData>
    <row r="1" spans="1:21">
      <c r="A1" s="239"/>
      <c r="B1" s="240"/>
      <c r="C1" s="240"/>
      <c r="D1" s="400" t="s">
        <v>318</v>
      </c>
      <c r="E1" s="401"/>
      <c r="F1" s="401"/>
      <c r="G1" s="402"/>
      <c r="H1" s="400" t="s">
        <v>320</v>
      </c>
      <c r="I1" s="401"/>
      <c r="J1" s="401"/>
      <c r="K1" s="402"/>
      <c r="L1" s="149"/>
      <c r="M1" s="17"/>
      <c r="N1" s="17"/>
      <c r="O1" s="17"/>
      <c r="P1" s="17"/>
    </row>
    <row r="2" spans="1:21" ht="20.5" thickBot="1">
      <c r="A2" s="170" t="s">
        <v>332</v>
      </c>
      <c r="B2" s="120" t="s">
        <v>62</v>
      </c>
      <c r="C2" s="120" t="s">
        <v>317</v>
      </c>
      <c r="D2" s="170" t="s">
        <v>325</v>
      </c>
      <c r="E2" s="120" t="s">
        <v>326</v>
      </c>
      <c r="F2" s="120" t="s">
        <v>308</v>
      </c>
      <c r="G2" s="171" t="s">
        <v>319</v>
      </c>
      <c r="H2" s="170" t="s">
        <v>321</v>
      </c>
      <c r="I2" s="120" t="s">
        <v>323</v>
      </c>
      <c r="J2" s="120" t="s">
        <v>322</v>
      </c>
      <c r="K2" s="171" t="s">
        <v>324</v>
      </c>
      <c r="L2" s="171" t="s">
        <v>272</v>
      </c>
      <c r="M2" s="17"/>
      <c r="N2" s="17"/>
      <c r="O2" s="17"/>
      <c r="P2" s="17"/>
      <c r="Q2" s="17" t="s">
        <v>148</v>
      </c>
      <c r="R2" s="17" t="s">
        <v>155</v>
      </c>
      <c r="S2" s="17" t="s">
        <v>149</v>
      </c>
      <c r="T2" s="17" t="s">
        <v>273</v>
      </c>
      <c r="U2" s="17" t="s">
        <v>274</v>
      </c>
    </row>
    <row r="3" spans="1:21" ht="20">
      <c r="A3" s="250" t="s">
        <v>9</v>
      </c>
      <c r="B3" s="251" t="s">
        <v>14</v>
      </c>
      <c r="C3" s="251">
        <v>1340</v>
      </c>
      <c r="D3" s="147"/>
      <c r="E3" s="148"/>
      <c r="F3" s="251">
        <v>570</v>
      </c>
      <c r="G3" s="255">
        <v>500</v>
      </c>
      <c r="H3" s="263">
        <f>43.25/12</f>
        <v>3.6041666666666665</v>
      </c>
      <c r="I3" s="252">
        <f>51.5/12</f>
        <v>4.291666666666667</v>
      </c>
      <c r="J3" s="253"/>
      <c r="K3" s="264">
        <v>715</v>
      </c>
      <c r="L3" s="229" t="s">
        <v>329</v>
      </c>
      <c r="M3" s="227"/>
      <c r="N3" s="227"/>
      <c r="O3" s="227"/>
      <c r="P3" s="227"/>
      <c r="Q3" s="17"/>
      <c r="R3" s="17">
        <v>2</v>
      </c>
      <c r="S3" s="48"/>
      <c r="T3" s="48" t="s">
        <v>275</v>
      </c>
      <c r="U3" s="48" t="s">
        <v>279</v>
      </c>
    </row>
    <row r="4" spans="1:21" ht="20">
      <c r="A4" s="254" t="s">
        <v>73</v>
      </c>
      <c r="B4" s="17" t="s">
        <v>10</v>
      </c>
      <c r="C4" s="17">
        <v>1570</v>
      </c>
      <c r="D4" s="150"/>
      <c r="E4" s="17"/>
      <c r="F4" s="17"/>
      <c r="G4" s="256">
        <v>700</v>
      </c>
      <c r="H4" s="150"/>
      <c r="I4" s="17"/>
      <c r="J4" s="17"/>
      <c r="K4" s="256">
        <v>1040.76</v>
      </c>
      <c r="L4" s="235" t="s">
        <v>331</v>
      </c>
      <c r="M4" s="17"/>
      <c r="N4" s="17"/>
      <c r="O4" s="17"/>
      <c r="P4" s="17"/>
      <c r="Q4" s="17"/>
      <c r="R4" s="17">
        <v>3</v>
      </c>
      <c r="S4" s="17"/>
      <c r="T4" s="17"/>
      <c r="U4" s="17" t="s">
        <v>280</v>
      </c>
    </row>
    <row r="5" spans="1:21">
      <c r="A5" s="254" t="s">
        <v>75</v>
      </c>
      <c r="B5" s="213" t="s">
        <v>20</v>
      </c>
      <c r="C5" s="213">
        <v>1830</v>
      </c>
      <c r="D5" s="150"/>
      <c r="E5" s="17"/>
      <c r="F5" s="213">
        <v>850</v>
      </c>
      <c r="G5" s="215">
        <v>950</v>
      </c>
      <c r="H5" s="265">
        <f>55.66/12</f>
        <v>4.6383333333333328</v>
      </c>
      <c r="I5" s="213">
        <f>48/12</f>
        <v>4</v>
      </c>
      <c r="J5" s="17"/>
      <c r="K5" s="215">
        <v>1292</v>
      </c>
      <c r="L5" s="230" t="s">
        <v>329</v>
      </c>
      <c r="M5" s="17"/>
      <c r="N5" s="17"/>
      <c r="O5" s="17"/>
      <c r="P5" s="17"/>
      <c r="Q5" s="17"/>
      <c r="R5" s="17">
        <v>3</v>
      </c>
      <c r="S5" s="17"/>
      <c r="T5" s="17"/>
      <c r="U5" s="17"/>
    </row>
    <row r="6" spans="1:21" ht="20">
      <c r="A6" s="254" t="s">
        <v>77</v>
      </c>
      <c r="B6" s="213" t="s">
        <v>23</v>
      </c>
      <c r="C6" s="213">
        <v>1830</v>
      </c>
      <c r="D6" s="150"/>
      <c r="E6" s="17"/>
      <c r="F6" s="213">
        <v>900</v>
      </c>
      <c r="G6" s="215">
        <v>1050</v>
      </c>
      <c r="H6" s="217">
        <f>59.25/12</f>
        <v>4.9375</v>
      </c>
      <c r="I6" s="213">
        <f>48.06/12</f>
        <v>4.0049999999999999</v>
      </c>
      <c r="J6" s="17"/>
      <c r="K6" s="215">
        <v>1292</v>
      </c>
      <c r="L6" s="230" t="s">
        <v>329</v>
      </c>
      <c r="M6" s="17"/>
      <c r="N6" s="17"/>
      <c r="O6" s="17"/>
      <c r="P6" s="17"/>
      <c r="Q6" s="17"/>
      <c r="R6" s="17">
        <v>3</v>
      </c>
      <c r="S6" s="17"/>
      <c r="T6" s="17"/>
      <c r="U6" s="17" t="s">
        <v>278</v>
      </c>
    </row>
    <row r="7" spans="1:21" ht="20">
      <c r="A7" s="246" t="s">
        <v>309</v>
      </c>
      <c r="B7" s="17" t="s">
        <v>286</v>
      </c>
      <c r="C7" s="17">
        <v>1820</v>
      </c>
      <c r="D7" s="246"/>
      <c r="E7" s="241"/>
      <c r="F7" s="241"/>
      <c r="G7" s="116">
        <v>1100</v>
      </c>
      <c r="H7" s="150"/>
      <c r="I7" s="17"/>
      <c r="J7" s="17"/>
      <c r="K7" s="116"/>
      <c r="L7" s="230"/>
      <c r="M7" s="17"/>
      <c r="N7" s="17"/>
      <c r="O7" s="17"/>
      <c r="P7" s="17"/>
      <c r="Q7" s="17"/>
      <c r="R7" s="17">
        <v>3</v>
      </c>
      <c r="S7" s="17">
        <v>10.5</v>
      </c>
      <c r="T7" s="17" t="s">
        <v>282</v>
      </c>
      <c r="U7" s="17" t="s">
        <v>278</v>
      </c>
    </row>
    <row r="8" spans="1:21" ht="20">
      <c r="A8" s="246" t="s">
        <v>310</v>
      </c>
      <c r="B8" s="213" t="s">
        <v>287</v>
      </c>
      <c r="C8" s="213">
        <v>1830</v>
      </c>
      <c r="D8" s="216">
        <v>1100</v>
      </c>
      <c r="E8" s="17"/>
      <c r="F8" s="213">
        <v>950</v>
      </c>
      <c r="G8" s="215">
        <v>1100</v>
      </c>
      <c r="H8" s="217">
        <f>61.5/12</f>
        <v>5.125</v>
      </c>
      <c r="I8" s="214">
        <f>48.13/12</f>
        <v>4.0108333333333333</v>
      </c>
      <c r="J8" s="241"/>
      <c r="K8" s="266">
        <v>1463</v>
      </c>
      <c r="L8" s="230" t="s">
        <v>329</v>
      </c>
      <c r="M8" s="187"/>
      <c r="N8" s="187"/>
      <c r="O8" s="187"/>
      <c r="P8" s="187"/>
      <c r="Q8" s="17"/>
      <c r="R8" s="17">
        <v>3</v>
      </c>
      <c r="S8" s="17">
        <f>10+1.5/12</f>
        <v>10.125</v>
      </c>
      <c r="T8" s="17" t="s">
        <v>282</v>
      </c>
      <c r="U8" s="17" t="s">
        <v>278</v>
      </c>
    </row>
    <row r="9" spans="1:21" ht="20">
      <c r="A9" s="254" t="s">
        <v>78</v>
      </c>
      <c r="B9" s="213" t="s">
        <v>11</v>
      </c>
      <c r="C9" s="213">
        <v>1710</v>
      </c>
      <c r="D9" s="216">
        <v>1150</v>
      </c>
      <c r="E9" s="213">
        <v>1490</v>
      </c>
      <c r="F9" s="17"/>
      <c r="G9" s="215">
        <v>1150</v>
      </c>
      <c r="H9" s="150"/>
      <c r="I9" s="17"/>
      <c r="J9" s="17"/>
      <c r="K9" s="215">
        <v>1310</v>
      </c>
      <c r="L9" s="230" t="s">
        <v>329</v>
      </c>
      <c r="M9" s="17"/>
      <c r="N9" s="17"/>
      <c r="O9" s="17"/>
      <c r="P9" s="17"/>
      <c r="Q9" s="17"/>
      <c r="R9" s="17">
        <v>3</v>
      </c>
      <c r="S9" s="17">
        <v>11</v>
      </c>
      <c r="T9" s="17" t="s">
        <v>282</v>
      </c>
      <c r="U9" s="17" t="s">
        <v>278</v>
      </c>
    </row>
    <row r="10" spans="1:21">
      <c r="A10" s="254" t="s">
        <v>122</v>
      </c>
      <c r="B10" s="17" t="s">
        <v>285</v>
      </c>
      <c r="C10" s="17">
        <v>1650</v>
      </c>
      <c r="D10" s="150"/>
      <c r="E10" s="17"/>
      <c r="F10" s="17"/>
      <c r="G10" s="116">
        <v>1390</v>
      </c>
      <c r="H10" s="150"/>
      <c r="I10" s="17"/>
      <c r="J10" s="17"/>
      <c r="K10" s="116"/>
      <c r="L10" s="230"/>
      <c r="M10" s="17"/>
      <c r="N10" s="17"/>
      <c r="O10" s="17"/>
      <c r="P10" s="17"/>
      <c r="Q10" s="17"/>
      <c r="R10" s="17">
        <v>3</v>
      </c>
      <c r="S10" s="17">
        <v>11</v>
      </c>
      <c r="T10" s="17"/>
      <c r="U10" s="17"/>
    </row>
    <row r="11" spans="1:21">
      <c r="A11" s="246" t="s">
        <v>123</v>
      </c>
      <c r="B11" s="213" t="s">
        <v>294</v>
      </c>
      <c r="C11" s="213">
        <v>1710</v>
      </c>
      <c r="D11" s="216">
        <v>1150</v>
      </c>
      <c r="E11" s="213">
        <v>1580</v>
      </c>
      <c r="F11" s="17"/>
      <c r="G11" s="215">
        <v>1325</v>
      </c>
      <c r="H11" s="150"/>
      <c r="I11" s="17"/>
      <c r="J11" s="17"/>
      <c r="K11" s="215">
        <v>1345</v>
      </c>
      <c r="L11" s="230" t="s">
        <v>329</v>
      </c>
      <c r="M11" s="17"/>
      <c r="N11" s="17"/>
      <c r="O11" s="17"/>
      <c r="P11" s="17"/>
      <c r="Q11" s="17"/>
      <c r="R11" s="17">
        <v>3</v>
      </c>
      <c r="S11" s="17">
        <v>11</v>
      </c>
      <c r="T11" s="17"/>
      <c r="U11" s="17"/>
    </row>
    <row r="12" spans="1:21">
      <c r="A12" s="246" t="s">
        <v>124</v>
      </c>
      <c r="B12" s="17" t="s">
        <v>285</v>
      </c>
      <c r="C12" s="17">
        <v>1650</v>
      </c>
      <c r="D12" s="150"/>
      <c r="E12" s="17"/>
      <c r="F12" s="17"/>
      <c r="G12" s="116">
        <v>1300</v>
      </c>
      <c r="H12" s="150"/>
      <c r="I12" s="17"/>
      <c r="J12" s="17"/>
      <c r="K12" s="116"/>
      <c r="L12" s="230"/>
      <c r="M12" s="17"/>
      <c r="N12" s="17"/>
      <c r="O12" s="17"/>
      <c r="P12" s="17"/>
      <c r="Q12" s="17"/>
      <c r="R12" s="17">
        <v>3</v>
      </c>
      <c r="S12" s="17">
        <v>11</v>
      </c>
      <c r="T12" s="17"/>
      <c r="U12" s="17"/>
    </row>
    <row r="13" spans="1:21">
      <c r="A13" s="246" t="s">
        <v>125</v>
      </c>
      <c r="B13" s="17" t="s">
        <v>295</v>
      </c>
      <c r="C13" s="17">
        <v>1710</v>
      </c>
      <c r="D13" s="150"/>
      <c r="E13" s="17"/>
      <c r="F13" s="17"/>
      <c r="G13" s="116">
        <v>1360</v>
      </c>
      <c r="H13" s="246"/>
      <c r="I13" s="241"/>
      <c r="J13" s="17"/>
      <c r="K13" s="116"/>
      <c r="L13" s="230"/>
      <c r="M13" s="17"/>
      <c r="N13" s="17"/>
      <c r="O13" s="17"/>
      <c r="P13" s="17"/>
      <c r="Q13" s="17"/>
      <c r="R13" s="17">
        <v>3</v>
      </c>
      <c r="S13" s="17">
        <v>11</v>
      </c>
      <c r="T13" s="17"/>
      <c r="U13" s="17"/>
    </row>
    <row r="14" spans="1:21">
      <c r="A14" s="254" t="s">
        <v>82</v>
      </c>
      <c r="B14" s="213" t="s">
        <v>29</v>
      </c>
      <c r="C14" s="213">
        <v>2800</v>
      </c>
      <c r="D14" s="216">
        <v>2000</v>
      </c>
      <c r="E14" s="17"/>
      <c r="F14" s="213">
        <v>1625</v>
      </c>
      <c r="G14" s="215">
        <v>2000</v>
      </c>
      <c r="H14" s="216">
        <f>75.72/12</f>
        <v>6.31</v>
      </c>
      <c r="I14" s="213">
        <f>52.5/12</f>
        <v>4.375</v>
      </c>
      <c r="J14" s="17"/>
      <c r="K14" s="215">
        <v>2265</v>
      </c>
      <c r="L14" s="230" t="s">
        <v>329</v>
      </c>
      <c r="M14" s="17"/>
      <c r="N14" s="17"/>
      <c r="O14" s="17"/>
      <c r="P14" s="17"/>
      <c r="Q14" s="17"/>
      <c r="R14" s="17">
        <v>4</v>
      </c>
      <c r="S14" s="17">
        <v>13</v>
      </c>
      <c r="T14" s="17"/>
      <c r="U14" s="17"/>
    </row>
    <row r="15" spans="1:21">
      <c r="A15" s="254" t="s">
        <v>127</v>
      </c>
      <c r="B15" s="17"/>
      <c r="C15" s="17">
        <v>2800</v>
      </c>
      <c r="D15" s="150"/>
      <c r="E15" s="17"/>
      <c r="F15" s="17"/>
      <c r="G15" s="116"/>
      <c r="H15" s="150"/>
      <c r="I15" s="17"/>
      <c r="J15" s="17"/>
      <c r="K15" s="116"/>
      <c r="L15" s="230"/>
      <c r="M15" s="17"/>
      <c r="N15" s="17"/>
      <c r="O15" s="17"/>
      <c r="P15" s="17"/>
      <c r="Q15" s="17"/>
      <c r="R15" s="17">
        <v>4</v>
      </c>
      <c r="S15" s="17">
        <v>13</v>
      </c>
      <c r="T15" s="17"/>
      <c r="U15" s="17"/>
    </row>
    <row r="16" spans="1:21">
      <c r="A16" s="254" t="s">
        <v>128</v>
      </c>
      <c r="B16" s="213" t="s">
        <v>299</v>
      </c>
      <c r="C16" s="213">
        <v>2800</v>
      </c>
      <c r="D16" s="216">
        <v>2000</v>
      </c>
      <c r="E16" s="17"/>
      <c r="F16" s="213">
        <v>1625</v>
      </c>
      <c r="G16" s="215">
        <v>2000</v>
      </c>
      <c r="H16" s="216">
        <f>75.72/12</f>
        <v>6.31</v>
      </c>
      <c r="I16" s="213">
        <f>52.5/12</f>
        <v>4.375</v>
      </c>
      <c r="J16" s="17"/>
      <c r="K16" s="215">
        <v>2290</v>
      </c>
      <c r="L16" s="230" t="s">
        <v>329</v>
      </c>
      <c r="M16" s="17"/>
      <c r="N16" s="17"/>
      <c r="O16" s="17"/>
      <c r="P16" s="17"/>
      <c r="Q16" s="17"/>
      <c r="R16" s="17">
        <v>4</v>
      </c>
      <c r="S16" s="17">
        <v>13</v>
      </c>
      <c r="T16" s="17"/>
      <c r="U16" s="17"/>
    </row>
    <row r="17" spans="1:21">
      <c r="A17" s="246" t="s">
        <v>83</v>
      </c>
      <c r="B17" s="17" t="s">
        <v>31</v>
      </c>
      <c r="C17" s="17">
        <v>1650</v>
      </c>
      <c r="D17" s="150"/>
      <c r="E17" s="17"/>
      <c r="F17" s="17"/>
      <c r="G17" s="116">
        <v>1490</v>
      </c>
      <c r="H17" s="150"/>
      <c r="I17" s="17"/>
      <c r="J17" s="17"/>
      <c r="K17" s="116"/>
      <c r="L17" s="230"/>
      <c r="M17" s="17"/>
      <c r="N17" s="17"/>
      <c r="O17" s="17"/>
      <c r="P17" s="17"/>
      <c r="Q17" s="17"/>
      <c r="R17" s="17">
        <v>4</v>
      </c>
      <c r="S17" s="48">
        <f>11+2/12</f>
        <v>11.166666666666666</v>
      </c>
      <c r="T17" s="17"/>
      <c r="U17" s="17"/>
    </row>
    <row r="18" spans="1:21">
      <c r="A18" s="246" t="s">
        <v>129</v>
      </c>
      <c r="B18" s="17" t="s">
        <v>300</v>
      </c>
      <c r="C18" s="17">
        <v>1650</v>
      </c>
      <c r="D18" s="150"/>
      <c r="E18" s="17"/>
      <c r="F18" s="17"/>
      <c r="G18" s="116"/>
      <c r="H18" s="150"/>
      <c r="I18" s="17"/>
      <c r="J18" s="17"/>
      <c r="K18" s="116"/>
      <c r="L18" s="230"/>
      <c r="M18" s="17"/>
      <c r="N18" s="17"/>
      <c r="O18" s="17"/>
      <c r="P18" s="17"/>
      <c r="Q18" s="17"/>
      <c r="R18" s="17">
        <v>4</v>
      </c>
      <c r="S18" s="48">
        <f>11+2/12</f>
        <v>11.166666666666666</v>
      </c>
      <c r="T18" s="17"/>
      <c r="U18" s="17"/>
    </row>
    <row r="19" spans="1:21">
      <c r="A19" s="254" t="s">
        <v>79</v>
      </c>
      <c r="B19" s="213" t="s">
        <v>27</v>
      </c>
      <c r="C19" s="213">
        <v>1710</v>
      </c>
      <c r="D19" s="216">
        <v>1150</v>
      </c>
      <c r="E19" s="213">
        <v>1490</v>
      </c>
      <c r="F19" s="17"/>
      <c r="G19" s="215">
        <v>1150</v>
      </c>
      <c r="H19" s="267"/>
      <c r="J19" s="17"/>
      <c r="K19" s="215">
        <v>1375</v>
      </c>
      <c r="L19" s="230" t="s">
        <v>329</v>
      </c>
      <c r="M19" s="17"/>
      <c r="N19" s="17"/>
      <c r="O19" s="17"/>
      <c r="P19" s="17"/>
      <c r="Q19" s="17"/>
      <c r="R19" s="17">
        <v>3</v>
      </c>
      <c r="S19" s="17">
        <v>10.375</v>
      </c>
      <c r="T19" s="17"/>
      <c r="U19" s="17"/>
    </row>
    <row r="20" spans="1:21">
      <c r="A20" s="254" t="s">
        <v>79</v>
      </c>
      <c r="B20" s="213" t="s">
        <v>27</v>
      </c>
      <c r="C20" s="213">
        <v>1710</v>
      </c>
      <c r="D20" s="216">
        <v>1150</v>
      </c>
      <c r="E20" s="213">
        <v>1490</v>
      </c>
      <c r="F20" s="17"/>
      <c r="G20" s="215">
        <v>1150</v>
      </c>
      <c r="H20" s="267"/>
      <c r="J20" s="17"/>
      <c r="K20" s="215">
        <v>1375</v>
      </c>
      <c r="L20" s="230" t="s">
        <v>329</v>
      </c>
      <c r="M20" s="17"/>
      <c r="N20" s="17"/>
      <c r="O20" s="17"/>
      <c r="P20" s="17"/>
      <c r="Q20" s="17"/>
      <c r="R20" s="17">
        <v>3</v>
      </c>
      <c r="S20" s="17">
        <v>10.375</v>
      </c>
      <c r="T20" s="17"/>
      <c r="U20" s="17"/>
    </row>
    <row r="21" spans="1:21">
      <c r="A21" s="254" t="s">
        <v>119</v>
      </c>
      <c r="B21" s="213" t="s">
        <v>297</v>
      </c>
      <c r="C21" s="213">
        <v>1710</v>
      </c>
      <c r="D21" s="216">
        <v>1150</v>
      </c>
      <c r="E21" s="213">
        <v>1580</v>
      </c>
      <c r="F21" s="17"/>
      <c r="G21" s="215">
        <v>1325</v>
      </c>
      <c r="H21" s="267"/>
      <c r="J21" s="17"/>
      <c r="K21" s="215">
        <v>1435</v>
      </c>
      <c r="L21" s="230" t="s">
        <v>329</v>
      </c>
      <c r="M21" s="17"/>
      <c r="N21" s="17"/>
      <c r="O21" s="17"/>
      <c r="P21" s="17"/>
      <c r="Q21" s="17"/>
      <c r="R21" s="17">
        <v>3</v>
      </c>
      <c r="S21" s="17">
        <v>10.375</v>
      </c>
      <c r="T21" s="17"/>
      <c r="U21" s="17"/>
    </row>
    <row r="22" spans="1:21">
      <c r="A22" s="246" t="s">
        <v>121</v>
      </c>
      <c r="B22" s="213" t="s">
        <v>327</v>
      </c>
      <c r="C22" s="213">
        <v>1710</v>
      </c>
      <c r="D22" s="216">
        <v>1125</v>
      </c>
      <c r="E22" s="213">
        <v>1410</v>
      </c>
      <c r="F22" s="17"/>
      <c r="G22" s="215">
        <v>1200</v>
      </c>
      <c r="H22" s="267"/>
      <c r="J22" s="17"/>
      <c r="K22" s="215">
        <v>1452</v>
      </c>
      <c r="L22" s="230" t="s">
        <v>329</v>
      </c>
      <c r="M22" s="17"/>
      <c r="N22" s="17"/>
      <c r="O22" s="17"/>
      <c r="P22" s="17"/>
      <c r="Q22" s="17"/>
      <c r="R22" s="17">
        <v>3</v>
      </c>
      <c r="S22" s="17">
        <v>10.375</v>
      </c>
      <c r="T22" s="17"/>
      <c r="U22" s="17"/>
    </row>
    <row r="23" spans="1:21">
      <c r="A23" s="246" t="s">
        <v>120</v>
      </c>
      <c r="B23" s="213" t="s">
        <v>298</v>
      </c>
      <c r="C23" s="213">
        <v>1710</v>
      </c>
      <c r="D23" s="216">
        <v>1150</v>
      </c>
      <c r="E23" s="213">
        <v>1490</v>
      </c>
      <c r="F23" s="17"/>
      <c r="G23" s="215">
        <v>1150</v>
      </c>
      <c r="H23" s="267"/>
      <c r="J23" s="17"/>
      <c r="K23" s="215">
        <v>1375</v>
      </c>
      <c r="L23" s="230" t="s">
        <v>329</v>
      </c>
      <c r="M23" s="17"/>
      <c r="N23" s="17"/>
      <c r="O23" s="17"/>
      <c r="P23" s="17"/>
      <c r="Q23" s="17"/>
      <c r="R23" s="17">
        <v>3</v>
      </c>
      <c r="S23" s="17">
        <v>10.375</v>
      </c>
      <c r="T23" s="17"/>
      <c r="U23" s="17"/>
    </row>
    <row r="24" spans="1:21">
      <c r="A24" s="254" t="s">
        <v>130</v>
      </c>
      <c r="B24" s="213" t="s">
        <v>301</v>
      </c>
      <c r="C24" s="213">
        <v>1710</v>
      </c>
      <c r="D24" s="216">
        <v>1150</v>
      </c>
      <c r="E24" s="213">
        <v>1825</v>
      </c>
      <c r="F24" s="17"/>
      <c r="G24" s="215">
        <v>1325</v>
      </c>
      <c r="H24" s="267"/>
      <c r="J24" s="17"/>
      <c r="K24" s="215">
        <v>1613</v>
      </c>
      <c r="L24" s="230" t="s">
        <v>329</v>
      </c>
      <c r="M24" s="17"/>
      <c r="N24" s="17"/>
      <c r="O24" s="17"/>
      <c r="P24" s="17"/>
      <c r="Q24" s="17"/>
      <c r="R24" s="17">
        <v>4</v>
      </c>
      <c r="S24" s="17">
        <v>11</v>
      </c>
      <c r="T24" s="17"/>
      <c r="U24" s="17"/>
    </row>
    <row r="25" spans="1:21">
      <c r="A25" s="254" t="s">
        <v>131</v>
      </c>
      <c r="B25" s="213" t="s">
        <v>301</v>
      </c>
      <c r="C25" s="213">
        <v>1710</v>
      </c>
      <c r="D25" s="216">
        <v>1150</v>
      </c>
      <c r="E25" s="213">
        <v>1825</v>
      </c>
      <c r="F25" s="17"/>
      <c r="G25" s="215">
        <v>1325</v>
      </c>
      <c r="H25" s="150"/>
      <c r="I25" s="17"/>
      <c r="J25" s="17"/>
      <c r="K25" s="215">
        <v>1613</v>
      </c>
      <c r="L25" s="230" t="s">
        <v>329</v>
      </c>
      <c r="M25" s="17"/>
      <c r="N25" s="17"/>
      <c r="O25" s="17"/>
      <c r="P25" s="17"/>
      <c r="Q25" s="17"/>
      <c r="R25" s="17">
        <v>4</v>
      </c>
      <c r="S25" s="17">
        <v>11</v>
      </c>
      <c r="T25" s="17"/>
      <c r="U25" s="17"/>
    </row>
    <row r="26" spans="1:21" ht="15" thickBot="1">
      <c r="A26" s="247" t="s">
        <v>132</v>
      </c>
      <c r="B26" s="233" t="s">
        <v>303</v>
      </c>
      <c r="C26" s="233">
        <v>1710</v>
      </c>
      <c r="D26" s="257">
        <v>1100</v>
      </c>
      <c r="E26" s="233">
        <v>1800</v>
      </c>
      <c r="F26" s="120"/>
      <c r="G26" s="231">
        <v>1325</v>
      </c>
      <c r="H26" s="170"/>
      <c r="I26" s="120"/>
      <c r="J26" s="120"/>
      <c r="K26" s="231">
        <v>1660</v>
      </c>
      <c r="L26" s="234" t="s">
        <v>329</v>
      </c>
      <c r="M26" s="17"/>
      <c r="N26" s="17"/>
      <c r="O26" s="17"/>
      <c r="P26" s="17"/>
      <c r="Q26" s="17"/>
      <c r="R26" s="17">
        <v>4</v>
      </c>
      <c r="S26" s="17">
        <v>11</v>
      </c>
      <c r="T26" s="17"/>
      <c r="U26" s="17"/>
    </row>
    <row r="27" spans="1:21">
      <c r="A27" s="243" t="s">
        <v>133</v>
      </c>
      <c r="B27" s="148" t="s">
        <v>304</v>
      </c>
      <c r="C27" s="148">
        <v>1820</v>
      </c>
      <c r="D27" s="147"/>
      <c r="E27" s="148"/>
      <c r="F27" s="148"/>
      <c r="G27" s="149"/>
      <c r="H27" s="147"/>
      <c r="I27" s="148"/>
      <c r="J27" s="148"/>
      <c r="K27" s="149"/>
      <c r="L27" s="229"/>
      <c r="M27" s="17"/>
      <c r="N27" s="17"/>
      <c r="O27" s="17"/>
      <c r="P27" s="17"/>
      <c r="Q27" s="17"/>
      <c r="R27" s="17">
        <v>3</v>
      </c>
      <c r="S27" s="17"/>
      <c r="T27" s="17"/>
      <c r="U27" s="17"/>
    </row>
    <row r="28" spans="1:21">
      <c r="A28" s="246" t="s">
        <v>134</v>
      </c>
      <c r="B28" s="17" t="s">
        <v>305</v>
      </c>
      <c r="C28" s="17">
        <v>1820</v>
      </c>
      <c r="D28" s="150"/>
      <c r="E28" s="17"/>
      <c r="F28" s="17"/>
      <c r="G28" s="116"/>
      <c r="H28" s="150"/>
      <c r="I28" s="17"/>
      <c r="J28" s="17"/>
      <c r="K28" s="116"/>
      <c r="L28" s="230"/>
      <c r="M28" s="17"/>
      <c r="N28" s="17"/>
      <c r="O28" s="17"/>
      <c r="P28" s="17"/>
      <c r="Q28" s="17"/>
      <c r="R28" s="17">
        <v>3</v>
      </c>
      <c r="S28" s="17"/>
      <c r="T28" s="17"/>
      <c r="U28" s="17"/>
    </row>
    <row r="29" spans="1:21">
      <c r="A29" s="246" t="s">
        <v>135</v>
      </c>
      <c r="B29" s="17" t="s">
        <v>305</v>
      </c>
      <c r="C29" s="17">
        <v>1820</v>
      </c>
      <c r="D29" s="150"/>
      <c r="E29" s="17"/>
      <c r="F29" s="17"/>
      <c r="G29" s="116"/>
      <c r="H29" s="150"/>
      <c r="I29" s="17"/>
      <c r="J29" s="17"/>
      <c r="K29" s="116"/>
      <c r="L29" s="230"/>
      <c r="M29" s="17"/>
      <c r="N29" s="17"/>
      <c r="O29" s="17"/>
      <c r="P29" s="17"/>
      <c r="Q29" s="17"/>
      <c r="R29" s="17">
        <v>3</v>
      </c>
      <c r="S29" s="17"/>
      <c r="T29" s="17"/>
      <c r="U29" s="17"/>
    </row>
    <row r="30" spans="1:21">
      <c r="A30" s="246" t="s">
        <v>136</v>
      </c>
      <c r="B30" s="17" t="s">
        <v>169</v>
      </c>
      <c r="C30" s="220">
        <v>1820</v>
      </c>
      <c r="D30" s="150"/>
      <c r="E30" s="17"/>
      <c r="F30" s="220">
        <v>1000</v>
      </c>
      <c r="G30" s="258">
        <v>1200</v>
      </c>
      <c r="H30" s="223">
        <f>48.4/12</f>
        <v>4.0333333333333332</v>
      </c>
      <c r="I30" s="221">
        <f>55.12/12</f>
        <v>4.5933333333333328</v>
      </c>
      <c r="J30" s="17"/>
      <c r="K30" s="258">
        <v>1315</v>
      </c>
      <c r="L30" s="230" t="s">
        <v>330</v>
      </c>
      <c r="M30" s="17"/>
      <c r="N30" s="17"/>
      <c r="O30" s="17"/>
      <c r="P30" s="17"/>
      <c r="Q30" s="17"/>
      <c r="R30" s="17">
        <v>3</v>
      </c>
      <c r="S30" s="17"/>
      <c r="T30" s="17"/>
      <c r="U30" s="17"/>
    </row>
    <row r="31" spans="1:21">
      <c r="A31" s="246" t="s">
        <v>137</v>
      </c>
      <c r="B31" s="17" t="s">
        <v>169</v>
      </c>
      <c r="C31" s="220">
        <v>1820</v>
      </c>
      <c r="D31" s="150"/>
      <c r="E31" s="17"/>
      <c r="F31" s="220">
        <v>1000</v>
      </c>
      <c r="G31" s="258">
        <v>1200</v>
      </c>
      <c r="H31" s="223">
        <f>48.4/12</f>
        <v>4.0333333333333332</v>
      </c>
      <c r="I31" s="221">
        <f>55.12/12</f>
        <v>4.5933333333333328</v>
      </c>
      <c r="J31" s="17"/>
      <c r="K31" s="258">
        <v>1315</v>
      </c>
      <c r="L31" s="230" t="s">
        <v>330</v>
      </c>
      <c r="M31" s="17"/>
      <c r="N31" s="17"/>
      <c r="O31" s="17"/>
      <c r="P31" s="17"/>
      <c r="Q31" s="17"/>
      <c r="R31" s="17">
        <v>3</v>
      </c>
      <c r="S31" s="17"/>
      <c r="T31" s="17"/>
      <c r="U31" s="17"/>
    </row>
    <row r="32" spans="1:21">
      <c r="A32" s="246" t="s">
        <v>138</v>
      </c>
      <c r="B32" s="17" t="s">
        <v>169</v>
      </c>
      <c r="C32" s="220">
        <v>1820</v>
      </c>
      <c r="D32" s="150"/>
      <c r="E32" s="17"/>
      <c r="F32" s="220">
        <v>1000</v>
      </c>
      <c r="G32" s="258">
        <v>1200</v>
      </c>
      <c r="H32" s="223">
        <f>48.4/12</f>
        <v>4.0333333333333332</v>
      </c>
      <c r="I32" s="221">
        <f>55.12/12</f>
        <v>4.5933333333333328</v>
      </c>
      <c r="J32" s="17"/>
      <c r="K32" s="258">
        <v>1315</v>
      </c>
      <c r="L32" s="230" t="s">
        <v>330</v>
      </c>
      <c r="M32" s="17"/>
      <c r="N32" s="17"/>
      <c r="O32" s="17"/>
      <c r="P32" s="17"/>
      <c r="Q32" s="17"/>
      <c r="R32" s="17">
        <v>3</v>
      </c>
      <c r="S32" s="17"/>
      <c r="T32" s="17"/>
      <c r="U32" s="17"/>
    </row>
    <row r="33" spans="1:21">
      <c r="A33" s="246" t="s">
        <v>139</v>
      </c>
      <c r="B33" s="17" t="s">
        <v>307</v>
      </c>
      <c r="C33" s="17">
        <v>1820</v>
      </c>
      <c r="D33" s="150"/>
      <c r="E33" s="17"/>
      <c r="F33" s="17"/>
      <c r="G33" s="116"/>
      <c r="H33" s="150"/>
      <c r="I33" s="17"/>
      <c r="J33" s="17"/>
      <c r="K33" s="116"/>
      <c r="L33" s="230"/>
      <c r="M33" s="17"/>
      <c r="N33" s="17"/>
      <c r="O33" s="17"/>
      <c r="P33" s="17"/>
      <c r="Q33" s="17"/>
      <c r="R33" s="17">
        <v>3</v>
      </c>
      <c r="S33" s="17"/>
      <c r="T33" s="17"/>
      <c r="U33" s="17"/>
    </row>
    <row r="34" spans="1:21">
      <c r="A34" s="246" t="s">
        <v>140</v>
      </c>
      <c r="B34" s="17" t="s">
        <v>307</v>
      </c>
      <c r="C34" s="17">
        <v>1820</v>
      </c>
      <c r="D34" s="150"/>
      <c r="E34" s="17"/>
      <c r="F34" s="17"/>
      <c r="G34" s="116"/>
      <c r="H34" s="150"/>
      <c r="I34" s="17"/>
      <c r="J34" s="17"/>
      <c r="K34" s="116"/>
      <c r="L34" s="230"/>
      <c r="M34" s="17"/>
      <c r="N34" s="17"/>
      <c r="O34" s="17"/>
      <c r="P34" s="17"/>
      <c r="Q34" s="17"/>
      <c r="R34" s="17">
        <v>3</v>
      </c>
      <c r="S34" s="17"/>
      <c r="T34" s="17"/>
      <c r="U34" s="17"/>
    </row>
    <row r="35" spans="1:21">
      <c r="A35" s="246" t="s">
        <v>141</v>
      </c>
      <c r="B35" s="17" t="s">
        <v>307</v>
      </c>
      <c r="C35" s="17">
        <v>1820</v>
      </c>
      <c r="D35" s="150"/>
      <c r="E35" s="17"/>
      <c r="F35" s="17"/>
      <c r="G35" s="116"/>
      <c r="H35" s="150"/>
      <c r="I35" s="17"/>
      <c r="J35" s="17"/>
      <c r="K35" s="116"/>
      <c r="L35" s="230"/>
      <c r="M35" s="17"/>
      <c r="N35" s="17"/>
      <c r="O35" s="17"/>
      <c r="P35" s="17"/>
      <c r="Q35" s="17"/>
      <c r="R35" s="17">
        <v>3</v>
      </c>
      <c r="S35" s="17"/>
      <c r="T35" s="17"/>
      <c r="U35" s="17"/>
    </row>
    <row r="36" spans="1:21">
      <c r="A36" s="246" t="s">
        <v>142</v>
      </c>
      <c r="B36" s="17" t="s">
        <v>306</v>
      </c>
      <c r="C36" s="17">
        <v>1820</v>
      </c>
      <c r="D36" s="150"/>
      <c r="E36" s="17"/>
      <c r="F36" s="17"/>
      <c r="G36" s="116"/>
      <c r="H36" s="150"/>
      <c r="I36" s="17"/>
      <c r="J36" s="17"/>
      <c r="K36" s="116"/>
      <c r="L36" s="230"/>
      <c r="M36" s="17"/>
      <c r="N36" s="17"/>
      <c r="O36" s="17"/>
      <c r="P36" s="17"/>
      <c r="Q36" s="17"/>
      <c r="R36" s="17">
        <v>3</v>
      </c>
      <c r="S36" s="17">
        <v>9</v>
      </c>
      <c r="T36" s="17"/>
      <c r="U36" s="17"/>
    </row>
    <row r="37" spans="1:21">
      <c r="A37" s="246" t="s">
        <v>143</v>
      </c>
      <c r="B37" s="213" t="s">
        <v>170</v>
      </c>
      <c r="C37" s="213">
        <v>1830</v>
      </c>
      <c r="D37" s="150"/>
      <c r="E37" s="17"/>
      <c r="F37" s="213">
        <v>1100</v>
      </c>
      <c r="G37" s="215">
        <v>1200</v>
      </c>
      <c r="H37" s="216">
        <f>67.44/12</f>
        <v>5.62</v>
      </c>
      <c r="I37" s="214">
        <f>48.19/12</f>
        <v>4.0158333333333331</v>
      </c>
      <c r="J37" s="17"/>
      <c r="K37" s="215">
        <v>1560</v>
      </c>
      <c r="L37" s="230" t="s">
        <v>329</v>
      </c>
      <c r="M37" s="17"/>
      <c r="N37" s="17"/>
      <c r="O37" s="17"/>
      <c r="P37" s="17"/>
      <c r="Q37" s="17"/>
      <c r="R37" s="17">
        <v>3</v>
      </c>
      <c r="S37" s="17">
        <v>9.75</v>
      </c>
      <c r="T37" s="17"/>
      <c r="U37" s="17"/>
    </row>
    <row r="38" spans="1:21">
      <c r="A38" s="246" t="s">
        <v>144</v>
      </c>
      <c r="B38" s="213" t="s">
        <v>170</v>
      </c>
      <c r="C38" s="213">
        <v>1830</v>
      </c>
      <c r="D38" s="150"/>
      <c r="E38" s="17"/>
      <c r="F38" s="213">
        <v>1100</v>
      </c>
      <c r="G38" s="215">
        <v>1200</v>
      </c>
      <c r="H38" s="216">
        <f>67.44/12</f>
        <v>5.62</v>
      </c>
      <c r="I38" s="214">
        <f>48.19/12</f>
        <v>4.0158333333333331</v>
      </c>
      <c r="J38" s="17"/>
      <c r="K38" s="215">
        <v>1560</v>
      </c>
      <c r="L38" s="230" t="s">
        <v>329</v>
      </c>
      <c r="M38" s="17"/>
      <c r="N38" s="17"/>
      <c r="O38" s="17"/>
      <c r="P38" s="17"/>
      <c r="Q38" s="17"/>
      <c r="R38" s="17">
        <v>3</v>
      </c>
      <c r="S38" s="17">
        <v>9.75</v>
      </c>
      <c r="T38" s="17"/>
      <c r="U38" s="17"/>
    </row>
    <row r="39" spans="1:21">
      <c r="A39" s="246" t="s">
        <v>145</v>
      </c>
      <c r="B39" s="17" t="s">
        <v>302</v>
      </c>
      <c r="C39" s="220">
        <v>1820</v>
      </c>
      <c r="D39" s="150"/>
      <c r="E39" s="17"/>
      <c r="F39" s="220">
        <v>1200</v>
      </c>
      <c r="G39" s="258">
        <v>1300</v>
      </c>
      <c r="H39" s="223">
        <f>47.56/12</f>
        <v>3.9633333333333334</v>
      </c>
      <c r="I39" s="221">
        <f>55.12/12</f>
        <v>4.5933333333333328</v>
      </c>
      <c r="J39" s="17"/>
      <c r="K39" s="258">
        <v>1333</v>
      </c>
      <c r="L39" s="230" t="s">
        <v>330</v>
      </c>
      <c r="M39" s="17"/>
      <c r="N39" s="17"/>
      <c r="O39" s="17"/>
      <c r="P39" s="17"/>
      <c r="Q39" s="17"/>
      <c r="R39" s="17">
        <v>3</v>
      </c>
      <c r="S39" s="17">
        <v>10</v>
      </c>
      <c r="T39" s="17"/>
      <c r="U39" s="17"/>
    </row>
    <row r="40" spans="1:21">
      <c r="A40" s="246" t="s">
        <v>160</v>
      </c>
      <c r="B40" s="213" t="s">
        <v>171</v>
      </c>
      <c r="C40" s="213">
        <v>2800</v>
      </c>
      <c r="D40" s="216">
        <v>2100</v>
      </c>
      <c r="E40" s="17"/>
      <c r="F40" s="213">
        <v>1700</v>
      </c>
      <c r="G40" s="215">
        <v>2100</v>
      </c>
      <c r="H40" s="217">
        <f>93.77/12</f>
        <v>7.814166666666666</v>
      </c>
      <c r="I40" s="213">
        <f>52.8/12</f>
        <v>4.3999999999999995</v>
      </c>
      <c r="J40" s="241"/>
      <c r="K40" s="215">
        <v>2560</v>
      </c>
      <c r="L40" s="230" t="s">
        <v>329</v>
      </c>
      <c r="M40" s="17"/>
      <c r="N40" s="17"/>
      <c r="O40" s="17"/>
      <c r="P40" s="17"/>
      <c r="Q40" s="17"/>
      <c r="R40" s="17">
        <v>4</v>
      </c>
      <c r="S40" s="48">
        <f>13+4/12</f>
        <v>13.333333333333334</v>
      </c>
      <c r="T40" s="17"/>
      <c r="U40" s="17"/>
    </row>
    <row r="41" spans="1:21">
      <c r="A41" s="246" t="s">
        <v>146</v>
      </c>
      <c r="B41" s="213" t="s">
        <v>172</v>
      </c>
      <c r="C41" s="213">
        <v>2800</v>
      </c>
      <c r="D41" s="216">
        <v>2000</v>
      </c>
      <c r="E41" s="17"/>
      <c r="F41" s="213">
        <v>1675</v>
      </c>
      <c r="G41" s="215">
        <v>2000</v>
      </c>
      <c r="H41" s="217">
        <f>88.47/12</f>
        <v>7.3724999999999996</v>
      </c>
      <c r="I41" s="213">
        <f>52.5/12</f>
        <v>4.375</v>
      </c>
      <c r="J41" s="241"/>
      <c r="K41" s="215">
        <v>2460</v>
      </c>
      <c r="L41" s="230" t="s">
        <v>329</v>
      </c>
      <c r="M41" s="17"/>
      <c r="N41" s="17"/>
      <c r="O41" s="17"/>
      <c r="P41" s="17"/>
      <c r="Q41" s="17"/>
      <c r="R41" s="17">
        <v>3</v>
      </c>
      <c r="S41" s="48">
        <f>13+1/12</f>
        <v>13.083333333333334</v>
      </c>
      <c r="T41" s="17"/>
      <c r="U41" s="17"/>
    </row>
    <row r="42" spans="1:21">
      <c r="A42" s="246" t="s">
        <v>147</v>
      </c>
      <c r="B42" s="213" t="s">
        <v>172</v>
      </c>
      <c r="C42" s="213">
        <v>2800</v>
      </c>
      <c r="D42" s="216">
        <v>2000</v>
      </c>
      <c r="E42" s="17"/>
      <c r="F42" s="213">
        <v>1675</v>
      </c>
      <c r="G42" s="215">
        <v>2000</v>
      </c>
      <c r="H42" s="217">
        <f>88.47/12</f>
        <v>7.3724999999999996</v>
      </c>
      <c r="I42" s="213">
        <f>52.5/12</f>
        <v>4.375</v>
      </c>
      <c r="J42" s="241"/>
      <c r="K42" s="215">
        <v>2460</v>
      </c>
      <c r="L42" s="230" t="s">
        <v>329</v>
      </c>
      <c r="M42" s="17"/>
      <c r="N42" s="17"/>
      <c r="O42" s="17"/>
      <c r="P42" s="17"/>
      <c r="Q42" s="17"/>
      <c r="R42" s="17">
        <v>3</v>
      </c>
      <c r="S42" s="48">
        <f>13+1/12</f>
        <v>13.083333333333334</v>
      </c>
      <c r="T42" s="17"/>
      <c r="U42" s="17"/>
    </row>
    <row r="43" spans="1:21" ht="15" thickBot="1">
      <c r="A43" s="247" t="s">
        <v>190</v>
      </c>
      <c r="B43" s="233" t="s">
        <v>173</v>
      </c>
      <c r="C43" s="233">
        <v>2800</v>
      </c>
      <c r="D43" s="257">
        <v>2100</v>
      </c>
      <c r="E43" s="120"/>
      <c r="F43" s="233">
        <v>1700</v>
      </c>
      <c r="G43" s="231">
        <v>2100</v>
      </c>
      <c r="H43" s="268">
        <f>78.134/12</f>
        <v>6.511166666666667</v>
      </c>
      <c r="I43" s="233">
        <f>52.8/12</f>
        <v>4.3999999999999995</v>
      </c>
      <c r="J43" s="120"/>
      <c r="K43" s="231">
        <v>2359</v>
      </c>
      <c r="L43" s="234" t="s">
        <v>329</v>
      </c>
      <c r="M43" s="17"/>
      <c r="N43" s="17"/>
      <c r="O43" s="17"/>
      <c r="P43" s="17"/>
      <c r="Q43" s="17"/>
      <c r="R43" s="17">
        <v>4</v>
      </c>
      <c r="S43" s="48">
        <f>12+7/12</f>
        <v>12.583333333333334</v>
      </c>
      <c r="T43" s="17"/>
      <c r="U43" s="17"/>
    </row>
    <row r="44" spans="1:21">
      <c r="A44" s="243" t="s">
        <v>188</v>
      </c>
      <c r="B44" s="237" t="s">
        <v>199</v>
      </c>
      <c r="C44" s="237">
        <v>1535</v>
      </c>
      <c r="D44" s="147"/>
      <c r="E44" s="148"/>
      <c r="F44" s="237">
        <v>750</v>
      </c>
      <c r="G44" s="259">
        <v>825</v>
      </c>
      <c r="H44" s="236">
        <f>53.25/12</f>
        <v>4.4375</v>
      </c>
      <c r="I44" s="238">
        <f>44.13/12</f>
        <v>3.6775000000000002</v>
      </c>
      <c r="J44" s="148"/>
      <c r="K44" s="259">
        <v>1130</v>
      </c>
      <c r="L44" s="229" t="s">
        <v>330</v>
      </c>
      <c r="M44" s="17"/>
      <c r="N44" s="17"/>
      <c r="O44" s="17"/>
      <c r="P44" s="17"/>
      <c r="Q44" s="17"/>
      <c r="R44" s="17">
        <v>3</v>
      </c>
      <c r="S44" s="17">
        <v>9.5</v>
      </c>
      <c r="T44" s="17"/>
      <c r="U44" s="17" t="s">
        <v>291</v>
      </c>
    </row>
    <row r="45" spans="1:21">
      <c r="A45" s="246" t="s">
        <v>203</v>
      </c>
      <c r="B45" s="17" t="s">
        <v>205</v>
      </c>
      <c r="C45" s="220">
        <v>1820</v>
      </c>
      <c r="D45" s="150"/>
      <c r="E45" s="17"/>
      <c r="F45" s="220">
        <v>1200</v>
      </c>
      <c r="G45" s="258">
        <v>1300</v>
      </c>
      <c r="H45" s="223">
        <f>47.56/12</f>
        <v>3.9633333333333334</v>
      </c>
      <c r="I45" s="221">
        <f>55.12/12</f>
        <v>4.5933333333333328</v>
      </c>
      <c r="J45" s="17"/>
      <c r="K45" s="258">
        <v>1333</v>
      </c>
      <c r="L45" s="230" t="s">
        <v>330</v>
      </c>
      <c r="M45" s="17"/>
      <c r="N45" s="17"/>
      <c r="O45" s="17"/>
      <c r="P45" s="17"/>
      <c r="Q45" s="17"/>
      <c r="R45" s="17">
        <v>3</v>
      </c>
      <c r="S45" s="48">
        <f>10+10/12</f>
        <v>10.833333333333334</v>
      </c>
      <c r="T45" s="17"/>
      <c r="U45" s="17"/>
    </row>
    <row r="46" spans="1:21">
      <c r="A46" s="246" t="s">
        <v>208</v>
      </c>
      <c r="B46" s="17" t="s">
        <v>211</v>
      </c>
      <c r="C46" s="220">
        <v>2600</v>
      </c>
      <c r="D46" s="150"/>
      <c r="E46" s="17"/>
      <c r="F46" s="220">
        <v>1600</v>
      </c>
      <c r="G46" s="258">
        <v>1900</v>
      </c>
      <c r="H46" s="223">
        <f>66.08/12</f>
        <v>5.5066666666666668</v>
      </c>
      <c r="I46" s="221">
        <f>54.08/12</f>
        <v>4.5066666666666668</v>
      </c>
      <c r="J46" s="17"/>
      <c r="K46" s="258">
        <v>2045</v>
      </c>
      <c r="L46" s="230" t="s">
        <v>330</v>
      </c>
      <c r="M46" s="17"/>
      <c r="N46" s="17"/>
      <c r="O46" s="17"/>
      <c r="P46" s="17"/>
      <c r="Q46" s="17"/>
      <c r="R46" s="17">
        <v>4</v>
      </c>
      <c r="S46" s="90">
        <v>12</v>
      </c>
      <c r="T46" s="17"/>
      <c r="U46" s="17"/>
    </row>
    <row r="47" spans="1:21">
      <c r="A47" s="246" t="s">
        <v>209</v>
      </c>
      <c r="B47" s="17" t="s">
        <v>213</v>
      </c>
      <c r="C47" s="220">
        <v>3350</v>
      </c>
      <c r="D47" s="150"/>
      <c r="E47" s="17"/>
      <c r="F47" s="220">
        <v>2100</v>
      </c>
      <c r="G47" s="258">
        <v>2500</v>
      </c>
      <c r="H47" s="223">
        <f>80.58/12</f>
        <v>6.7149999999999999</v>
      </c>
      <c r="I47" s="221">
        <f>54.13/12</f>
        <v>4.5108333333333333</v>
      </c>
      <c r="J47" s="17"/>
      <c r="K47" s="258">
        <v>2822</v>
      </c>
      <c r="L47" s="230" t="s">
        <v>330</v>
      </c>
      <c r="M47" s="17"/>
      <c r="N47" s="17"/>
      <c r="O47" s="17"/>
      <c r="P47" s="17"/>
      <c r="Q47" s="17"/>
      <c r="R47" s="17">
        <v>4</v>
      </c>
      <c r="S47" s="186">
        <f>13+6/12</f>
        <v>13.5</v>
      </c>
      <c r="T47" s="17"/>
      <c r="U47" s="17"/>
    </row>
    <row r="48" spans="1:21">
      <c r="A48" s="246" t="s">
        <v>210</v>
      </c>
      <c r="B48" s="17" t="s">
        <v>214</v>
      </c>
      <c r="C48" s="220">
        <v>3350</v>
      </c>
      <c r="D48" s="150"/>
      <c r="E48" s="17"/>
      <c r="F48" s="220">
        <v>2300</v>
      </c>
      <c r="G48" s="258">
        <v>2700</v>
      </c>
      <c r="H48" s="223">
        <f>80.58/12</f>
        <v>6.7149999999999999</v>
      </c>
      <c r="I48" s="221">
        <f>54.13/12</f>
        <v>4.5108333333333333</v>
      </c>
      <c r="J48" s="17"/>
      <c r="K48" s="258">
        <v>2822</v>
      </c>
      <c r="L48" s="230" t="s">
        <v>330</v>
      </c>
      <c r="M48" s="17"/>
      <c r="N48" s="17"/>
      <c r="O48" s="17"/>
      <c r="P48" s="17"/>
      <c r="Q48" s="17"/>
      <c r="R48" s="17">
        <v>4</v>
      </c>
      <c r="S48" s="109">
        <f>13.5</f>
        <v>13.5</v>
      </c>
      <c r="T48" s="17"/>
      <c r="U48" s="17"/>
    </row>
    <row r="49" spans="1:21" ht="15" thickBot="1">
      <c r="A49" s="247" t="s">
        <v>196</v>
      </c>
      <c r="B49" s="120" t="s">
        <v>211</v>
      </c>
      <c r="C49" s="248">
        <v>2600</v>
      </c>
      <c r="D49" s="170"/>
      <c r="E49" s="120"/>
      <c r="F49" s="248">
        <v>1600</v>
      </c>
      <c r="G49" s="260">
        <v>1900</v>
      </c>
      <c r="H49" s="269">
        <f>66.08/12</f>
        <v>5.5066666666666668</v>
      </c>
      <c r="I49" s="249">
        <f>54.08/12</f>
        <v>4.5066666666666668</v>
      </c>
      <c r="J49" s="120"/>
      <c r="K49" s="260">
        <v>2045</v>
      </c>
      <c r="L49" s="234" t="s">
        <v>330</v>
      </c>
      <c r="M49" s="17"/>
      <c r="N49" s="17"/>
      <c r="O49" s="17"/>
      <c r="P49" s="17"/>
      <c r="Q49" s="17"/>
      <c r="R49" s="17">
        <v>3</v>
      </c>
      <c r="S49" s="48">
        <f>13+1/12</f>
        <v>13.083333333333334</v>
      </c>
      <c r="T49" s="17"/>
      <c r="U49" s="17"/>
    </row>
    <row r="50" spans="1:21" ht="15" thickBot="1">
      <c r="A50" s="246" t="s">
        <v>257</v>
      </c>
      <c r="B50" s="17" t="s">
        <v>231</v>
      </c>
      <c r="C50" s="220">
        <v>680</v>
      </c>
      <c r="D50" s="150"/>
      <c r="E50" s="17"/>
      <c r="F50" s="220"/>
      <c r="G50" s="258">
        <v>220</v>
      </c>
      <c r="H50" s="223">
        <v>3.09</v>
      </c>
      <c r="I50" s="221">
        <v>3.625</v>
      </c>
      <c r="J50" s="17"/>
      <c r="K50" s="258">
        <v>500</v>
      </c>
      <c r="L50" s="230" t="s">
        <v>330</v>
      </c>
      <c r="M50" s="17"/>
      <c r="N50" s="17"/>
      <c r="O50" s="17"/>
      <c r="P50" s="17"/>
      <c r="Q50" s="17"/>
      <c r="R50" s="17"/>
      <c r="S50" s="48"/>
      <c r="T50" s="17"/>
      <c r="U50" s="17"/>
    </row>
    <row r="51" spans="1:21">
      <c r="A51" s="243" t="s">
        <v>259</v>
      </c>
      <c r="B51" s="148" t="s">
        <v>233</v>
      </c>
      <c r="C51" s="244">
        <v>440</v>
      </c>
      <c r="D51" s="147"/>
      <c r="E51" s="148"/>
      <c r="F51" s="148"/>
      <c r="G51" s="261">
        <v>175</v>
      </c>
      <c r="H51" s="228">
        <f>53.156/12</f>
        <v>4.4296666666666669</v>
      </c>
      <c r="I51" s="245">
        <f>21.954/12</f>
        <v>1.8295000000000001</v>
      </c>
      <c r="J51" s="245">
        <f>33.5/12</f>
        <v>2.7916666666666665</v>
      </c>
      <c r="K51" s="261">
        <v>376</v>
      </c>
      <c r="L51" s="229" t="s">
        <v>331</v>
      </c>
      <c r="M51" s="17"/>
      <c r="N51" s="17"/>
      <c r="O51" s="17"/>
      <c r="P51" s="17"/>
      <c r="Q51" s="17"/>
      <c r="R51" s="17">
        <v>2</v>
      </c>
      <c r="S51" s="48">
        <f>86/12</f>
        <v>7.166666666666667</v>
      </c>
      <c r="T51" s="17"/>
      <c r="U51" s="17"/>
    </row>
    <row r="52" spans="1:21">
      <c r="A52" s="246" t="s">
        <v>261</v>
      </c>
      <c r="B52" s="17" t="s">
        <v>333</v>
      </c>
      <c r="C52" s="226">
        <v>440</v>
      </c>
      <c r="D52" s="150"/>
      <c r="E52" s="17"/>
      <c r="F52" s="17"/>
      <c r="G52" s="262">
        <v>132</v>
      </c>
      <c r="H52" s="150"/>
      <c r="I52" s="17"/>
      <c r="J52" s="17"/>
      <c r="K52" s="116"/>
      <c r="L52" s="230"/>
      <c r="M52" s="17"/>
      <c r="N52" s="17"/>
      <c r="O52" s="17"/>
      <c r="P52" s="17"/>
      <c r="Q52" s="17"/>
      <c r="R52" s="17">
        <v>2</v>
      </c>
      <c r="S52" s="181">
        <f>91/12</f>
        <v>7.583333333333333</v>
      </c>
      <c r="T52" s="17"/>
      <c r="U52" s="17"/>
    </row>
    <row r="53" spans="1:21">
      <c r="A53" s="246" t="s">
        <v>262</v>
      </c>
      <c r="B53" s="213" t="s">
        <v>240</v>
      </c>
      <c r="C53" s="213">
        <v>985</v>
      </c>
      <c r="D53" s="150"/>
      <c r="E53" s="17"/>
      <c r="F53" s="213">
        <v>440</v>
      </c>
      <c r="G53" s="215">
        <v>440</v>
      </c>
      <c r="H53" s="150"/>
      <c r="I53" s="17"/>
      <c r="J53" s="17"/>
      <c r="K53" s="116"/>
      <c r="L53" s="230" t="s">
        <v>329</v>
      </c>
      <c r="M53" s="17"/>
      <c r="N53" s="17"/>
      <c r="O53" s="17"/>
      <c r="P53" s="17"/>
      <c r="Q53" s="17"/>
      <c r="R53" s="17">
        <v>2</v>
      </c>
      <c r="S53" s="90">
        <v>8.5</v>
      </c>
      <c r="T53" s="17"/>
      <c r="U53" s="17"/>
    </row>
    <row r="54" spans="1:21">
      <c r="A54" s="246" t="s">
        <v>264</v>
      </c>
      <c r="B54" s="17" t="s">
        <v>243</v>
      </c>
      <c r="C54" s="220">
        <v>975</v>
      </c>
      <c r="D54" s="150"/>
      <c r="E54" s="17"/>
      <c r="F54" s="220">
        <v>400</v>
      </c>
      <c r="G54" s="258">
        <v>400</v>
      </c>
      <c r="H54" s="222">
        <f>42.48/12</f>
        <v>3.5399999999999996</v>
      </c>
      <c r="I54" s="220">
        <f>45/12</f>
        <v>3.75</v>
      </c>
      <c r="J54" s="17"/>
      <c r="K54" s="258">
        <v>695</v>
      </c>
      <c r="L54" s="230" t="s">
        <v>330</v>
      </c>
      <c r="M54" s="17"/>
      <c r="N54" s="17"/>
      <c r="O54" s="17"/>
      <c r="P54" s="17"/>
      <c r="Q54" s="17"/>
      <c r="R54" s="17">
        <v>2</v>
      </c>
      <c r="S54" s="90">
        <v>9</v>
      </c>
      <c r="T54" s="17"/>
      <c r="U54" s="17"/>
    </row>
    <row r="55" spans="1:21">
      <c r="A55" s="246" t="s">
        <v>266</v>
      </c>
      <c r="B55" s="213" t="s">
        <v>249</v>
      </c>
      <c r="C55" s="213">
        <v>985</v>
      </c>
      <c r="D55" s="150"/>
      <c r="E55" s="17"/>
      <c r="F55" s="213">
        <v>450</v>
      </c>
      <c r="G55" s="215">
        <v>450</v>
      </c>
      <c r="H55" s="216">
        <f>42.36/12</f>
        <v>3.53</v>
      </c>
      <c r="I55" s="214">
        <f>45.75/12</f>
        <v>3.8125</v>
      </c>
      <c r="J55" s="17"/>
      <c r="K55" s="215">
        <v>665</v>
      </c>
      <c r="L55" s="230" t="s">
        <v>329</v>
      </c>
      <c r="M55" s="17"/>
      <c r="N55" s="17"/>
      <c r="O55" s="17"/>
      <c r="P55" s="17"/>
      <c r="Q55" s="17"/>
      <c r="R55" s="17">
        <v>2</v>
      </c>
      <c r="S55" s="17">
        <v>9</v>
      </c>
      <c r="T55" s="17"/>
      <c r="U55" s="17"/>
    </row>
    <row r="56" spans="1:21">
      <c r="A56" s="246" t="s">
        <v>267</v>
      </c>
      <c r="B56" s="213" t="s">
        <v>247</v>
      </c>
      <c r="C56" s="213">
        <v>1340</v>
      </c>
      <c r="D56" s="216">
        <v>600</v>
      </c>
      <c r="E56" s="17"/>
      <c r="F56" s="213">
        <v>550</v>
      </c>
      <c r="G56" s="215">
        <v>600</v>
      </c>
      <c r="H56" s="217">
        <f>42.94/12</f>
        <v>3.5783333333333331</v>
      </c>
      <c r="I56" s="214">
        <f>51.44/12</f>
        <v>4.2866666666666662</v>
      </c>
      <c r="J56" s="17"/>
      <c r="K56" s="215">
        <v>854</v>
      </c>
      <c r="L56" s="230" t="s">
        <v>329</v>
      </c>
      <c r="M56" s="17"/>
      <c r="N56" s="17"/>
      <c r="O56" s="17"/>
      <c r="P56" s="17"/>
      <c r="Q56" s="17"/>
      <c r="R56" s="17">
        <v>2</v>
      </c>
      <c r="S56" s="90">
        <v>9</v>
      </c>
      <c r="T56" s="17"/>
      <c r="U56" s="17"/>
    </row>
    <row r="57" spans="1:21">
      <c r="A57" s="246" t="s">
        <v>268</v>
      </c>
      <c r="B57" s="213" t="s">
        <v>254</v>
      </c>
      <c r="C57" s="213">
        <v>1340</v>
      </c>
      <c r="D57" s="216">
        <v>600</v>
      </c>
      <c r="E57" s="17"/>
      <c r="F57" s="213">
        <v>550</v>
      </c>
      <c r="G57" s="215">
        <v>600</v>
      </c>
      <c r="H57" s="217">
        <f>42.94/12</f>
        <v>3.5783333333333331</v>
      </c>
      <c r="I57" s="214">
        <f>51.44/12</f>
        <v>4.2866666666666662</v>
      </c>
      <c r="J57" s="17"/>
      <c r="K57" s="215">
        <v>854</v>
      </c>
      <c r="L57" s="230" t="s">
        <v>329</v>
      </c>
      <c r="M57" s="17"/>
      <c r="N57" s="17"/>
      <c r="O57" s="17"/>
      <c r="P57" s="17"/>
      <c r="Q57" s="17"/>
      <c r="R57" s="17">
        <v>2</v>
      </c>
      <c r="S57" s="181">
        <v>9</v>
      </c>
      <c r="T57" s="17"/>
      <c r="U57" s="17"/>
    </row>
    <row r="58" spans="1:21" ht="15" thickBot="1">
      <c r="A58" s="247" t="s">
        <v>269</v>
      </c>
      <c r="B58" s="233" t="s">
        <v>255</v>
      </c>
      <c r="C58" s="233">
        <v>1340</v>
      </c>
      <c r="D58" s="170"/>
      <c r="E58" s="120"/>
      <c r="F58" s="233">
        <v>550</v>
      </c>
      <c r="G58" s="231">
        <v>600</v>
      </c>
      <c r="H58" s="268">
        <f>48/12</f>
        <v>4</v>
      </c>
      <c r="I58" s="232">
        <f>52/12</f>
        <v>4.333333333333333</v>
      </c>
      <c r="J58" s="120"/>
      <c r="K58" s="231" t="s">
        <v>328</v>
      </c>
      <c r="L58" s="234" t="s">
        <v>329</v>
      </c>
      <c r="M58" s="17"/>
      <c r="N58" s="17"/>
      <c r="O58" s="17"/>
      <c r="P58" s="17"/>
      <c r="Q58" s="17"/>
      <c r="R58" s="17">
        <v>2</v>
      </c>
      <c r="S58" s="17">
        <v>9</v>
      </c>
      <c r="T58" s="17"/>
      <c r="U58" s="17"/>
    </row>
    <row r="59" spans="1:21">
      <c r="A59" s="241"/>
      <c r="B59" s="241"/>
      <c r="C59" s="241"/>
      <c r="D59" s="241"/>
      <c r="E59" s="241"/>
      <c r="F59" s="241"/>
      <c r="G59" s="241"/>
      <c r="H59" s="241"/>
      <c r="I59" s="241"/>
      <c r="J59" s="241"/>
      <c r="K59" s="241"/>
      <c r="L59" s="241"/>
      <c r="M59" s="13"/>
      <c r="N59" s="13"/>
      <c r="O59" s="13"/>
      <c r="P59" s="13"/>
      <c r="Q59" s="13"/>
      <c r="R59" s="13"/>
      <c r="S59" s="13"/>
      <c r="T59" s="13"/>
      <c r="U59" s="13"/>
    </row>
  </sheetData>
  <mergeCells count="2">
    <mergeCell ref="H1:K1"/>
    <mergeCell ref="D1:G1"/>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C2337-363F-4826-8681-E303E59D9B30}">
  <dimension ref="A1:CF180"/>
  <sheetViews>
    <sheetView zoomScaleNormal="100" workbookViewId="0">
      <pane xSplit="2" ySplit="7" topLeftCell="BS8" activePane="bottomRight" state="frozen"/>
      <selection pane="topRight" activeCell="C1" sqref="C1"/>
      <selection pane="bottomLeft" activeCell="A8" sqref="A8"/>
      <selection pane="bottomRight" activeCell="BU178" sqref="BU178"/>
    </sheetView>
  </sheetViews>
  <sheetFormatPr defaultRowHeight="10"/>
  <cols>
    <col min="1" max="1" width="32.36328125" style="3" bestFit="1" customWidth="1"/>
    <col min="2" max="2" width="6.453125" style="13" bestFit="1" customWidth="1"/>
    <col min="3" max="3" width="27.453125" style="13" customWidth="1"/>
    <col min="4" max="5" width="14.1796875" style="13" customWidth="1"/>
    <col min="6" max="6" width="10.54296875" style="13" customWidth="1"/>
    <col min="7" max="7" width="9.6328125" style="13" customWidth="1"/>
    <col min="8" max="8" width="9.26953125" style="13" customWidth="1"/>
    <col min="9" max="9" width="10.26953125" style="13" customWidth="1"/>
    <col min="10" max="10" width="9.26953125" style="13" customWidth="1"/>
    <col min="11" max="11" width="11.7265625" style="13" customWidth="1"/>
    <col min="12" max="14" width="9.26953125" style="13" customWidth="1"/>
    <col min="15" max="15" width="11.08984375" style="13" customWidth="1"/>
    <col min="16" max="17" width="8.81640625" style="13" customWidth="1"/>
    <col min="18" max="18" width="11" style="13" customWidth="1"/>
    <col min="19" max="19" width="11.90625" style="13" customWidth="1"/>
    <col min="20" max="20" width="14.54296875" style="13" customWidth="1"/>
    <col min="21" max="21" width="8.81640625" style="13" customWidth="1"/>
    <col min="22" max="22" width="9.453125" style="13" customWidth="1"/>
    <col min="23" max="23" width="19" style="13" customWidth="1"/>
    <col min="24" max="24" width="9.453125" style="13" customWidth="1"/>
    <col min="25" max="25" width="11.7265625" style="13" customWidth="1"/>
    <col min="26" max="26" width="11.453125" style="13" customWidth="1"/>
    <col min="27" max="27" width="7.7265625" style="13" customWidth="1"/>
    <col min="28" max="29" width="8.81640625" style="13" customWidth="1"/>
    <col min="30" max="30" width="1.6328125" style="13" customWidth="1"/>
    <col min="31" max="31" width="15.7265625" style="13" customWidth="1"/>
    <col min="32" max="32" width="9.81640625" style="13" customWidth="1"/>
    <col min="33" max="34" width="8.1796875" style="13" customWidth="1"/>
    <col min="35" max="35" width="7.7265625" style="13" customWidth="1"/>
    <col min="36" max="36" width="9" style="13" customWidth="1"/>
    <col min="37" max="37" width="13.36328125" style="13" customWidth="1"/>
    <col min="38" max="38" width="15" style="13" customWidth="1"/>
    <col min="39" max="40" width="15.7265625" style="13" customWidth="1"/>
    <col min="41" max="43" width="9.54296875" style="13" customWidth="1"/>
    <col min="44" max="46" width="13.36328125" style="13" customWidth="1"/>
    <col min="47" max="47" width="11.08984375" style="13" customWidth="1"/>
    <col min="48" max="49" width="8.1796875" style="13" customWidth="1"/>
    <col min="50" max="50" width="6.90625" style="13" customWidth="1"/>
    <col min="51" max="51" width="8.1796875" style="13" customWidth="1"/>
    <col min="52" max="52" width="11" style="13" customWidth="1"/>
    <col min="53" max="53" width="9.81640625" style="13" customWidth="1"/>
    <col min="54" max="56" width="9" style="13" customWidth="1"/>
    <col min="57" max="58" width="11.90625" style="13" customWidth="1"/>
    <col min="59" max="59" width="12.54296875" style="13" customWidth="1"/>
    <col min="60" max="60" width="1.6328125" style="13" customWidth="1"/>
    <col min="61" max="61" width="9.81640625" style="13" customWidth="1"/>
    <col min="62" max="63" width="9.6328125" style="13" customWidth="1"/>
    <col min="64" max="66" width="9" style="13" customWidth="1"/>
    <col min="67" max="67" width="2.90625" style="13" customWidth="1"/>
    <col min="68" max="68" width="9.453125" style="13" customWidth="1"/>
    <col min="69" max="69" width="1.6328125" style="13" customWidth="1"/>
    <col min="70" max="70" width="9.81640625" style="13" bestFit="1" customWidth="1"/>
    <col min="71" max="71" width="10.6328125" style="13" bestFit="1" customWidth="1"/>
    <col min="72" max="72" width="9" style="13" bestFit="1" customWidth="1"/>
    <col min="73" max="73" width="9.453125" style="13" bestFit="1" customWidth="1"/>
    <col min="74" max="74" width="8.7265625" style="13"/>
    <col min="75" max="76" width="8.08984375" style="13" bestFit="1" customWidth="1"/>
    <col min="77" max="78" width="9.453125" style="13" bestFit="1" customWidth="1"/>
    <col min="79" max="79" width="9.26953125" style="13" bestFit="1" customWidth="1"/>
    <col min="80" max="80" width="3.7265625" style="3" bestFit="1" customWidth="1"/>
    <col min="81" max="16384" width="8.7265625" style="3"/>
  </cols>
  <sheetData>
    <row r="1" spans="1:81" ht="18" thickBot="1">
      <c r="C1" s="384" t="s">
        <v>313</v>
      </c>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6"/>
      <c r="AE1" s="384" t="s">
        <v>314</v>
      </c>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6"/>
      <c r="BI1" s="403" t="s">
        <v>315</v>
      </c>
      <c r="BJ1" s="404"/>
      <c r="BK1" s="404"/>
      <c r="BL1" s="404"/>
      <c r="BM1" s="404"/>
      <c r="BN1" s="404"/>
      <c r="BO1" s="404"/>
      <c r="BP1" s="405"/>
      <c r="BR1" s="384" t="s">
        <v>316</v>
      </c>
      <c r="BS1" s="385"/>
      <c r="BT1" s="385"/>
      <c r="BU1" s="385"/>
      <c r="BW1" s="385"/>
      <c r="BX1" s="385"/>
      <c r="BY1" s="385"/>
      <c r="BZ1" s="386"/>
    </row>
    <row r="2" spans="1:81">
      <c r="A2" s="125"/>
      <c r="B2" s="144"/>
      <c r="C2" s="144" t="s">
        <v>8</v>
      </c>
      <c r="D2" s="113" t="s">
        <v>74</v>
      </c>
      <c r="E2" s="113" t="s">
        <v>76</v>
      </c>
      <c r="F2" s="113" t="s">
        <v>76</v>
      </c>
      <c r="G2" s="113" t="s">
        <v>76</v>
      </c>
      <c r="H2" s="113" t="s">
        <v>76</v>
      </c>
      <c r="I2" s="113" t="s">
        <v>76</v>
      </c>
      <c r="J2" s="113" t="s">
        <v>76</v>
      </c>
      <c r="K2" s="113" t="s">
        <v>76</v>
      </c>
      <c r="L2" s="113" t="s">
        <v>76</v>
      </c>
      <c r="M2" s="113" t="s">
        <v>76</v>
      </c>
      <c r="N2" s="113" t="s">
        <v>76</v>
      </c>
      <c r="O2" s="113" t="s">
        <v>81</v>
      </c>
      <c r="P2" s="113" t="s">
        <v>81</v>
      </c>
      <c r="Q2" s="113" t="s">
        <v>81</v>
      </c>
      <c r="R2" s="113" t="s">
        <v>189</v>
      </c>
      <c r="S2" s="113" t="s">
        <v>189</v>
      </c>
      <c r="T2" s="113" t="s">
        <v>72</v>
      </c>
      <c r="U2" s="113" t="s">
        <v>386</v>
      </c>
      <c r="V2" s="113" t="s">
        <v>80</v>
      </c>
      <c r="W2" s="113" t="s">
        <v>80</v>
      </c>
      <c r="X2" s="113" t="s">
        <v>80</v>
      </c>
      <c r="Y2" s="113" t="s">
        <v>80</v>
      </c>
      <c r="Z2" s="113" t="s">
        <v>80</v>
      </c>
      <c r="AA2" s="113" t="s">
        <v>80</v>
      </c>
      <c r="AB2" s="113" t="s">
        <v>80</v>
      </c>
      <c r="AC2" s="114" t="s">
        <v>80</v>
      </c>
      <c r="AD2" s="52"/>
      <c r="AE2" s="144" t="s">
        <v>157</v>
      </c>
      <c r="AF2" s="113" t="s">
        <v>157</v>
      </c>
      <c r="AG2" s="113" t="s">
        <v>157</v>
      </c>
      <c r="AH2" s="113" t="s">
        <v>157</v>
      </c>
      <c r="AI2" s="113" t="s">
        <v>157</v>
      </c>
      <c r="AJ2" s="113" t="s">
        <v>157</v>
      </c>
      <c r="AK2" s="113" t="s">
        <v>157</v>
      </c>
      <c r="AL2" s="113" t="s">
        <v>157</v>
      </c>
      <c r="AM2" s="113" t="s">
        <v>157</v>
      </c>
      <c r="AN2" s="113" t="s">
        <v>157</v>
      </c>
      <c r="AO2" s="113" t="s">
        <v>157</v>
      </c>
      <c r="AP2" s="113" t="s">
        <v>157</v>
      </c>
      <c r="AQ2" s="113" t="s">
        <v>157</v>
      </c>
      <c r="AR2" s="113" t="s">
        <v>158</v>
      </c>
      <c r="AS2" s="113" t="s">
        <v>158</v>
      </c>
      <c r="AT2" s="113" t="s">
        <v>158</v>
      </c>
      <c r="AU2" s="113" t="s">
        <v>158</v>
      </c>
      <c r="AV2" s="113" t="s">
        <v>158</v>
      </c>
      <c r="AW2" s="113" t="s">
        <v>158</v>
      </c>
      <c r="AX2" s="113" t="s">
        <v>159</v>
      </c>
      <c r="AY2" s="113" t="s">
        <v>159</v>
      </c>
      <c r="AZ2" s="113" t="s">
        <v>159</v>
      </c>
      <c r="BA2" s="113" t="s">
        <v>159</v>
      </c>
      <c r="BB2" s="113" t="s">
        <v>158</v>
      </c>
      <c r="BC2" s="113" t="s">
        <v>158</v>
      </c>
      <c r="BD2" s="113" t="s">
        <v>158</v>
      </c>
      <c r="BE2" s="113" t="s">
        <v>158</v>
      </c>
      <c r="BF2" s="113" t="s">
        <v>158</v>
      </c>
      <c r="BG2" s="114" t="s">
        <v>158</v>
      </c>
      <c r="BI2" s="144" t="s">
        <v>483</v>
      </c>
      <c r="BJ2" s="113" t="s">
        <v>187</v>
      </c>
      <c r="BK2" s="113" t="s">
        <v>265</v>
      </c>
      <c r="BL2" s="113" t="s">
        <v>187</v>
      </c>
      <c r="BM2" s="113" t="s">
        <v>76</v>
      </c>
      <c r="BN2" s="114" t="s">
        <v>187</v>
      </c>
      <c r="BP2" s="161" t="s">
        <v>158</v>
      </c>
      <c r="BQ2" s="52"/>
      <c r="BR2" s="144" t="s">
        <v>258</v>
      </c>
      <c r="BS2" s="113" t="s">
        <v>260</v>
      </c>
      <c r="BT2" s="113" t="s">
        <v>74</v>
      </c>
      <c r="BU2" s="113" t="s">
        <v>263</v>
      </c>
      <c r="BV2" s="113" t="s">
        <v>484</v>
      </c>
      <c r="BW2" s="113" t="s">
        <v>265</v>
      </c>
      <c r="BX2" s="113" t="s">
        <v>263</v>
      </c>
      <c r="BY2" s="113" t="s">
        <v>263</v>
      </c>
      <c r="BZ2" s="114" t="s">
        <v>263</v>
      </c>
      <c r="CA2" s="93" t="s">
        <v>256</v>
      </c>
    </row>
    <row r="3" spans="1:81" ht="10.5" thickBot="1">
      <c r="A3" s="126"/>
      <c r="B3" s="145"/>
      <c r="C3" s="209" t="s">
        <v>9</v>
      </c>
      <c r="D3" s="210" t="s">
        <v>75</v>
      </c>
      <c r="E3" s="210" t="s">
        <v>77</v>
      </c>
      <c r="F3" s="210" t="s">
        <v>309</v>
      </c>
      <c r="G3" s="210" t="s">
        <v>310</v>
      </c>
      <c r="H3" s="210" t="s">
        <v>78</v>
      </c>
      <c r="I3" s="210" t="s">
        <v>78</v>
      </c>
      <c r="J3" s="210" t="s">
        <v>122</v>
      </c>
      <c r="K3" s="210" t="s">
        <v>123</v>
      </c>
      <c r="L3" s="210" t="s">
        <v>124</v>
      </c>
      <c r="M3" s="210" t="s">
        <v>125</v>
      </c>
      <c r="N3" s="210" t="s">
        <v>126</v>
      </c>
      <c r="O3" s="210" t="s">
        <v>82</v>
      </c>
      <c r="P3" s="210" t="s">
        <v>127</v>
      </c>
      <c r="Q3" s="210" t="s">
        <v>128</v>
      </c>
      <c r="R3" s="45" t="s">
        <v>129</v>
      </c>
      <c r="S3" s="45" t="s">
        <v>83</v>
      </c>
      <c r="T3" s="210" t="s">
        <v>73</v>
      </c>
      <c r="U3" s="210"/>
      <c r="V3" s="210" t="s">
        <v>79</v>
      </c>
      <c r="W3" s="210" t="s">
        <v>79</v>
      </c>
      <c r="X3" s="210" t="s">
        <v>119</v>
      </c>
      <c r="Y3" s="45" t="s">
        <v>121</v>
      </c>
      <c r="Z3" s="45" t="s">
        <v>120</v>
      </c>
      <c r="AA3" s="210" t="s">
        <v>130</v>
      </c>
      <c r="AB3" s="210" t="s">
        <v>131</v>
      </c>
      <c r="AC3" s="140" t="s">
        <v>132</v>
      </c>
      <c r="AD3" s="45"/>
      <c r="AE3" s="145" t="s">
        <v>133</v>
      </c>
      <c r="AF3" s="45" t="s">
        <v>134</v>
      </c>
      <c r="AG3" s="45" t="s">
        <v>135</v>
      </c>
      <c r="AH3" s="45" t="s">
        <v>136</v>
      </c>
      <c r="AI3" s="45" t="s">
        <v>137</v>
      </c>
      <c r="AJ3" s="45" t="s">
        <v>138</v>
      </c>
      <c r="AK3" s="45" t="s">
        <v>138</v>
      </c>
      <c r="AL3" s="45" t="s">
        <v>138</v>
      </c>
      <c r="AM3" s="45" t="s">
        <v>142</v>
      </c>
      <c r="AN3" s="45" t="s">
        <v>142</v>
      </c>
      <c r="AO3" s="45" t="s">
        <v>139</v>
      </c>
      <c r="AP3" s="45" t="s">
        <v>141</v>
      </c>
      <c r="AQ3" s="45" t="s">
        <v>140</v>
      </c>
      <c r="AR3" s="45" t="s">
        <v>143</v>
      </c>
      <c r="AS3" s="45" t="s">
        <v>143</v>
      </c>
      <c r="AT3" s="45" t="s">
        <v>144</v>
      </c>
      <c r="AU3" s="45" t="s">
        <v>144</v>
      </c>
      <c r="AV3" s="45" t="s">
        <v>144</v>
      </c>
      <c r="AW3" s="45" t="s">
        <v>145</v>
      </c>
      <c r="AX3" s="45" t="s">
        <v>334</v>
      </c>
      <c r="AY3" s="45" t="s">
        <v>337</v>
      </c>
      <c r="AZ3" s="45" t="s">
        <v>160</v>
      </c>
      <c r="BA3" s="45" t="s">
        <v>160</v>
      </c>
      <c r="BB3" s="45" t="s">
        <v>146</v>
      </c>
      <c r="BC3" s="45" t="s">
        <v>146</v>
      </c>
      <c r="BD3" s="45" t="s">
        <v>147</v>
      </c>
      <c r="BE3" s="45" t="s">
        <v>147</v>
      </c>
      <c r="BF3" s="45" t="s">
        <v>147</v>
      </c>
      <c r="BG3" s="140" t="s">
        <v>190</v>
      </c>
      <c r="BI3" s="145" t="s">
        <v>188</v>
      </c>
      <c r="BJ3" s="45" t="s">
        <v>203</v>
      </c>
      <c r="BK3" s="45" t="s">
        <v>491</v>
      </c>
      <c r="BL3" s="45" t="s">
        <v>210</v>
      </c>
      <c r="BM3" s="45" t="s">
        <v>208</v>
      </c>
      <c r="BN3" s="140" t="s">
        <v>477</v>
      </c>
      <c r="BO3" s="45"/>
      <c r="BP3" s="162" t="s">
        <v>196</v>
      </c>
      <c r="BQ3" s="45"/>
      <c r="BR3" s="145" t="s">
        <v>259</v>
      </c>
      <c r="BS3" s="45" t="s">
        <v>261</v>
      </c>
      <c r="BT3" s="45" t="s">
        <v>262</v>
      </c>
      <c r="BU3" s="45" t="s">
        <v>264</v>
      </c>
      <c r="BV3" s="45" t="s">
        <v>485</v>
      </c>
      <c r="BW3" s="45" t="s">
        <v>266</v>
      </c>
      <c r="BX3" s="45" t="s">
        <v>267</v>
      </c>
      <c r="BY3" s="45" t="s">
        <v>268</v>
      </c>
      <c r="BZ3" s="140" t="s">
        <v>269</v>
      </c>
      <c r="CA3" s="94" t="s">
        <v>257</v>
      </c>
    </row>
    <row r="4" spans="1:81" s="300" customFormat="1" ht="10.5" thickBot="1">
      <c r="A4" s="292" t="s">
        <v>446</v>
      </c>
      <c r="B4" s="293"/>
      <c r="C4" s="295" t="s">
        <v>457</v>
      </c>
      <c r="D4" s="296" t="s">
        <v>457</v>
      </c>
      <c r="E4" s="296" t="s">
        <v>457</v>
      </c>
      <c r="F4" s="296" t="s">
        <v>459</v>
      </c>
      <c r="G4" s="296" t="s">
        <v>459</v>
      </c>
      <c r="H4" s="296" t="s">
        <v>458</v>
      </c>
      <c r="I4" s="296" t="s">
        <v>457</v>
      </c>
      <c r="J4" s="296" t="s">
        <v>458</v>
      </c>
      <c r="K4" s="296" t="s">
        <v>458</v>
      </c>
      <c r="L4" s="296" t="s">
        <v>458</v>
      </c>
      <c r="M4" s="296" t="s">
        <v>458</v>
      </c>
      <c r="N4" s="296" t="s">
        <v>458</v>
      </c>
      <c r="O4" s="296" t="s">
        <v>457</v>
      </c>
      <c r="P4" s="296" t="s">
        <v>458</v>
      </c>
      <c r="Q4" s="296" t="s">
        <v>458</v>
      </c>
      <c r="R4" s="296" t="s">
        <v>458</v>
      </c>
      <c r="S4" s="296" t="s">
        <v>457</v>
      </c>
      <c r="T4" s="296" t="s">
        <v>456</v>
      </c>
      <c r="U4" s="296" t="s">
        <v>459</v>
      </c>
      <c r="V4" s="296" t="s">
        <v>458</v>
      </c>
      <c r="W4" s="296" t="s">
        <v>457</v>
      </c>
      <c r="X4" s="296" t="s">
        <v>458</v>
      </c>
      <c r="Y4" s="296" t="s">
        <v>458</v>
      </c>
      <c r="Z4" s="296" t="s">
        <v>458</v>
      </c>
      <c r="AA4" s="296" t="s">
        <v>458</v>
      </c>
      <c r="AB4" s="296" t="s">
        <v>458</v>
      </c>
      <c r="AC4" s="124" t="s">
        <v>458</v>
      </c>
      <c r="AD4" s="294"/>
      <c r="AE4" s="295" t="s">
        <v>460</v>
      </c>
      <c r="AF4" s="296" t="s">
        <v>460</v>
      </c>
      <c r="AG4" s="296" t="s">
        <v>460</v>
      </c>
      <c r="AH4" s="296" t="s">
        <v>460</v>
      </c>
      <c r="AI4" s="296" t="s">
        <v>460</v>
      </c>
      <c r="AJ4" s="296" t="s">
        <v>460</v>
      </c>
      <c r="AK4" s="296" t="s">
        <v>460</v>
      </c>
      <c r="AL4" s="296" t="s">
        <v>461</v>
      </c>
      <c r="AM4" s="296" t="s">
        <v>460</v>
      </c>
      <c r="AN4" s="296" t="s">
        <v>490</v>
      </c>
      <c r="AO4" s="296" t="s">
        <v>460</v>
      </c>
      <c r="AP4" s="296" t="s">
        <v>460</v>
      </c>
      <c r="AQ4" s="296" t="s">
        <v>460</v>
      </c>
      <c r="AR4" s="296" t="s">
        <v>458</v>
      </c>
      <c r="AS4" s="296" t="s">
        <v>459</v>
      </c>
      <c r="AT4" s="296" t="s">
        <v>458</v>
      </c>
      <c r="AU4" s="296" t="s">
        <v>457</v>
      </c>
      <c r="AV4" s="296" t="s">
        <v>459</v>
      </c>
      <c r="AW4" s="296" t="s">
        <v>462</v>
      </c>
      <c r="AX4" s="296" t="s">
        <v>459</v>
      </c>
      <c r="AY4" s="296" t="s">
        <v>459</v>
      </c>
      <c r="AZ4" s="296" t="s">
        <v>457</v>
      </c>
      <c r="BA4" s="296" t="s">
        <v>459</v>
      </c>
      <c r="BB4" s="296" t="s">
        <v>458</v>
      </c>
      <c r="BC4" s="296" t="s">
        <v>459</v>
      </c>
      <c r="BD4" s="296" t="s">
        <v>458</v>
      </c>
      <c r="BE4" s="296" t="s">
        <v>457</v>
      </c>
      <c r="BF4" s="296" t="s">
        <v>457</v>
      </c>
      <c r="BG4" s="297" t="s">
        <v>457</v>
      </c>
      <c r="BH4" s="26"/>
      <c r="BI4" s="295" t="s">
        <v>461</v>
      </c>
      <c r="BJ4" s="296" t="s">
        <v>461</v>
      </c>
      <c r="BK4" s="296" t="s">
        <v>492</v>
      </c>
      <c r="BL4" s="296" t="s">
        <v>461</v>
      </c>
      <c r="BM4" s="296" t="s">
        <v>461</v>
      </c>
      <c r="BN4" s="297" t="s">
        <v>461</v>
      </c>
      <c r="BO4" s="294"/>
      <c r="BP4" s="299" t="s">
        <v>461</v>
      </c>
      <c r="BQ4" s="298"/>
      <c r="BR4" s="295" t="s">
        <v>456</v>
      </c>
      <c r="BS4" s="296" t="s">
        <v>456</v>
      </c>
      <c r="BT4" s="296" t="s">
        <v>457</v>
      </c>
      <c r="BU4" s="296" t="s">
        <v>461</v>
      </c>
      <c r="BV4" s="296">
        <v>7</v>
      </c>
      <c r="BW4" s="296" t="s">
        <v>457</v>
      </c>
      <c r="BX4" s="296" t="s">
        <v>457</v>
      </c>
      <c r="BY4" s="296" t="s">
        <v>457</v>
      </c>
      <c r="BZ4" s="297" t="s">
        <v>457</v>
      </c>
      <c r="CA4" s="96">
        <v>1</v>
      </c>
    </row>
    <row r="5" spans="1:81" ht="10.5" thickTop="1">
      <c r="A5" s="127" t="s">
        <v>161</v>
      </c>
      <c r="B5" s="150"/>
      <c r="C5" s="150" t="s">
        <v>13</v>
      </c>
      <c r="D5" s="17">
        <v>113</v>
      </c>
      <c r="E5" s="17" t="s">
        <v>21</v>
      </c>
      <c r="F5" s="17" t="s">
        <v>288</v>
      </c>
      <c r="G5" s="17" t="s">
        <v>288</v>
      </c>
      <c r="H5" s="17"/>
      <c r="I5" s="17">
        <v>8329</v>
      </c>
      <c r="J5" s="17"/>
      <c r="K5" s="17"/>
      <c r="L5" s="17"/>
      <c r="M5" s="17"/>
      <c r="N5" s="17"/>
      <c r="O5" s="17">
        <v>9317</v>
      </c>
      <c r="P5" s="17"/>
      <c r="Q5" s="17"/>
      <c r="R5" s="17"/>
      <c r="S5" s="17" t="s">
        <v>30</v>
      </c>
      <c r="T5" s="17" t="s">
        <v>17</v>
      </c>
      <c r="U5" s="17"/>
      <c r="V5" s="17"/>
      <c r="W5" s="17" t="s">
        <v>25</v>
      </c>
      <c r="X5" s="17"/>
      <c r="Y5" s="17"/>
      <c r="Z5" s="17"/>
      <c r="AA5" s="17"/>
      <c r="AB5" s="17"/>
      <c r="AC5" s="116"/>
      <c r="AD5" s="17"/>
      <c r="AE5" s="150"/>
      <c r="AF5" s="17"/>
      <c r="AG5" s="17"/>
      <c r="AH5" s="17"/>
      <c r="AI5" s="17"/>
      <c r="AJ5" s="17"/>
      <c r="AK5" s="17"/>
      <c r="AL5" s="17">
        <v>571</v>
      </c>
      <c r="AM5" s="17"/>
      <c r="AN5" s="17">
        <v>350</v>
      </c>
      <c r="AO5" s="17"/>
      <c r="AP5" s="17"/>
      <c r="AQ5" s="17"/>
      <c r="AR5" s="17"/>
      <c r="AS5" s="17"/>
      <c r="AT5" s="17"/>
      <c r="AU5" s="17" t="s">
        <v>164</v>
      </c>
      <c r="AV5" s="17" t="s">
        <v>164</v>
      </c>
      <c r="AW5" s="17"/>
      <c r="AX5" s="17"/>
      <c r="AY5" s="17"/>
      <c r="AZ5" s="17">
        <v>6598</v>
      </c>
      <c r="BA5" s="17"/>
      <c r="BB5" s="17"/>
      <c r="BC5" s="17"/>
      <c r="BD5" s="17"/>
      <c r="BE5" s="17" t="s">
        <v>165</v>
      </c>
      <c r="BF5" s="17" t="s">
        <v>166</v>
      </c>
      <c r="BG5" s="116" t="s">
        <v>167</v>
      </c>
      <c r="BH5" s="17"/>
      <c r="BI5" s="150">
        <v>194</v>
      </c>
      <c r="BJ5" s="17" t="s">
        <v>204</v>
      </c>
      <c r="BK5" s="17" t="s">
        <v>494</v>
      </c>
      <c r="BL5" s="17">
        <v>26604</v>
      </c>
      <c r="BM5" s="17">
        <v>21009</v>
      </c>
      <c r="BN5" s="116">
        <v>6924</v>
      </c>
      <c r="BO5" s="17"/>
      <c r="BP5" s="165">
        <v>130</v>
      </c>
      <c r="BQ5" s="17"/>
      <c r="BR5" s="150" t="s">
        <v>238</v>
      </c>
      <c r="BS5" s="17" t="s">
        <v>237</v>
      </c>
      <c r="BT5" s="17" t="s">
        <v>236</v>
      </c>
      <c r="BU5" s="17" t="s">
        <v>241</v>
      </c>
      <c r="BV5" s="17"/>
      <c r="BW5" s="17" t="s">
        <v>245</v>
      </c>
      <c r="BX5" s="17" t="s">
        <v>250</v>
      </c>
      <c r="BY5" s="17" t="s">
        <v>251</v>
      </c>
      <c r="BZ5" s="116" t="s">
        <v>252</v>
      </c>
      <c r="CA5" s="97" t="s">
        <v>244</v>
      </c>
      <c r="CC5" s="17"/>
    </row>
    <row r="6" spans="1:81">
      <c r="A6" s="127" t="s">
        <v>60</v>
      </c>
      <c r="B6" s="150"/>
      <c r="C6" s="150"/>
      <c r="D6" s="17"/>
      <c r="E6" s="17"/>
      <c r="F6" s="17"/>
      <c r="G6" s="17"/>
      <c r="H6" s="17"/>
      <c r="I6" s="17"/>
      <c r="J6" s="17"/>
      <c r="K6" s="17"/>
      <c r="L6" s="17"/>
      <c r="M6" s="17"/>
      <c r="N6" s="17"/>
      <c r="O6" s="13">
        <v>16103</v>
      </c>
      <c r="S6" s="13">
        <v>16254</v>
      </c>
      <c r="T6" s="17"/>
      <c r="U6" s="17"/>
      <c r="V6" s="17"/>
      <c r="W6" s="17"/>
      <c r="X6" s="17"/>
      <c r="Y6" s="17"/>
      <c r="Z6" s="17"/>
      <c r="AC6" s="117"/>
      <c r="AD6" s="17"/>
      <c r="AE6" s="153"/>
      <c r="BG6" s="117"/>
      <c r="BI6" s="153"/>
      <c r="BN6" s="117"/>
      <c r="BO6" s="17"/>
      <c r="BP6" s="168"/>
      <c r="BR6" s="153"/>
      <c r="BZ6" s="117"/>
      <c r="CA6" s="98"/>
    </row>
    <row r="7" spans="1:81" ht="10.5" thickBot="1">
      <c r="A7" s="127" t="s">
        <v>61</v>
      </c>
      <c r="B7" s="150"/>
      <c r="C7" s="153" t="s">
        <v>15</v>
      </c>
      <c r="D7" s="13" t="s">
        <v>19</v>
      </c>
      <c r="E7" s="13" t="s">
        <v>22</v>
      </c>
      <c r="I7" s="13" t="s">
        <v>24</v>
      </c>
      <c r="O7" s="47">
        <v>16103</v>
      </c>
      <c r="P7" s="47"/>
      <c r="Q7" s="47"/>
      <c r="R7" s="47"/>
      <c r="S7" s="47">
        <v>16254</v>
      </c>
      <c r="T7" s="13" t="s">
        <v>18</v>
      </c>
      <c r="W7" s="13" t="s">
        <v>26</v>
      </c>
      <c r="AA7" s="47"/>
      <c r="AB7" s="47"/>
      <c r="AC7" s="141"/>
      <c r="AD7" s="17"/>
      <c r="AE7" s="157"/>
      <c r="AF7" s="47"/>
      <c r="AG7" s="47"/>
      <c r="AH7" s="47"/>
      <c r="AI7" s="47"/>
      <c r="AJ7" s="47"/>
      <c r="AK7" s="47"/>
      <c r="AL7" s="47">
        <v>15373</v>
      </c>
      <c r="AM7" s="47"/>
      <c r="AN7" s="47">
        <v>14622</v>
      </c>
      <c r="AO7" s="47"/>
      <c r="AP7" s="47"/>
      <c r="AQ7" s="47"/>
      <c r="AR7" s="47"/>
      <c r="AS7" s="47"/>
      <c r="AT7" s="47"/>
      <c r="AU7" s="47">
        <v>15707</v>
      </c>
      <c r="AV7" s="47">
        <v>15707</v>
      </c>
      <c r="AW7" s="47"/>
      <c r="AX7" s="47"/>
      <c r="AY7" s="47"/>
      <c r="AZ7" s="47">
        <v>16346</v>
      </c>
      <c r="BA7" s="47"/>
      <c r="BB7" s="47"/>
      <c r="BC7" s="47"/>
      <c r="BD7" s="47"/>
      <c r="BE7" s="47">
        <v>16193</v>
      </c>
      <c r="BF7" s="47">
        <v>16650</v>
      </c>
      <c r="BG7" s="141">
        <v>16469</v>
      </c>
      <c r="BH7" s="47"/>
      <c r="BI7" s="157" t="s">
        <v>198</v>
      </c>
      <c r="BJ7" s="47">
        <v>16254</v>
      </c>
      <c r="BK7" s="47">
        <v>15936</v>
      </c>
      <c r="BL7" s="47">
        <v>20852</v>
      </c>
      <c r="BM7" s="47">
        <v>16528</v>
      </c>
      <c r="BN7" s="141">
        <v>16711</v>
      </c>
      <c r="BO7" s="47"/>
      <c r="BP7" s="322">
        <v>16316</v>
      </c>
      <c r="BQ7" s="47"/>
      <c r="BR7" s="157" t="s">
        <v>232</v>
      </c>
      <c r="BS7" s="47">
        <v>14946</v>
      </c>
      <c r="BT7" s="47" t="s">
        <v>239</v>
      </c>
      <c r="BU7" s="47" t="s">
        <v>242</v>
      </c>
      <c r="BV7" s="47"/>
      <c r="BW7" s="47" t="s">
        <v>248</v>
      </c>
      <c r="BX7" s="47" t="s">
        <v>246</v>
      </c>
      <c r="BY7" s="47" t="s">
        <v>253</v>
      </c>
      <c r="BZ7" s="141">
        <v>16377</v>
      </c>
      <c r="CA7" s="99" t="s">
        <v>230</v>
      </c>
    </row>
    <row r="8" spans="1:81">
      <c r="A8" s="212" t="s">
        <v>448</v>
      </c>
      <c r="B8" s="147"/>
      <c r="C8" s="147">
        <v>1</v>
      </c>
      <c r="D8" s="148">
        <v>1</v>
      </c>
      <c r="E8" s="148">
        <v>1</v>
      </c>
      <c r="F8" s="148">
        <v>1</v>
      </c>
      <c r="G8" s="148">
        <v>1</v>
      </c>
      <c r="H8" s="148">
        <v>1</v>
      </c>
      <c r="I8" s="148">
        <v>1</v>
      </c>
      <c r="J8" s="148">
        <v>1</v>
      </c>
      <c r="K8" s="148">
        <v>1</v>
      </c>
      <c r="L8" s="148">
        <v>1</v>
      </c>
      <c r="M8" s="148">
        <v>1</v>
      </c>
      <c r="N8" s="148">
        <v>1</v>
      </c>
      <c r="O8" s="148">
        <v>1</v>
      </c>
      <c r="P8" s="148">
        <v>1</v>
      </c>
      <c r="Q8" s="148">
        <v>1</v>
      </c>
      <c r="R8" s="148">
        <v>1</v>
      </c>
      <c r="S8" s="148">
        <v>1</v>
      </c>
      <c r="T8" s="148">
        <v>2</v>
      </c>
      <c r="U8" s="148">
        <v>1</v>
      </c>
      <c r="V8" s="148">
        <v>1</v>
      </c>
      <c r="W8" s="148">
        <v>1</v>
      </c>
      <c r="X8" s="148">
        <v>1</v>
      </c>
      <c r="Y8" s="148">
        <v>1</v>
      </c>
      <c r="Z8" s="148">
        <v>1</v>
      </c>
      <c r="AA8" s="148">
        <v>1</v>
      </c>
      <c r="AB8" s="148">
        <v>1</v>
      </c>
      <c r="AC8" s="149">
        <v>1</v>
      </c>
      <c r="AD8" s="17"/>
      <c r="AE8" s="150">
        <v>1</v>
      </c>
      <c r="AF8" s="17">
        <v>1</v>
      </c>
      <c r="AG8" s="17">
        <v>1</v>
      </c>
      <c r="AH8" s="17">
        <v>1</v>
      </c>
      <c r="AI8" s="17">
        <v>1</v>
      </c>
      <c r="AJ8" s="17">
        <v>1</v>
      </c>
      <c r="AK8" s="17">
        <v>1</v>
      </c>
      <c r="AL8" s="17">
        <v>1</v>
      </c>
      <c r="AM8" s="17">
        <v>1</v>
      </c>
      <c r="AN8" s="17">
        <v>1</v>
      </c>
      <c r="AO8" s="17">
        <v>1</v>
      </c>
      <c r="AP8" s="17">
        <v>1</v>
      </c>
      <c r="AQ8" s="17">
        <v>1</v>
      </c>
      <c r="AR8" s="17">
        <v>1</v>
      </c>
      <c r="AS8" s="17">
        <v>1</v>
      </c>
      <c r="AT8" s="17">
        <v>1</v>
      </c>
      <c r="AU8" s="17">
        <v>1</v>
      </c>
      <c r="AV8" s="17">
        <v>1</v>
      </c>
      <c r="AW8" s="17">
        <v>1</v>
      </c>
      <c r="AX8" s="17">
        <v>1</v>
      </c>
      <c r="AY8" s="17">
        <v>1</v>
      </c>
      <c r="AZ8" s="17">
        <v>1</v>
      </c>
      <c r="BA8" s="17">
        <v>1</v>
      </c>
      <c r="BB8" s="17">
        <v>1</v>
      </c>
      <c r="BC8" s="17">
        <v>1</v>
      </c>
      <c r="BD8" s="17">
        <v>1</v>
      </c>
      <c r="BE8" s="17">
        <v>1</v>
      </c>
      <c r="BF8" s="17">
        <v>1</v>
      </c>
      <c r="BG8" s="116">
        <v>1</v>
      </c>
      <c r="BH8" s="17"/>
      <c r="BI8" s="150">
        <v>2</v>
      </c>
      <c r="BJ8" s="17">
        <v>2</v>
      </c>
      <c r="BK8" s="17">
        <v>2</v>
      </c>
      <c r="BL8" s="17">
        <v>1</v>
      </c>
      <c r="BM8" s="17">
        <v>2</v>
      </c>
      <c r="BN8" s="116">
        <v>1</v>
      </c>
      <c r="BO8" s="17"/>
      <c r="BP8" s="165">
        <v>3</v>
      </c>
      <c r="BQ8" s="17"/>
      <c r="BR8" s="150">
        <v>2</v>
      </c>
      <c r="BS8" s="17">
        <v>2</v>
      </c>
      <c r="BT8" s="17">
        <v>2</v>
      </c>
      <c r="BU8" s="17">
        <v>2</v>
      </c>
      <c r="BV8" s="13">
        <v>2</v>
      </c>
      <c r="BW8" s="17">
        <v>2</v>
      </c>
      <c r="BX8" s="17">
        <v>2</v>
      </c>
      <c r="BY8" s="17">
        <v>2</v>
      </c>
      <c r="BZ8" s="116">
        <v>2</v>
      </c>
    </row>
    <row r="9" spans="1:81">
      <c r="A9" s="127" t="s">
        <v>162</v>
      </c>
      <c r="B9" s="150"/>
      <c r="C9" s="153"/>
      <c r="R9" s="17"/>
      <c r="S9" s="17"/>
      <c r="AA9" s="17"/>
      <c r="AB9" s="17"/>
      <c r="AC9" s="116"/>
      <c r="AD9" s="17"/>
      <c r="AE9" s="153"/>
      <c r="BG9" s="117"/>
      <c r="BI9" s="153"/>
      <c r="BN9" s="117"/>
      <c r="BO9" s="17"/>
      <c r="BP9" s="168"/>
      <c r="BR9" s="153"/>
      <c r="BZ9" s="117"/>
      <c r="CA9" s="98"/>
    </row>
    <row r="10" spans="1:81">
      <c r="A10" s="128" t="s">
        <v>63</v>
      </c>
      <c r="B10" s="150"/>
      <c r="C10" s="150">
        <v>1</v>
      </c>
      <c r="D10" s="17">
        <v>1</v>
      </c>
      <c r="E10" s="17">
        <v>1</v>
      </c>
      <c r="F10" s="17">
        <v>1</v>
      </c>
      <c r="G10" s="17">
        <v>1</v>
      </c>
      <c r="H10" s="17">
        <v>1</v>
      </c>
      <c r="I10" s="17">
        <v>1</v>
      </c>
      <c r="J10" s="17">
        <v>1</v>
      </c>
      <c r="K10" s="17">
        <v>1</v>
      </c>
      <c r="L10" s="17">
        <v>1</v>
      </c>
      <c r="M10" s="17">
        <v>1</v>
      </c>
      <c r="N10" s="17">
        <v>1</v>
      </c>
      <c r="O10" s="17">
        <v>1</v>
      </c>
      <c r="P10" s="17">
        <v>1</v>
      </c>
      <c r="Q10" s="17">
        <v>1</v>
      </c>
      <c r="R10" s="17">
        <v>1</v>
      </c>
      <c r="S10" s="17">
        <v>1</v>
      </c>
      <c r="T10" s="17">
        <v>1</v>
      </c>
      <c r="U10" s="17"/>
      <c r="V10" s="17">
        <v>1</v>
      </c>
      <c r="W10" s="17">
        <v>1</v>
      </c>
      <c r="X10" s="17">
        <v>1</v>
      </c>
      <c r="Y10" s="17">
        <v>1</v>
      </c>
      <c r="Z10" s="17">
        <v>1</v>
      </c>
      <c r="AA10" s="17">
        <v>1</v>
      </c>
      <c r="AB10" s="17">
        <v>1</v>
      </c>
      <c r="AC10" s="116">
        <v>1</v>
      </c>
      <c r="AD10" s="17"/>
      <c r="AE10" s="150">
        <v>1</v>
      </c>
      <c r="AF10" s="17">
        <v>1</v>
      </c>
      <c r="AG10" s="17">
        <v>1</v>
      </c>
      <c r="AH10" s="17">
        <v>1</v>
      </c>
      <c r="AI10" s="17">
        <v>1</v>
      </c>
      <c r="AJ10" s="17">
        <v>1</v>
      </c>
      <c r="AK10" s="17">
        <v>1</v>
      </c>
      <c r="AL10" s="17">
        <v>1</v>
      </c>
      <c r="AM10" s="17">
        <v>1</v>
      </c>
      <c r="AN10" s="17">
        <v>1</v>
      </c>
      <c r="AO10" s="17">
        <v>1</v>
      </c>
      <c r="AP10" s="17">
        <v>1</v>
      </c>
      <c r="AQ10" s="17">
        <v>1</v>
      </c>
      <c r="AR10" s="17">
        <v>1</v>
      </c>
      <c r="AS10" s="17">
        <v>1</v>
      </c>
      <c r="AT10" s="17">
        <v>1</v>
      </c>
      <c r="AU10" s="17">
        <v>1</v>
      </c>
      <c r="AV10" s="17">
        <v>1</v>
      </c>
      <c r="AW10" s="17">
        <v>1</v>
      </c>
      <c r="AX10" s="17">
        <v>1</v>
      </c>
      <c r="AY10" s="17">
        <v>1</v>
      </c>
      <c r="AZ10" s="17">
        <v>1</v>
      </c>
      <c r="BA10" s="17">
        <v>1</v>
      </c>
      <c r="BB10" s="17">
        <v>1</v>
      </c>
      <c r="BC10" s="17">
        <v>1</v>
      </c>
      <c r="BD10" s="17">
        <v>1</v>
      </c>
      <c r="BE10" s="17">
        <v>1</v>
      </c>
      <c r="BF10" s="17">
        <v>1</v>
      </c>
      <c r="BG10" s="116">
        <v>1</v>
      </c>
      <c r="BH10" s="17"/>
      <c r="BI10" s="150">
        <v>1</v>
      </c>
      <c r="BJ10" s="17">
        <v>1</v>
      </c>
      <c r="BK10" s="17">
        <v>1</v>
      </c>
      <c r="BL10" s="17">
        <v>1</v>
      </c>
      <c r="BM10" s="17">
        <v>1</v>
      </c>
      <c r="BN10" s="116">
        <v>1</v>
      </c>
      <c r="BO10" s="17"/>
      <c r="BP10" s="165">
        <v>1</v>
      </c>
      <c r="BQ10" s="17"/>
      <c r="BR10" s="150">
        <v>1</v>
      </c>
      <c r="BS10" s="17">
        <v>1</v>
      </c>
      <c r="BT10" s="17">
        <v>1</v>
      </c>
      <c r="BU10" s="17">
        <v>1</v>
      </c>
      <c r="BV10" s="13">
        <v>1</v>
      </c>
      <c r="BW10" s="17">
        <v>1</v>
      </c>
      <c r="BX10" s="17">
        <v>1</v>
      </c>
      <c r="BY10" s="17">
        <v>1</v>
      </c>
      <c r="BZ10" s="116">
        <v>1</v>
      </c>
      <c r="CA10" s="97">
        <v>1</v>
      </c>
    </row>
    <row r="11" spans="1:81">
      <c r="A11" s="128" t="s">
        <v>62</v>
      </c>
      <c r="B11" s="150"/>
      <c r="C11" s="216" t="s">
        <v>14</v>
      </c>
      <c r="D11" s="213" t="s">
        <v>20</v>
      </c>
      <c r="E11" s="213" t="s">
        <v>23</v>
      </c>
      <c r="F11" s="213" t="s">
        <v>286</v>
      </c>
      <c r="G11" s="213" t="s">
        <v>287</v>
      </c>
      <c r="H11" s="213" t="s">
        <v>11</v>
      </c>
      <c r="I11" s="213" t="s">
        <v>11</v>
      </c>
      <c r="J11" s="368" t="s">
        <v>285</v>
      </c>
      <c r="K11" s="213" t="s">
        <v>294</v>
      </c>
      <c r="L11" s="369" t="s">
        <v>285</v>
      </c>
      <c r="M11" s="368" t="s">
        <v>447</v>
      </c>
      <c r="N11" s="213" t="s">
        <v>296</v>
      </c>
      <c r="O11" s="213" t="s">
        <v>29</v>
      </c>
      <c r="P11" s="17"/>
      <c r="Q11" s="213" t="s">
        <v>299</v>
      </c>
      <c r="R11" s="369" t="s">
        <v>300</v>
      </c>
      <c r="S11" s="369" t="s">
        <v>31</v>
      </c>
      <c r="T11" s="17" t="s">
        <v>10</v>
      </c>
      <c r="U11" s="213"/>
      <c r="V11" s="213" t="s">
        <v>27</v>
      </c>
      <c r="W11" s="213" t="s">
        <v>27</v>
      </c>
      <c r="X11" s="213" t="s">
        <v>297</v>
      </c>
      <c r="Y11" s="213" t="s">
        <v>327</v>
      </c>
      <c r="Z11" s="213" t="s">
        <v>298</v>
      </c>
      <c r="AA11" s="213" t="s">
        <v>301</v>
      </c>
      <c r="AB11" s="213" t="s">
        <v>301</v>
      </c>
      <c r="AC11" s="215" t="s">
        <v>303</v>
      </c>
      <c r="AD11" s="17"/>
      <c r="AE11" s="185" t="s">
        <v>304</v>
      </c>
      <c r="AF11" s="109" t="s">
        <v>305</v>
      </c>
      <c r="AG11" s="109" t="s">
        <v>305</v>
      </c>
      <c r="AH11" s="109" t="s">
        <v>169</v>
      </c>
      <c r="AI11" s="109" t="s">
        <v>169</v>
      </c>
      <c r="AJ11" s="109" t="s">
        <v>169</v>
      </c>
      <c r="AK11" s="109" t="s">
        <v>169</v>
      </c>
      <c r="AL11" s="109" t="s">
        <v>169</v>
      </c>
      <c r="AM11" s="206" t="s">
        <v>391</v>
      </c>
      <c r="AN11" s="26" t="s">
        <v>306</v>
      </c>
      <c r="AO11" s="109" t="s">
        <v>307</v>
      </c>
      <c r="AP11" s="109" t="s">
        <v>444</v>
      </c>
      <c r="AQ11" s="109" t="s">
        <v>307</v>
      </c>
      <c r="AR11" s="213" t="s">
        <v>170</v>
      </c>
      <c r="AS11" s="213" t="s">
        <v>380</v>
      </c>
      <c r="AT11" s="213" t="s">
        <v>170</v>
      </c>
      <c r="AU11" s="213" t="s">
        <v>170</v>
      </c>
      <c r="AV11" s="213" t="s">
        <v>170</v>
      </c>
      <c r="AW11" s="220" t="s">
        <v>302</v>
      </c>
      <c r="AX11" s="213" t="s">
        <v>336</v>
      </c>
      <c r="AY11" s="213" t="s">
        <v>338</v>
      </c>
      <c r="AZ11" s="213" t="s">
        <v>171</v>
      </c>
      <c r="BA11" s="213" t="s">
        <v>171</v>
      </c>
      <c r="BB11" s="213" t="s">
        <v>172</v>
      </c>
      <c r="BC11" s="213" t="s">
        <v>172</v>
      </c>
      <c r="BD11" s="213" t="s">
        <v>172</v>
      </c>
      <c r="BE11" s="213" t="s">
        <v>172</v>
      </c>
      <c r="BF11" s="213" t="s">
        <v>172</v>
      </c>
      <c r="BG11" s="215" t="s">
        <v>173</v>
      </c>
      <c r="BH11" s="17"/>
      <c r="BI11" s="222" t="s">
        <v>199</v>
      </c>
      <c r="BJ11" s="220" t="s">
        <v>205</v>
      </c>
      <c r="BK11" s="220" t="s">
        <v>495</v>
      </c>
      <c r="BL11" s="220" t="s">
        <v>214</v>
      </c>
      <c r="BM11" s="220" t="s">
        <v>211</v>
      </c>
      <c r="BN11" s="258" t="s">
        <v>213</v>
      </c>
      <c r="BO11" s="17"/>
      <c r="BP11" s="323" t="s">
        <v>211</v>
      </c>
      <c r="BQ11" s="17"/>
      <c r="BR11" s="150" t="s">
        <v>233</v>
      </c>
      <c r="BS11" s="17" t="s">
        <v>234</v>
      </c>
      <c r="BT11" s="213" t="s">
        <v>240</v>
      </c>
      <c r="BU11" s="220" t="s">
        <v>243</v>
      </c>
      <c r="BV11" s="213" t="s">
        <v>488</v>
      </c>
      <c r="BW11" s="213" t="s">
        <v>249</v>
      </c>
      <c r="BX11" s="213" t="s">
        <v>247</v>
      </c>
      <c r="BY11" s="213" t="s">
        <v>254</v>
      </c>
      <c r="BZ11" s="215" t="s">
        <v>255</v>
      </c>
      <c r="CA11" s="97" t="s">
        <v>231</v>
      </c>
      <c r="CC11" s="13" t="s">
        <v>486</v>
      </c>
    </row>
    <row r="12" spans="1:81">
      <c r="A12" s="128" t="s">
        <v>478</v>
      </c>
      <c r="B12" s="150" t="s">
        <v>479</v>
      </c>
      <c r="C12" s="216">
        <v>1340</v>
      </c>
      <c r="D12" s="213">
        <v>1830</v>
      </c>
      <c r="E12" s="213">
        <v>1830</v>
      </c>
      <c r="F12" s="213">
        <v>1820</v>
      </c>
      <c r="G12" s="213">
        <v>1830</v>
      </c>
      <c r="H12" s="213">
        <v>1710</v>
      </c>
      <c r="I12" s="213">
        <v>1710</v>
      </c>
      <c r="J12" s="17">
        <v>1650</v>
      </c>
      <c r="K12" s="213">
        <v>1710</v>
      </c>
      <c r="L12" s="369">
        <v>1650</v>
      </c>
      <c r="M12" s="17">
        <v>1710</v>
      </c>
      <c r="N12" s="213">
        <v>1710</v>
      </c>
      <c r="O12" s="213">
        <v>2800</v>
      </c>
      <c r="P12" s="17">
        <v>2800</v>
      </c>
      <c r="Q12" s="213">
        <v>2800</v>
      </c>
      <c r="R12" s="369">
        <v>1650</v>
      </c>
      <c r="S12" s="369">
        <v>1650</v>
      </c>
      <c r="T12" s="17">
        <v>1570</v>
      </c>
      <c r="U12" s="213"/>
      <c r="V12" s="213">
        <v>1710</v>
      </c>
      <c r="W12" s="213">
        <v>1710</v>
      </c>
      <c r="X12" s="213">
        <v>1710</v>
      </c>
      <c r="Y12" s="213">
        <v>1710</v>
      </c>
      <c r="Z12" s="213">
        <v>1710</v>
      </c>
      <c r="AA12" s="213">
        <v>1710</v>
      </c>
      <c r="AB12" s="213">
        <v>1710</v>
      </c>
      <c r="AC12" s="215">
        <v>1710</v>
      </c>
      <c r="AD12" s="17"/>
      <c r="AE12" s="222">
        <v>1820</v>
      </c>
      <c r="AF12" s="220">
        <v>1820</v>
      </c>
      <c r="AG12" s="220">
        <v>1820</v>
      </c>
      <c r="AH12" s="220">
        <v>1820</v>
      </c>
      <c r="AI12" s="220">
        <v>1820</v>
      </c>
      <c r="AJ12" s="220">
        <v>1820</v>
      </c>
      <c r="AK12" s="220">
        <v>1820</v>
      </c>
      <c r="AL12" s="220">
        <v>1820</v>
      </c>
      <c r="AM12" s="220">
        <v>1820</v>
      </c>
      <c r="AN12" s="17">
        <v>1820</v>
      </c>
      <c r="AO12" s="220">
        <v>1820</v>
      </c>
      <c r="AP12" s="220">
        <v>1820</v>
      </c>
      <c r="AQ12" s="220">
        <v>1820</v>
      </c>
      <c r="AR12" s="213">
        <v>1830</v>
      </c>
      <c r="AS12" s="213">
        <v>1830</v>
      </c>
      <c r="AT12" s="213">
        <v>1830</v>
      </c>
      <c r="AU12" s="213">
        <v>1830</v>
      </c>
      <c r="AV12" s="213">
        <v>1830</v>
      </c>
      <c r="AW12" s="220">
        <v>1820</v>
      </c>
      <c r="AX12" s="213">
        <v>2800</v>
      </c>
      <c r="AY12" s="213">
        <v>2800</v>
      </c>
      <c r="AZ12" s="213">
        <v>2800</v>
      </c>
      <c r="BA12" s="213">
        <v>2800</v>
      </c>
      <c r="BB12" s="213">
        <v>2800</v>
      </c>
      <c r="BC12" s="213">
        <v>2800</v>
      </c>
      <c r="BD12" s="213">
        <v>2800</v>
      </c>
      <c r="BE12" s="213">
        <v>2800</v>
      </c>
      <c r="BF12" s="213">
        <v>2800</v>
      </c>
      <c r="BG12" s="215">
        <v>2800</v>
      </c>
      <c r="BH12" s="17"/>
      <c r="BI12" s="222">
        <v>1535</v>
      </c>
      <c r="BJ12" s="220">
        <v>1820</v>
      </c>
      <c r="BK12" s="220">
        <v>2600</v>
      </c>
      <c r="BL12" s="220">
        <v>3350</v>
      </c>
      <c r="BM12" s="220">
        <v>2600</v>
      </c>
      <c r="BN12" s="258">
        <v>3350</v>
      </c>
      <c r="BO12" s="17"/>
      <c r="BP12" s="323">
        <v>2600</v>
      </c>
      <c r="BQ12" s="17"/>
      <c r="BR12" s="224">
        <v>440</v>
      </c>
      <c r="BS12" s="226">
        <v>440</v>
      </c>
      <c r="BT12" s="213">
        <v>985</v>
      </c>
      <c r="BU12" s="220">
        <v>975</v>
      </c>
      <c r="BV12" s="213">
        <v>985</v>
      </c>
      <c r="BW12" s="213">
        <v>985</v>
      </c>
      <c r="BX12" s="213">
        <v>1340</v>
      </c>
      <c r="BY12" s="213">
        <v>1340</v>
      </c>
      <c r="BZ12" s="215">
        <v>1340</v>
      </c>
      <c r="CA12" s="13">
        <v>680</v>
      </c>
    </row>
    <row r="13" spans="1:81">
      <c r="A13" s="212" t="s">
        <v>318</v>
      </c>
      <c r="B13" s="150"/>
      <c r="C13" s="150"/>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16"/>
      <c r="AD13" s="17"/>
      <c r="AE13" s="150"/>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16"/>
      <c r="BH13" s="17"/>
      <c r="BI13" s="150"/>
      <c r="BJ13" s="17"/>
      <c r="BK13" s="17"/>
      <c r="BL13" s="17"/>
      <c r="BM13" s="17"/>
      <c r="BN13" s="116"/>
      <c r="BO13" s="17"/>
      <c r="BP13" s="165"/>
      <c r="BQ13" s="17"/>
      <c r="BR13" s="150"/>
      <c r="BS13" s="17"/>
      <c r="BT13" s="17"/>
      <c r="BU13" s="17"/>
      <c r="BV13" s="17"/>
      <c r="BW13" s="17"/>
      <c r="BX13" s="17"/>
      <c r="BY13" s="17"/>
      <c r="BZ13" s="116"/>
    </row>
    <row r="14" spans="1:81">
      <c r="A14" s="128" t="s">
        <v>463</v>
      </c>
      <c r="B14" s="150" t="s">
        <v>343</v>
      </c>
      <c r="C14" s="150"/>
      <c r="D14" s="17"/>
      <c r="E14" s="17"/>
      <c r="F14" s="3"/>
      <c r="G14" s="213">
        <v>1100</v>
      </c>
      <c r="H14" s="213">
        <v>1150</v>
      </c>
      <c r="I14" s="213">
        <v>1150</v>
      </c>
      <c r="J14" s="368">
        <v>1240</v>
      </c>
      <c r="K14" s="213">
        <v>1150</v>
      </c>
      <c r="L14" s="17"/>
      <c r="M14" s="17"/>
      <c r="N14" s="213">
        <v>1125</v>
      </c>
      <c r="O14" s="213">
        <v>2000</v>
      </c>
      <c r="P14" s="17"/>
      <c r="Q14" s="213">
        <v>2000</v>
      </c>
      <c r="R14" s="17">
        <v>1600</v>
      </c>
      <c r="S14" s="17">
        <v>1720</v>
      </c>
      <c r="T14" s="17"/>
      <c r="U14" s="213"/>
      <c r="V14" s="213">
        <v>1150</v>
      </c>
      <c r="W14" s="213">
        <v>1150</v>
      </c>
      <c r="X14" s="213">
        <v>1150</v>
      </c>
      <c r="Y14" s="213">
        <v>1125</v>
      </c>
      <c r="Z14" s="213">
        <v>1150</v>
      </c>
      <c r="AA14" s="213">
        <v>1150</v>
      </c>
      <c r="AB14" s="213">
        <v>1150</v>
      </c>
      <c r="AC14" s="215">
        <v>1100</v>
      </c>
      <c r="AD14" s="17"/>
      <c r="AE14" s="150"/>
      <c r="AF14" s="17"/>
      <c r="AG14" s="17"/>
      <c r="AH14" s="17"/>
      <c r="AI14" s="17"/>
      <c r="AJ14" s="17"/>
      <c r="AK14" s="17"/>
      <c r="AL14" s="17"/>
      <c r="AM14" s="17"/>
      <c r="AN14" s="17"/>
      <c r="AO14" s="17"/>
      <c r="AP14" s="17"/>
      <c r="AQ14" s="17"/>
      <c r="AR14" s="17"/>
      <c r="AS14" s="17"/>
      <c r="AT14" s="17"/>
      <c r="AU14" s="17"/>
      <c r="AV14" s="17"/>
      <c r="AW14" s="17"/>
      <c r="AX14" s="213">
        <v>2000</v>
      </c>
      <c r="AY14" s="213">
        <v>2000</v>
      </c>
      <c r="AZ14" s="213">
        <v>2100</v>
      </c>
      <c r="BA14" s="213">
        <v>2100</v>
      </c>
      <c r="BB14" s="213">
        <v>2000</v>
      </c>
      <c r="BC14" s="213">
        <v>2000</v>
      </c>
      <c r="BD14" s="213">
        <v>2000</v>
      </c>
      <c r="BE14" s="213">
        <v>2000</v>
      </c>
      <c r="BF14" s="213">
        <v>2000</v>
      </c>
      <c r="BG14" s="215">
        <v>2100</v>
      </c>
      <c r="BH14" s="17"/>
      <c r="BI14" s="150"/>
      <c r="BJ14" s="17"/>
      <c r="BK14" s="17">
        <v>1700</v>
      </c>
      <c r="BL14" s="17"/>
      <c r="BM14" s="17"/>
      <c r="BN14" s="116"/>
      <c r="BO14" s="17"/>
      <c r="BP14" s="165"/>
      <c r="BQ14" s="17"/>
      <c r="BR14" s="150"/>
      <c r="BS14" s="17"/>
      <c r="BT14" s="17"/>
      <c r="BU14" s="17"/>
      <c r="BV14" s="17"/>
      <c r="BW14" s="17"/>
      <c r="BX14" s="213">
        <v>600</v>
      </c>
      <c r="BY14" s="213">
        <v>600</v>
      </c>
      <c r="BZ14" s="116"/>
    </row>
    <row r="15" spans="1:81">
      <c r="A15" s="128" t="s">
        <v>326</v>
      </c>
      <c r="B15" s="150" t="s">
        <v>343</v>
      </c>
      <c r="C15" s="150"/>
      <c r="D15" s="17"/>
      <c r="E15" s="17"/>
      <c r="F15" s="3"/>
      <c r="G15" s="17"/>
      <c r="H15" s="213">
        <v>1490</v>
      </c>
      <c r="I15" s="213">
        <v>1490</v>
      </c>
      <c r="J15" s="17"/>
      <c r="K15" s="213">
        <v>1580</v>
      </c>
      <c r="L15" s="369">
        <v>1435</v>
      </c>
      <c r="M15" s="17"/>
      <c r="N15" s="213">
        <v>1360</v>
      </c>
      <c r="O15" s="17"/>
      <c r="P15" s="17"/>
      <c r="Q15" s="17"/>
      <c r="R15" s="369"/>
      <c r="S15" s="369"/>
      <c r="T15" s="17"/>
      <c r="U15" s="213"/>
      <c r="V15" s="213">
        <v>1490</v>
      </c>
      <c r="W15" s="213">
        <v>1490</v>
      </c>
      <c r="X15" s="213">
        <v>1580</v>
      </c>
      <c r="Y15" s="213">
        <v>1410</v>
      </c>
      <c r="Z15" s="213">
        <v>1490</v>
      </c>
      <c r="AA15" s="213">
        <v>1825</v>
      </c>
      <c r="AB15" s="213">
        <v>1825</v>
      </c>
      <c r="AC15" s="215">
        <v>1800</v>
      </c>
      <c r="AD15" s="17"/>
      <c r="AE15" s="150"/>
      <c r="AF15" s="17"/>
      <c r="AG15" s="17"/>
      <c r="AH15" s="17"/>
      <c r="AI15" s="17"/>
      <c r="AJ15" s="17"/>
      <c r="AK15" s="17"/>
      <c r="AL15" s="17"/>
      <c r="AM15" s="17"/>
      <c r="AN15" s="17"/>
      <c r="AO15" s="17"/>
      <c r="AP15" s="17"/>
      <c r="AQ15" s="17"/>
      <c r="AR15" s="17"/>
      <c r="AS15" s="17"/>
      <c r="AT15" s="17"/>
      <c r="AU15" s="17"/>
      <c r="AV15" s="17"/>
      <c r="AW15" s="17"/>
      <c r="AX15" s="226">
        <v>2250</v>
      </c>
      <c r="AY15" s="226">
        <v>2250</v>
      </c>
      <c r="AZ15" s="17"/>
      <c r="BA15" s="17"/>
      <c r="BB15" s="17"/>
      <c r="BC15" s="17"/>
      <c r="BD15" s="17"/>
      <c r="BE15" s="17"/>
      <c r="BF15" s="17"/>
      <c r="BG15" s="362">
        <v>2750</v>
      </c>
      <c r="BH15" s="17"/>
      <c r="BI15" s="150"/>
      <c r="BJ15" s="17"/>
      <c r="BK15" s="17"/>
      <c r="BL15" s="17"/>
      <c r="BM15" s="17"/>
      <c r="BN15" s="116"/>
      <c r="BO15" s="17"/>
      <c r="BP15" s="165"/>
      <c r="BQ15" s="17"/>
      <c r="BR15" s="150"/>
      <c r="BS15" s="17"/>
      <c r="BT15" s="17"/>
      <c r="BU15" s="17"/>
      <c r="BV15" s="17"/>
      <c r="BW15" s="17"/>
      <c r="BX15" s="17"/>
      <c r="BY15" s="17"/>
      <c r="BZ15" s="116"/>
    </row>
    <row r="16" spans="1:81">
      <c r="A16" s="128" t="s">
        <v>464</v>
      </c>
      <c r="B16" s="150" t="s">
        <v>343</v>
      </c>
      <c r="C16" s="216">
        <v>570</v>
      </c>
      <c r="D16" s="213">
        <v>850</v>
      </c>
      <c r="E16" s="213">
        <v>900</v>
      </c>
      <c r="F16" s="370">
        <v>900</v>
      </c>
      <c r="G16" s="213">
        <v>950</v>
      </c>
      <c r="H16" s="17"/>
      <c r="I16" s="17"/>
      <c r="J16" s="17"/>
      <c r="K16" s="17"/>
      <c r="L16" s="17"/>
      <c r="M16" s="17"/>
      <c r="N16" s="17"/>
      <c r="O16" s="213">
        <v>1625</v>
      </c>
      <c r="P16" s="17"/>
      <c r="Q16" s="213">
        <v>1625</v>
      </c>
      <c r="R16" s="17"/>
      <c r="S16" s="17"/>
      <c r="T16" s="17"/>
      <c r="U16" s="17"/>
      <c r="V16" s="17"/>
      <c r="W16" s="17"/>
      <c r="X16" s="17"/>
      <c r="Y16" s="17"/>
      <c r="Z16" s="17"/>
      <c r="AA16" s="17"/>
      <c r="AB16" s="17"/>
      <c r="AC16" s="116"/>
      <c r="AD16" s="17"/>
      <c r="AE16" s="222">
        <v>850</v>
      </c>
      <c r="AF16" s="220">
        <v>850</v>
      </c>
      <c r="AG16" s="220">
        <v>850</v>
      </c>
      <c r="AH16" s="220">
        <v>1000</v>
      </c>
      <c r="AI16" s="220">
        <v>1000</v>
      </c>
      <c r="AJ16" s="220">
        <v>1000</v>
      </c>
      <c r="AK16" s="220">
        <v>1000</v>
      </c>
      <c r="AL16" s="220">
        <v>1000</v>
      </c>
      <c r="AM16" s="220">
        <v>850</v>
      </c>
      <c r="AN16" s="17">
        <v>850</v>
      </c>
      <c r="AO16" s="220">
        <v>900</v>
      </c>
      <c r="AP16" s="220">
        <v>1000</v>
      </c>
      <c r="AQ16" s="220">
        <v>900</v>
      </c>
      <c r="AR16" s="213">
        <v>1100</v>
      </c>
      <c r="AS16" s="213">
        <v>1100</v>
      </c>
      <c r="AT16" s="213">
        <v>1100</v>
      </c>
      <c r="AU16" s="213">
        <v>1100</v>
      </c>
      <c r="AV16" s="213">
        <v>1100</v>
      </c>
      <c r="AW16" s="220">
        <v>1200</v>
      </c>
      <c r="AX16" s="213">
        <v>1675</v>
      </c>
      <c r="AY16" s="213">
        <v>1675</v>
      </c>
      <c r="AZ16" s="213">
        <v>1700</v>
      </c>
      <c r="BA16" s="213">
        <v>1700</v>
      </c>
      <c r="BB16" s="213">
        <v>1675</v>
      </c>
      <c r="BC16" s="213">
        <v>1675</v>
      </c>
      <c r="BD16" s="213">
        <v>1675</v>
      </c>
      <c r="BE16" s="213">
        <v>1675</v>
      </c>
      <c r="BF16" s="213">
        <v>1675</v>
      </c>
      <c r="BG16" s="215">
        <v>1700</v>
      </c>
      <c r="BH16" s="17"/>
      <c r="BI16" s="222">
        <v>750</v>
      </c>
      <c r="BJ16" s="220">
        <v>1200</v>
      </c>
      <c r="BK16" s="220">
        <v>1500</v>
      </c>
      <c r="BL16" s="220">
        <v>2300</v>
      </c>
      <c r="BM16" s="220">
        <v>1600</v>
      </c>
      <c r="BN16" s="258">
        <v>2100</v>
      </c>
      <c r="BO16" s="17"/>
      <c r="BP16" s="323">
        <v>1600</v>
      </c>
      <c r="BQ16" s="17"/>
      <c r="BR16" s="150"/>
      <c r="BS16" s="17"/>
      <c r="BT16" s="213">
        <v>440</v>
      </c>
      <c r="BU16" s="220">
        <v>400</v>
      </c>
      <c r="BV16" s="213">
        <v>450</v>
      </c>
      <c r="BW16" s="213">
        <v>450</v>
      </c>
      <c r="BX16" s="213">
        <v>550</v>
      </c>
      <c r="BY16" s="213">
        <v>550</v>
      </c>
      <c r="BZ16" s="215">
        <v>550</v>
      </c>
    </row>
    <row r="17" spans="1:80">
      <c r="A17" s="128" t="s">
        <v>319</v>
      </c>
      <c r="B17" s="150" t="s">
        <v>343</v>
      </c>
      <c r="C17" s="216">
        <v>500</v>
      </c>
      <c r="D17" s="213">
        <v>950</v>
      </c>
      <c r="E17" s="213">
        <v>1050</v>
      </c>
      <c r="F17" s="213">
        <v>1100</v>
      </c>
      <c r="G17" s="213">
        <v>1100</v>
      </c>
      <c r="H17" s="213">
        <v>1150</v>
      </c>
      <c r="I17" s="213">
        <v>1150</v>
      </c>
      <c r="J17" s="17">
        <v>1390</v>
      </c>
      <c r="K17" s="213">
        <v>1325</v>
      </c>
      <c r="L17" s="369">
        <v>1385</v>
      </c>
      <c r="M17" s="17">
        <v>1360</v>
      </c>
      <c r="N17" s="213">
        <v>1200</v>
      </c>
      <c r="O17" s="213">
        <v>2000</v>
      </c>
      <c r="P17" s="17"/>
      <c r="Q17" s="213">
        <v>2000</v>
      </c>
      <c r="R17" s="369">
        <v>1280</v>
      </c>
      <c r="S17" s="369">
        <v>1315</v>
      </c>
      <c r="T17" s="371">
        <v>700</v>
      </c>
      <c r="U17" s="213"/>
      <c r="V17" s="213">
        <v>1150</v>
      </c>
      <c r="W17" s="213">
        <v>1150</v>
      </c>
      <c r="X17" s="213">
        <v>1325</v>
      </c>
      <c r="Y17" s="213">
        <v>1200</v>
      </c>
      <c r="Z17" s="213">
        <v>1150</v>
      </c>
      <c r="AA17" s="213">
        <v>1325</v>
      </c>
      <c r="AB17" s="213">
        <v>1325</v>
      </c>
      <c r="AC17" s="215">
        <v>1325</v>
      </c>
      <c r="AD17" s="17"/>
      <c r="AE17" s="222">
        <v>950</v>
      </c>
      <c r="AF17" s="220">
        <v>950</v>
      </c>
      <c r="AG17" s="220">
        <v>950</v>
      </c>
      <c r="AH17" s="220">
        <v>1200</v>
      </c>
      <c r="AI17" s="220">
        <v>1200</v>
      </c>
      <c r="AJ17" s="220">
        <v>1200</v>
      </c>
      <c r="AK17" s="220">
        <v>1200</v>
      </c>
      <c r="AL17" s="220">
        <v>1200</v>
      </c>
      <c r="AM17" s="220">
        <v>950</v>
      </c>
      <c r="AN17" s="17">
        <v>950</v>
      </c>
      <c r="AO17" s="220">
        <v>1100</v>
      </c>
      <c r="AP17" s="220">
        <v>1200</v>
      </c>
      <c r="AQ17" s="220">
        <v>1100</v>
      </c>
      <c r="AR17" s="213">
        <v>1200</v>
      </c>
      <c r="AS17" s="213">
        <v>1200</v>
      </c>
      <c r="AT17" s="213">
        <v>1200</v>
      </c>
      <c r="AU17" s="213">
        <v>1200</v>
      </c>
      <c r="AV17" s="213">
        <v>1200</v>
      </c>
      <c r="AW17" s="220">
        <v>1300</v>
      </c>
      <c r="AX17" s="213">
        <v>2000</v>
      </c>
      <c r="AY17" s="213">
        <v>2000</v>
      </c>
      <c r="AZ17" s="213">
        <v>2100</v>
      </c>
      <c r="BA17" s="213">
        <v>2100</v>
      </c>
      <c r="BB17" s="213">
        <v>2000</v>
      </c>
      <c r="BC17" s="213">
        <v>2000</v>
      </c>
      <c r="BD17" s="213">
        <v>2000</v>
      </c>
      <c r="BE17" s="213">
        <v>2000</v>
      </c>
      <c r="BF17" s="213">
        <v>2000</v>
      </c>
      <c r="BG17" s="215">
        <v>2100</v>
      </c>
      <c r="BH17" s="17"/>
      <c r="BI17" s="222">
        <v>825</v>
      </c>
      <c r="BJ17" s="220">
        <v>1300</v>
      </c>
      <c r="BK17" s="220">
        <v>1700</v>
      </c>
      <c r="BL17" s="220">
        <v>2700</v>
      </c>
      <c r="BM17" s="220">
        <v>1900</v>
      </c>
      <c r="BN17" s="258">
        <v>2500</v>
      </c>
      <c r="BO17" s="17"/>
      <c r="BP17" s="323">
        <v>1900</v>
      </c>
      <c r="BQ17" s="17"/>
      <c r="BR17" s="224">
        <v>175</v>
      </c>
      <c r="BS17" s="187">
        <v>132</v>
      </c>
      <c r="BT17" s="213">
        <v>440</v>
      </c>
      <c r="BU17" s="220">
        <v>400</v>
      </c>
      <c r="BV17" s="213">
        <v>450</v>
      </c>
      <c r="BW17" s="213">
        <v>450</v>
      </c>
      <c r="BX17" s="213">
        <v>600</v>
      </c>
      <c r="BY17" s="213">
        <v>600</v>
      </c>
      <c r="BZ17" s="215">
        <v>600</v>
      </c>
      <c r="CA17" s="97">
        <v>220</v>
      </c>
    </row>
    <row r="18" spans="1:80">
      <c r="A18" s="212" t="s">
        <v>320</v>
      </c>
      <c r="B18" s="150"/>
      <c r="C18" s="150"/>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16"/>
      <c r="AD18" s="17"/>
      <c r="AE18" s="150"/>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16"/>
      <c r="BH18" s="17"/>
      <c r="BI18" s="150"/>
      <c r="BJ18" s="17"/>
      <c r="BK18" s="17"/>
      <c r="BL18" s="17"/>
      <c r="BM18" s="17"/>
      <c r="BN18" s="116"/>
      <c r="BO18" s="17"/>
      <c r="BP18" s="165"/>
      <c r="BQ18" s="17"/>
      <c r="BR18" s="150"/>
      <c r="BS18" s="17"/>
      <c r="BT18" s="17"/>
      <c r="BU18" s="17"/>
      <c r="BW18" s="17"/>
      <c r="BX18" s="17"/>
      <c r="BY18" s="17"/>
      <c r="BZ18" s="116"/>
    </row>
    <row r="19" spans="1:80">
      <c r="A19" s="128" t="s">
        <v>276</v>
      </c>
      <c r="B19" s="150" t="s">
        <v>344</v>
      </c>
      <c r="C19" s="217">
        <f>43.25/12</f>
        <v>3.6041666666666665</v>
      </c>
      <c r="D19" s="372">
        <f>55.66/12</f>
        <v>4.6383333333333328</v>
      </c>
      <c r="E19" s="214">
        <f>59.25/12</f>
        <v>4.9375</v>
      </c>
      <c r="F19" s="213">
        <f>48.12/12</f>
        <v>4.01</v>
      </c>
      <c r="G19" s="214">
        <f>61.5/12</f>
        <v>5.125</v>
      </c>
      <c r="H19" s="17"/>
      <c r="I19" s="17"/>
      <c r="J19" s="17"/>
      <c r="K19" s="17"/>
      <c r="L19" s="17"/>
      <c r="N19" s="17"/>
      <c r="O19" s="213">
        <f>75.72/12</f>
        <v>6.31</v>
      </c>
      <c r="P19" s="17"/>
      <c r="Q19" s="213">
        <f>75.72/12</f>
        <v>6.31</v>
      </c>
      <c r="R19" s="17"/>
      <c r="S19" s="17"/>
      <c r="T19" s="17"/>
      <c r="U19" s="17"/>
      <c r="V19" s="17"/>
      <c r="W19" s="17"/>
      <c r="X19" s="17"/>
      <c r="Y19" s="17"/>
      <c r="Z19" s="17"/>
      <c r="AA19" s="17"/>
      <c r="AB19" s="17"/>
      <c r="AC19" s="116"/>
      <c r="AD19" s="17"/>
      <c r="AE19" s="223">
        <f>43.12/12</f>
        <v>3.5933333333333333</v>
      </c>
      <c r="AF19" s="221">
        <f>43.12/12</f>
        <v>3.5933333333333333</v>
      </c>
      <c r="AG19" s="221">
        <f>43.12/12</f>
        <v>3.5933333333333333</v>
      </c>
      <c r="AH19" s="221">
        <f>48.4/12</f>
        <v>4.0333333333333332</v>
      </c>
      <c r="AI19" s="221">
        <f>48.4/12</f>
        <v>4.0333333333333332</v>
      </c>
      <c r="AJ19" s="221">
        <f>48.4/12</f>
        <v>4.0333333333333332</v>
      </c>
      <c r="AK19" s="221">
        <f>48.4/12</f>
        <v>4.0333333333333332</v>
      </c>
      <c r="AL19" s="221">
        <f>48.4/12</f>
        <v>4.0333333333333332</v>
      </c>
      <c r="AM19" s="221">
        <f>43.12/12</f>
        <v>3.5933333333333333</v>
      </c>
      <c r="AN19" s="221">
        <f>43.12/12</f>
        <v>3.5933333333333333</v>
      </c>
      <c r="AO19" s="221">
        <f>48.12/12</f>
        <v>4.01</v>
      </c>
      <c r="AP19" s="221">
        <f>50.04/12</f>
        <v>4.17</v>
      </c>
      <c r="AQ19" s="221">
        <f>48.12/12</f>
        <v>4.01</v>
      </c>
      <c r="AR19" s="213">
        <f>67.44/12</f>
        <v>5.62</v>
      </c>
      <c r="AS19" s="214">
        <f>71.31/12</f>
        <v>5.9424999999999999</v>
      </c>
      <c r="AT19" s="213">
        <f t="shared" ref="AT19:AV19" si="0">67.44/12</f>
        <v>5.62</v>
      </c>
      <c r="AU19" s="213">
        <f t="shared" si="0"/>
        <v>5.62</v>
      </c>
      <c r="AV19" s="213">
        <f t="shared" si="0"/>
        <v>5.62</v>
      </c>
      <c r="AW19" s="221">
        <f>47.56/12</f>
        <v>3.9633333333333334</v>
      </c>
      <c r="AX19" s="214">
        <f>93.77/12</f>
        <v>7.814166666666666</v>
      </c>
      <c r="AY19" s="214">
        <f>93.77/12</f>
        <v>7.814166666666666</v>
      </c>
      <c r="AZ19" s="214">
        <f>93.77/12</f>
        <v>7.814166666666666</v>
      </c>
      <c r="BA19" s="214">
        <f>93.77/12</f>
        <v>7.814166666666666</v>
      </c>
      <c r="BB19" s="214">
        <f t="shared" ref="BB19:BF19" si="1">88.47/12</f>
        <v>7.3724999999999996</v>
      </c>
      <c r="BC19" s="214">
        <f t="shared" si="1"/>
        <v>7.3724999999999996</v>
      </c>
      <c r="BD19" s="214">
        <f t="shared" si="1"/>
        <v>7.3724999999999996</v>
      </c>
      <c r="BE19" s="214">
        <f>88.47/12</f>
        <v>7.3724999999999996</v>
      </c>
      <c r="BF19" s="214">
        <f t="shared" si="1"/>
        <v>7.3724999999999996</v>
      </c>
      <c r="BG19" s="219">
        <f>78.134/12</f>
        <v>6.511166666666667</v>
      </c>
      <c r="BH19" s="17"/>
      <c r="BI19" s="223">
        <f>53.25/12</f>
        <v>4.4375</v>
      </c>
      <c r="BJ19" s="221">
        <f>47.56/12</f>
        <v>3.9633333333333334</v>
      </c>
      <c r="BK19" s="221">
        <f>63.1/12</f>
        <v>5.2583333333333337</v>
      </c>
      <c r="BL19" s="221">
        <f>80.58/12</f>
        <v>6.7149999999999999</v>
      </c>
      <c r="BM19" s="221">
        <f>66.08/12</f>
        <v>5.5066666666666668</v>
      </c>
      <c r="BN19" s="331">
        <f>80.58/12</f>
        <v>6.7149999999999999</v>
      </c>
      <c r="BO19" s="17"/>
      <c r="BP19" s="324">
        <f>66.08/12</f>
        <v>5.5066666666666668</v>
      </c>
      <c r="BQ19" s="17"/>
      <c r="BR19" s="225">
        <f>53.156/12</f>
        <v>4.4296666666666669</v>
      </c>
      <c r="BS19" s="17"/>
      <c r="BT19" s="17"/>
      <c r="BU19" s="220">
        <f>42.48/12</f>
        <v>3.5399999999999996</v>
      </c>
      <c r="BV19" s="393">
        <f>46.25/12</f>
        <v>3.8541666666666665</v>
      </c>
      <c r="BW19" s="213">
        <f>42.36/12</f>
        <v>3.53</v>
      </c>
      <c r="BX19" s="214">
        <f>42.94/12</f>
        <v>3.5783333333333331</v>
      </c>
      <c r="BY19" s="214">
        <f>42.94/12</f>
        <v>3.5783333333333331</v>
      </c>
      <c r="BZ19" s="219">
        <f>48/12</f>
        <v>4</v>
      </c>
      <c r="CA19" s="97"/>
    </row>
    <row r="20" spans="1:80">
      <c r="A20" s="128" t="s">
        <v>465</v>
      </c>
      <c r="B20" s="150" t="s">
        <v>344</v>
      </c>
      <c r="C20" s="217">
        <f>51.5/12</f>
        <v>4.291666666666667</v>
      </c>
      <c r="D20" s="213">
        <f>48/12</f>
        <v>4</v>
      </c>
      <c r="E20" s="213">
        <f>48.06/12</f>
        <v>4.0049999999999999</v>
      </c>
      <c r="F20" s="214">
        <f>55.1/12</f>
        <v>4.5916666666666668</v>
      </c>
      <c r="G20" s="214">
        <f>48.13/12</f>
        <v>4.0108333333333333</v>
      </c>
      <c r="H20" s="17"/>
      <c r="I20" s="17"/>
      <c r="J20" s="17"/>
      <c r="K20" s="17"/>
      <c r="L20" s="17"/>
      <c r="N20" s="17"/>
      <c r="O20" s="213">
        <f>52.5/12</f>
        <v>4.375</v>
      </c>
      <c r="P20" s="17"/>
      <c r="Q20" s="213">
        <f>52.5/12</f>
        <v>4.375</v>
      </c>
      <c r="R20" s="17"/>
      <c r="S20" s="17"/>
      <c r="T20" s="17"/>
      <c r="U20" s="17"/>
      <c r="V20" s="17"/>
      <c r="W20" s="17"/>
      <c r="X20" s="17"/>
      <c r="Y20" s="17"/>
      <c r="Z20" s="17"/>
      <c r="AA20" s="17"/>
      <c r="AB20" s="17"/>
      <c r="AC20" s="116"/>
      <c r="AD20" s="17"/>
      <c r="AE20" s="223">
        <f>54.25/12</f>
        <v>4.520833333333333</v>
      </c>
      <c r="AF20" s="221">
        <f>54.24/12</f>
        <v>4.5200000000000005</v>
      </c>
      <c r="AG20" s="221">
        <f>54.24/12</f>
        <v>4.5200000000000005</v>
      </c>
      <c r="AH20" s="221">
        <f>55.12/12</f>
        <v>4.5933333333333328</v>
      </c>
      <c r="AI20" s="221">
        <f>55.12/12</f>
        <v>4.5933333333333328</v>
      </c>
      <c r="AJ20" s="221">
        <f>55.12/12</f>
        <v>4.5933333333333328</v>
      </c>
      <c r="AK20" s="221">
        <f>55.12/12</f>
        <v>4.5933333333333328</v>
      </c>
      <c r="AL20" s="221">
        <f>55.12/12</f>
        <v>4.5933333333333328</v>
      </c>
      <c r="AM20" s="221">
        <f>54.24/12</f>
        <v>4.5200000000000005</v>
      </c>
      <c r="AN20" s="221">
        <f>54.24/12</f>
        <v>4.5200000000000005</v>
      </c>
      <c r="AO20" s="221">
        <f>55.1/12</f>
        <v>4.5916666666666668</v>
      </c>
      <c r="AP20" s="221">
        <f>55.1/12</f>
        <v>4.5916666666666668</v>
      </c>
      <c r="AQ20" s="221">
        <f>55.1/12</f>
        <v>4.5916666666666668</v>
      </c>
      <c r="AR20" s="214">
        <f>48.19/12</f>
        <v>4.0158333333333331</v>
      </c>
      <c r="AS20" s="214">
        <f>48.06/12</f>
        <v>4.0049999999999999</v>
      </c>
      <c r="AT20" s="214">
        <f t="shared" ref="AT20:AV20" si="2">48.19/12</f>
        <v>4.0158333333333331</v>
      </c>
      <c r="AU20" s="214">
        <f t="shared" si="2"/>
        <v>4.0158333333333331</v>
      </c>
      <c r="AV20" s="214">
        <f t="shared" si="2"/>
        <v>4.0158333333333331</v>
      </c>
      <c r="AW20" s="221">
        <f>55.12/12</f>
        <v>4.5933333333333328</v>
      </c>
      <c r="AX20" s="213">
        <f>52.8/12</f>
        <v>4.3999999999999995</v>
      </c>
      <c r="AY20" s="213">
        <f>52.8/12</f>
        <v>4.3999999999999995</v>
      </c>
      <c r="AZ20" s="213">
        <f>52.8/12</f>
        <v>4.3999999999999995</v>
      </c>
      <c r="BA20" s="213">
        <f>52.8/12</f>
        <v>4.3999999999999995</v>
      </c>
      <c r="BB20" s="213">
        <f t="shared" ref="BB20:BF20" si="3">52.5/12</f>
        <v>4.375</v>
      </c>
      <c r="BC20" s="213">
        <f t="shared" si="3"/>
        <v>4.375</v>
      </c>
      <c r="BD20" s="213">
        <f t="shared" si="3"/>
        <v>4.375</v>
      </c>
      <c r="BE20" s="213">
        <f>52.5/12</f>
        <v>4.375</v>
      </c>
      <c r="BF20" s="213">
        <f t="shared" si="3"/>
        <v>4.375</v>
      </c>
      <c r="BG20" s="215">
        <f>52.8/12</f>
        <v>4.3999999999999995</v>
      </c>
      <c r="BH20" s="17"/>
      <c r="BI20" s="223">
        <f>44.13/12</f>
        <v>3.6775000000000002</v>
      </c>
      <c r="BJ20" s="221">
        <f>55.12/12</f>
        <v>4.5933333333333328</v>
      </c>
      <c r="BK20" s="221">
        <f>54.26/12</f>
        <v>4.5216666666666665</v>
      </c>
      <c r="BL20" s="221">
        <f>54.13/12</f>
        <v>4.5108333333333333</v>
      </c>
      <c r="BM20" s="221">
        <f>54.08/12</f>
        <v>4.5066666666666668</v>
      </c>
      <c r="BN20" s="331">
        <f>54.13/12</f>
        <v>4.5108333333333333</v>
      </c>
      <c r="BO20" s="17"/>
      <c r="BP20" s="324">
        <f>54.08/12</f>
        <v>4.5066666666666668</v>
      </c>
      <c r="BQ20" s="17"/>
      <c r="BR20" s="225">
        <f>21.954/12</f>
        <v>1.8295000000000001</v>
      </c>
      <c r="BS20" s="17"/>
      <c r="BT20" s="17"/>
      <c r="BU20" s="220">
        <f>45/12</f>
        <v>3.75</v>
      </c>
      <c r="BV20" s="393">
        <f>43.05/12</f>
        <v>3.5874999999999999</v>
      </c>
      <c r="BW20" s="214">
        <f>45.75/12</f>
        <v>3.8125</v>
      </c>
      <c r="BX20" s="214">
        <f>51.44/12</f>
        <v>4.2866666666666662</v>
      </c>
      <c r="BY20" s="214">
        <f>51.44/12</f>
        <v>4.2866666666666662</v>
      </c>
      <c r="BZ20" s="219">
        <f>52/12</f>
        <v>4.333333333333333</v>
      </c>
    </row>
    <row r="21" spans="1:80">
      <c r="A21" s="128" t="s">
        <v>466</v>
      </c>
      <c r="B21" s="150" t="s">
        <v>344</v>
      </c>
      <c r="C21" s="180"/>
      <c r="D21" s="17"/>
      <c r="E21" s="17"/>
      <c r="F21" s="17"/>
      <c r="H21" s="17"/>
      <c r="I21" s="17"/>
      <c r="J21" s="17"/>
      <c r="K21" s="17"/>
      <c r="L21" s="17"/>
      <c r="M21" s="17"/>
      <c r="N21" s="17"/>
      <c r="O21" s="17"/>
      <c r="P21" s="17"/>
      <c r="Q21" s="17"/>
      <c r="R21" s="17"/>
      <c r="S21" s="17"/>
      <c r="T21" s="17"/>
      <c r="U21" s="17"/>
      <c r="V21" s="17"/>
      <c r="W21" s="17"/>
      <c r="X21" s="17"/>
      <c r="Y21" s="17"/>
      <c r="Z21" s="17"/>
      <c r="AA21" s="17"/>
      <c r="AB21" s="17"/>
      <c r="AC21" s="116"/>
      <c r="AD21" s="17"/>
      <c r="AE21" s="150"/>
      <c r="AF21" s="17"/>
      <c r="AG21" s="17"/>
      <c r="AH21" s="17"/>
      <c r="AI21" s="17"/>
      <c r="AJ21" s="17"/>
      <c r="AK21" s="17"/>
      <c r="AL21" s="17"/>
      <c r="AM21" s="17"/>
      <c r="AN21" s="17"/>
      <c r="AO21" s="17"/>
      <c r="AP21" s="17"/>
      <c r="AQ21" s="17"/>
      <c r="AR21" s="17"/>
      <c r="AS21" s="17"/>
      <c r="AT21" s="17"/>
      <c r="AU21" s="17"/>
      <c r="AV21" s="17"/>
      <c r="AW21" s="17"/>
      <c r="BG21" s="116"/>
      <c r="BH21" s="17"/>
      <c r="BI21" s="150"/>
      <c r="BJ21" s="17"/>
      <c r="BK21" s="17"/>
      <c r="BL21" s="17"/>
      <c r="BM21" s="17"/>
      <c r="BN21" s="116"/>
      <c r="BO21" s="17"/>
      <c r="BP21" s="165"/>
      <c r="BQ21" s="17"/>
      <c r="BR21" s="225">
        <f>33.5/12</f>
        <v>2.7916666666666665</v>
      </c>
      <c r="BS21" s="17"/>
      <c r="BT21" s="17"/>
      <c r="BU21" s="17"/>
      <c r="BW21" s="17"/>
      <c r="BX21" s="17"/>
      <c r="BY21" s="17"/>
      <c r="BZ21" s="116"/>
    </row>
    <row r="22" spans="1:80" hidden="1">
      <c r="A22" s="128" t="s">
        <v>449</v>
      </c>
      <c r="B22" s="150" t="s">
        <v>375</v>
      </c>
      <c r="C22" s="180">
        <f>C19*C20^2</f>
        <v>66.382993344907405</v>
      </c>
      <c r="D22" s="48">
        <f t="shared" ref="D22:BR22" si="4">D19*D20^2</f>
        <v>74.213333333333324</v>
      </c>
      <c r="E22" s="48">
        <f t="shared" si="4"/>
        <v>79.197623437499999</v>
      </c>
      <c r="F22" s="48">
        <f t="shared" si="4"/>
        <v>84.544445138888889</v>
      </c>
      <c r="G22" s="211">
        <f t="shared" si="4"/>
        <v>82.444768142361113</v>
      </c>
      <c r="H22" s="17"/>
      <c r="I22" s="17"/>
      <c r="J22" s="17"/>
      <c r="K22" s="17"/>
      <c r="L22" s="17"/>
      <c r="M22" s="17"/>
      <c r="N22" s="17"/>
      <c r="O22" s="48">
        <f t="shared" si="4"/>
        <v>120.77734374999999</v>
      </c>
      <c r="P22" s="17"/>
      <c r="Q22" s="48">
        <f t="shared" si="4"/>
        <v>120.77734374999999</v>
      </c>
      <c r="R22" s="17"/>
      <c r="S22" s="17"/>
      <c r="T22" s="17"/>
      <c r="U22" s="17"/>
      <c r="V22" s="17"/>
      <c r="W22" s="17"/>
      <c r="X22" s="17"/>
      <c r="Y22" s="17"/>
      <c r="Z22" s="17"/>
      <c r="AA22" s="17"/>
      <c r="AB22" s="17"/>
      <c r="AC22" s="116"/>
      <c r="AD22" s="17"/>
      <c r="AE22" s="180"/>
      <c r="AF22" s="48">
        <f t="shared" si="4"/>
        <v>73.413237333333356</v>
      </c>
      <c r="AG22" s="48">
        <f t="shared" si="4"/>
        <v>73.413237333333356</v>
      </c>
      <c r="AH22" s="48">
        <f t="shared" si="4"/>
        <v>85.098134814814799</v>
      </c>
      <c r="AI22" s="48">
        <f t="shared" si="4"/>
        <v>85.098134814814799</v>
      </c>
      <c r="AJ22" s="48">
        <f t="shared" si="4"/>
        <v>85.098134814814799</v>
      </c>
      <c r="AK22" s="48">
        <f t="shared" si="4"/>
        <v>85.098134814814799</v>
      </c>
      <c r="AL22" s="48">
        <f t="shared" si="4"/>
        <v>85.098134814814799</v>
      </c>
      <c r="AM22" s="48">
        <f t="shared" si="4"/>
        <v>73.413237333333356</v>
      </c>
      <c r="AN22" s="48">
        <f t="shared" ref="AN22" si="5">AN19*AN20^2</f>
        <v>73.413237333333356</v>
      </c>
      <c r="AO22" s="48">
        <f t="shared" si="4"/>
        <v>84.544445138888889</v>
      </c>
      <c r="AP22" s="48">
        <f t="shared" si="4"/>
        <v>87.917789583333331</v>
      </c>
      <c r="AQ22" s="48">
        <f t="shared" si="4"/>
        <v>84.544445138888889</v>
      </c>
      <c r="AR22" s="48">
        <f t="shared" si="4"/>
        <v>90.633275569444422</v>
      </c>
      <c r="AS22" s="48">
        <f t="shared" si="4"/>
        <v>95.317848562500004</v>
      </c>
      <c r="AT22" s="48">
        <f t="shared" si="4"/>
        <v>90.633275569444422</v>
      </c>
      <c r="AU22" s="48">
        <f t="shared" si="4"/>
        <v>90.633275569444422</v>
      </c>
      <c r="AV22" s="48">
        <f t="shared" si="4"/>
        <v>90.633275569444422</v>
      </c>
      <c r="AW22" s="48">
        <f t="shared" si="4"/>
        <v>83.621225037037021</v>
      </c>
      <c r="AX22" s="48">
        <f t="shared" si="4"/>
        <v>151.28226666666663</v>
      </c>
      <c r="AY22" s="48">
        <f t="shared" si="4"/>
        <v>151.28226666666663</v>
      </c>
      <c r="AZ22" s="48">
        <f t="shared" si="4"/>
        <v>151.28226666666663</v>
      </c>
      <c r="BA22" s="48">
        <f t="shared" si="4"/>
        <v>151.28226666666663</v>
      </c>
      <c r="BB22" s="48">
        <f t="shared" si="4"/>
        <v>141.1142578125</v>
      </c>
      <c r="BC22" s="48">
        <f t="shared" si="4"/>
        <v>141.1142578125</v>
      </c>
      <c r="BD22" s="48">
        <f t="shared" si="4"/>
        <v>141.1142578125</v>
      </c>
      <c r="BE22" s="48">
        <f t="shared" si="4"/>
        <v>141.1142578125</v>
      </c>
      <c r="BF22" s="48">
        <f t="shared" si="4"/>
        <v>141.1142578125</v>
      </c>
      <c r="BG22" s="204">
        <f t="shared" si="4"/>
        <v>126.05618666666665</v>
      </c>
      <c r="BH22" s="17"/>
      <c r="BI22" s="180">
        <f t="shared" si="4"/>
        <v>60.012777734375007</v>
      </c>
      <c r="BJ22" s="48">
        <f t="shared" si="4"/>
        <v>83.621225037037021</v>
      </c>
      <c r="BK22" s="48"/>
      <c r="BL22" s="48">
        <f t="shared" si="4"/>
        <v>136.63425057986109</v>
      </c>
      <c r="BM22" s="48">
        <f t="shared" si="4"/>
        <v>111.84064474074076</v>
      </c>
      <c r="BN22" s="204">
        <f t="shared" si="4"/>
        <v>136.63425057986109</v>
      </c>
      <c r="BO22" s="48"/>
      <c r="BP22" s="325">
        <f t="shared" si="4"/>
        <v>111.84064474074076</v>
      </c>
      <c r="BQ22" s="17"/>
      <c r="BR22" s="180">
        <f t="shared" si="4"/>
        <v>14.826405517416669</v>
      </c>
      <c r="BS22" s="48"/>
      <c r="BT22" s="48"/>
      <c r="BU22" s="48">
        <f t="shared" ref="BU22:BZ22" si="6">BU19*BU20^2</f>
        <v>49.781249999999993</v>
      </c>
      <c r="BW22" s="48">
        <f t="shared" si="6"/>
        <v>51.309101562499997</v>
      </c>
      <c r="BX22" s="48">
        <f t="shared" si="6"/>
        <v>65.753703925925905</v>
      </c>
      <c r="BY22" s="48">
        <f t="shared" si="6"/>
        <v>65.753703925925905</v>
      </c>
      <c r="BZ22" s="204">
        <f t="shared" si="6"/>
        <v>75.1111111111111</v>
      </c>
    </row>
    <row r="23" spans="1:80">
      <c r="A23" s="128" t="s">
        <v>381</v>
      </c>
      <c r="B23" s="150" t="s">
        <v>345</v>
      </c>
      <c r="C23" s="218">
        <v>715</v>
      </c>
      <c r="D23" s="213">
        <v>1292</v>
      </c>
      <c r="E23" s="213">
        <v>1292</v>
      </c>
      <c r="F23" s="213">
        <v>1287</v>
      </c>
      <c r="G23" s="373">
        <v>1463</v>
      </c>
      <c r="H23" s="213">
        <v>1310</v>
      </c>
      <c r="I23" s="213">
        <v>1310</v>
      </c>
      <c r="J23" s="17"/>
      <c r="K23" s="213">
        <v>1345</v>
      </c>
      <c r="L23" s="369">
        <v>1510</v>
      </c>
      <c r="M23" s="17"/>
      <c r="N23" s="213">
        <v>1355</v>
      </c>
      <c r="O23" s="213">
        <v>2265</v>
      </c>
      <c r="P23" s="17"/>
      <c r="Q23" s="213">
        <v>2290</v>
      </c>
      <c r="R23" s="369">
        <v>1700</v>
      </c>
      <c r="S23" s="369">
        <v>1715</v>
      </c>
      <c r="T23" s="371">
        <v>1040.76</v>
      </c>
      <c r="U23" s="213"/>
      <c r="V23" s="213">
        <v>1375</v>
      </c>
      <c r="W23" s="213">
        <v>1375</v>
      </c>
      <c r="X23" s="213">
        <v>1435</v>
      </c>
      <c r="Y23" s="213">
        <v>1452</v>
      </c>
      <c r="Z23" s="213">
        <v>1375</v>
      </c>
      <c r="AA23" s="213">
        <v>1613</v>
      </c>
      <c r="AB23" s="213">
        <v>1613</v>
      </c>
      <c r="AC23" s="215">
        <v>1660</v>
      </c>
      <c r="AD23" s="17"/>
      <c r="AE23" s="222">
        <v>1105</v>
      </c>
      <c r="AF23" s="220">
        <v>1114</v>
      </c>
      <c r="AG23" s="220">
        <v>1114</v>
      </c>
      <c r="AH23" s="220">
        <v>1315</v>
      </c>
      <c r="AI23" s="220">
        <v>1315</v>
      </c>
      <c r="AJ23" s="220">
        <v>1315</v>
      </c>
      <c r="AK23" s="220">
        <v>1315</v>
      </c>
      <c r="AL23" s="220">
        <v>1315</v>
      </c>
      <c r="AM23" s="220">
        <v>1114</v>
      </c>
      <c r="AN23" s="220">
        <v>1115</v>
      </c>
      <c r="AO23" s="220">
        <v>1272</v>
      </c>
      <c r="AP23" s="220">
        <v>1302</v>
      </c>
      <c r="AQ23" s="220">
        <v>1272</v>
      </c>
      <c r="AR23" s="213">
        <v>1560</v>
      </c>
      <c r="AS23" s="213">
        <v>1550</v>
      </c>
      <c r="AT23" s="213">
        <v>1560</v>
      </c>
      <c r="AU23" s="213">
        <v>1560</v>
      </c>
      <c r="AV23" s="213">
        <v>1560</v>
      </c>
      <c r="AW23" s="220">
        <v>1333</v>
      </c>
      <c r="AX23" s="213">
        <v>2560</v>
      </c>
      <c r="AY23" s="213">
        <v>2560</v>
      </c>
      <c r="AZ23" s="213">
        <v>2560</v>
      </c>
      <c r="BA23" s="213">
        <v>2560</v>
      </c>
      <c r="BB23" s="213">
        <v>2460</v>
      </c>
      <c r="BC23" s="213">
        <v>2460</v>
      </c>
      <c r="BD23" s="213">
        <v>2460</v>
      </c>
      <c r="BE23" s="213">
        <v>2460</v>
      </c>
      <c r="BF23" s="213">
        <v>2460</v>
      </c>
      <c r="BG23" s="215">
        <v>2359</v>
      </c>
      <c r="BH23" s="17"/>
      <c r="BI23" s="222">
        <v>1130</v>
      </c>
      <c r="BJ23" s="220">
        <v>1333</v>
      </c>
      <c r="BK23" s="220">
        <v>1978.5</v>
      </c>
      <c r="BL23" s="220">
        <v>2822</v>
      </c>
      <c r="BM23" s="220">
        <v>2045</v>
      </c>
      <c r="BN23" s="258">
        <v>2822</v>
      </c>
      <c r="BO23" s="17"/>
      <c r="BP23" s="323">
        <v>2045</v>
      </c>
      <c r="BQ23" s="17"/>
      <c r="BR23" s="224">
        <v>376</v>
      </c>
      <c r="BS23" s="17"/>
      <c r="BT23" s="17"/>
      <c r="BU23" s="220">
        <v>695</v>
      </c>
      <c r="BV23" s="370">
        <v>674</v>
      </c>
      <c r="BW23" s="213">
        <v>665</v>
      </c>
      <c r="BX23" s="213">
        <v>854</v>
      </c>
      <c r="BY23" s="213">
        <v>854</v>
      </c>
      <c r="BZ23" s="215">
        <v>865</v>
      </c>
      <c r="CB23" s="3">
        <v>878</v>
      </c>
    </row>
    <row r="24" spans="1:80">
      <c r="A24" s="127" t="s">
        <v>148</v>
      </c>
      <c r="B24" s="150"/>
      <c r="C24" s="150"/>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16"/>
      <c r="AD24" s="17"/>
      <c r="AE24" s="150"/>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16"/>
      <c r="BH24" s="17"/>
      <c r="BI24" s="150"/>
      <c r="BJ24" s="17"/>
      <c r="BK24" s="17"/>
      <c r="BL24" s="17"/>
      <c r="BM24" s="17"/>
      <c r="BN24" s="116"/>
      <c r="BO24" s="17"/>
      <c r="BP24" s="165"/>
      <c r="BQ24" s="17"/>
      <c r="BR24" s="150"/>
      <c r="BS24" s="17"/>
      <c r="BT24" s="17"/>
      <c r="BU24" s="17"/>
      <c r="BW24" s="17"/>
      <c r="BX24" s="17"/>
      <c r="BY24" s="17"/>
      <c r="BZ24" s="116"/>
      <c r="CA24" s="97"/>
    </row>
    <row r="25" spans="1:80">
      <c r="A25" s="128" t="s">
        <v>155</v>
      </c>
      <c r="B25" s="150"/>
      <c r="C25" s="150">
        <v>2</v>
      </c>
      <c r="D25" s="17">
        <v>3</v>
      </c>
      <c r="E25" s="109">
        <v>3</v>
      </c>
      <c r="F25" s="109">
        <v>3</v>
      </c>
      <c r="G25" s="109">
        <v>3</v>
      </c>
      <c r="H25" s="368">
        <v>3</v>
      </c>
      <c r="I25" s="368">
        <v>3</v>
      </c>
      <c r="J25" s="368">
        <v>3</v>
      </c>
      <c r="K25" s="368">
        <v>3</v>
      </c>
      <c r="L25" s="368">
        <v>3</v>
      </c>
      <c r="M25" s="368">
        <v>3</v>
      </c>
      <c r="N25" s="368">
        <v>3</v>
      </c>
      <c r="O25" s="17">
        <v>4</v>
      </c>
      <c r="P25" s="17">
        <v>4</v>
      </c>
      <c r="Q25" s="17">
        <v>4</v>
      </c>
      <c r="R25" s="17">
        <v>4</v>
      </c>
      <c r="S25" s="90">
        <v>4</v>
      </c>
      <c r="T25" s="182">
        <v>3</v>
      </c>
      <c r="U25" s="17"/>
      <c r="V25" s="17">
        <v>3</v>
      </c>
      <c r="W25" s="17">
        <v>3</v>
      </c>
      <c r="X25" s="17">
        <v>3</v>
      </c>
      <c r="Y25" s="17">
        <v>3</v>
      </c>
      <c r="Z25" s="17">
        <v>3</v>
      </c>
      <c r="AA25" s="17">
        <v>4</v>
      </c>
      <c r="AB25" s="17">
        <v>4</v>
      </c>
      <c r="AC25" s="116">
        <v>4</v>
      </c>
      <c r="AD25" s="17"/>
      <c r="AE25" s="185">
        <v>3</v>
      </c>
      <c r="AF25" s="109">
        <v>3</v>
      </c>
      <c r="AG25" s="109">
        <v>3</v>
      </c>
      <c r="AH25" s="109">
        <v>3</v>
      </c>
      <c r="AI25" s="109">
        <v>3</v>
      </c>
      <c r="AJ25" s="109">
        <v>3</v>
      </c>
      <c r="AK25" s="109">
        <v>3</v>
      </c>
      <c r="AL25" s="109">
        <v>3</v>
      </c>
      <c r="AM25" s="109">
        <v>3</v>
      </c>
      <c r="AN25" s="17">
        <v>3</v>
      </c>
      <c r="AO25" s="109">
        <v>3</v>
      </c>
      <c r="AP25" s="109">
        <v>3</v>
      </c>
      <c r="AQ25" s="109">
        <v>3</v>
      </c>
      <c r="AR25" s="109">
        <v>3</v>
      </c>
      <c r="AS25" s="109">
        <v>3</v>
      </c>
      <c r="AT25" s="109">
        <v>3</v>
      </c>
      <c r="AU25" s="109">
        <v>3</v>
      </c>
      <c r="AV25" s="109">
        <v>3</v>
      </c>
      <c r="AW25" s="17">
        <v>3</v>
      </c>
      <c r="AX25" s="109">
        <v>3</v>
      </c>
      <c r="AY25" s="109">
        <v>3</v>
      </c>
      <c r="AZ25" s="17">
        <v>4</v>
      </c>
      <c r="BA25" s="109">
        <v>4</v>
      </c>
      <c r="BB25" s="17">
        <v>3</v>
      </c>
      <c r="BC25" s="109">
        <v>3</v>
      </c>
      <c r="BD25" s="17">
        <v>3</v>
      </c>
      <c r="BE25" s="17">
        <v>3</v>
      </c>
      <c r="BF25" s="17">
        <v>3</v>
      </c>
      <c r="BG25" s="362">
        <v>4</v>
      </c>
      <c r="BH25" s="17"/>
      <c r="BI25" s="150">
        <v>3</v>
      </c>
      <c r="BJ25" s="17">
        <v>3</v>
      </c>
      <c r="BK25" s="17">
        <v>3</v>
      </c>
      <c r="BL25" s="17">
        <v>4</v>
      </c>
      <c r="BM25" s="17">
        <v>4</v>
      </c>
      <c r="BN25" s="116">
        <v>4</v>
      </c>
      <c r="BO25" s="17"/>
      <c r="BP25" s="165">
        <v>3</v>
      </c>
      <c r="BQ25" s="17"/>
      <c r="BR25" s="150">
        <v>2</v>
      </c>
      <c r="BS25" s="17">
        <v>2</v>
      </c>
      <c r="BT25" s="17">
        <v>2</v>
      </c>
      <c r="BU25" s="17">
        <v>2</v>
      </c>
      <c r="BV25" s="13">
        <v>2</v>
      </c>
      <c r="BW25" s="17">
        <v>2</v>
      </c>
      <c r="BX25" s="17">
        <v>2</v>
      </c>
      <c r="BY25" s="226">
        <v>2</v>
      </c>
      <c r="BZ25" s="362">
        <v>2</v>
      </c>
      <c r="CA25" s="97">
        <v>2</v>
      </c>
    </row>
    <row r="26" spans="1:80">
      <c r="A26" s="128" t="s">
        <v>149</v>
      </c>
      <c r="B26" s="150" t="s">
        <v>344</v>
      </c>
      <c r="C26" s="180"/>
      <c r="D26" s="17"/>
      <c r="E26" s="182">
        <v>10</v>
      </c>
      <c r="F26" s="109">
        <v>10.5</v>
      </c>
      <c r="G26" s="109">
        <f>10+1.5/12</f>
        <v>10.125</v>
      </c>
      <c r="H26" s="368">
        <v>11</v>
      </c>
      <c r="I26" s="368">
        <v>11</v>
      </c>
      <c r="J26" s="368">
        <v>11</v>
      </c>
      <c r="K26" s="368">
        <v>11</v>
      </c>
      <c r="L26" s="368">
        <v>11</v>
      </c>
      <c r="M26" s="368">
        <v>11</v>
      </c>
      <c r="N26" s="368">
        <v>11</v>
      </c>
      <c r="O26" s="356">
        <v>13</v>
      </c>
      <c r="P26" s="356">
        <v>13</v>
      </c>
      <c r="Q26" s="356">
        <v>13</v>
      </c>
      <c r="R26" s="358">
        <f>11+2/12</f>
        <v>11.166666666666666</v>
      </c>
      <c r="S26" s="358">
        <f>11+2/12</f>
        <v>11.166666666666666</v>
      </c>
      <c r="T26" s="17"/>
      <c r="U26" s="17"/>
      <c r="V26" s="356">
        <f>10+4.5/12</f>
        <v>10.375</v>
      </c>
      <c r="W26" s="356">
        <f>10+4.5/12</f>
        <v>10.375</v>
      </c>
      <c r="X26" s="356">
        <f t="shared" ref="X26:Z26" si="7">10+4.5/12</f>
        <v>10.375</v>
      </c>
      <c r="Y26" s="358">
        <f>11+7/12</f>
        <v>11.583333333333334</v>
      </c>
      <c r="Z26" s="17">
        <f t="shared" si="7"/>
        <v>10.375</v>
      </c>
      <c r="AA26" s="17">
        <v>11</v>
      </c>
      <c r="AB26" s="394">
        <f>12+2/12</f>
        <v>12.166666666666666</v>
      </c>
      <c r="AC26" s="395">
        <f>12+8/12</f>
        <v>12.666666666666666</v>
      </c>
      <c r="AD26" s="17"/>
      <c r="AE26" s="185">
        <v>9</v>
      </c>
      <c r="AF26" s="109">
        <v>9</v>
      </c>
      <c r="AG26" s="109">
        <v>9</v>
      </c>
      <c r="AH26" s="17"/>
      <c r="AI26" s="17"/>
      <c r="AJ26" s="109">
        <v>10.25</v>
      </c>
      <c r="AK26" s="109">
        <v>10.25</v>
      </c>
      <c r="AL26" s="109">
        <v>10.25</v>
      </c>
      <c r="AM26" s="109">
        <v>9</v>
      </c>
      <c r="AN26" s="17">
        <v>9</v>
      </c>
      <c r="AO26" s="17"/>
      <c r="AP26" s="17"/>
      <c r="AQ26" s="312">
        <f>10+1/12</f>
        <v>10.083333333333334</v>
      </c>
      <c r="AR26" s="109">
        <v>9.75</v>
      </c>
      <c r="AS26" s="109">
        <v>9.75</v>
      </c>
      <c r="AT26" s="109">
        <v>9.75</v>
      </c>
      <c r="AU26" s="109">
        <v>9.75</v>
      </c>
      <c r="AV26" s="109">
        <v>9.75</v>
      </c>
      <c r="AW26" s="17">
        <v>10</v>
      </c>
      <c r="AX26" s="312">
        <f>13+4/12</f>
        <v>13.333333333333334</v>
      </c>
      <c r="AY26" s="312">
        <f>13+1/12</f>
        <v>13.083333333333334</v>
      </c>
      <c r="AZ26" s="48">
        <f>13+4/12</f>
        <v>13.333333333333334</v>
      </c>
      <c r="BA26" s="312">
        <f>13+2/12</f>
        <v>13.166666666666666</v>
      </c>
      <c r="BB26" s="48">
        <f>13+1/12</f>
        <v>13.083333333333334</v>
      </c>
      <c r="BC26" s="312">
        <f>13+1/12</f>
        <v>13.083333333333334</v>
      </c>
      <c r="BD26" s="48">
        <f>13+1/12</f>
        <v>13.083333333333334</v>
      </c>
      <c r="BE26" s="48">
        <f>13+1/12</f>
        <v>13.083333333333334</v>
      </c>
      <c r="BF26" s="48">
        <f>13+1/12</f>
        <v>13.083333333333334</v>
      </c>
      <c r="BG26" s="360">
        <f>12+7/12</f>
        <v>12.583333333333334</v>
      </c>
      <c r="BH26" s="17"/>
      <c r="BI26" s="399">
        <v>9.5</v>
      </c>
      <c r="BJ26" s="48">
        <f>10+10/12</f>
        <v>10.833333333333334</v>
      </c>
      <c r="BK26" s="48">
        <v>12</v>
      </c>
      <c r="BL26" s="109">
        <f>13.5</f>
        <v>13.5</v>
      </c>
      <c r="BM26" s="90">
        <v>12</v>
      </c>
      <c r="BN26" s="332">
        <f>13+6/12</f>
        <v>13.5</v>
      </c>
      <c r="BO26" s="17"/>
      <c r="BP26" s="325">
        <f>13+1/12</f>
        <v>13.083333333333334</v>
      </c>
      <c r="BQ26" s="17"/>
      <c r="BR26" s="396">
        <f>86/12</f>
        <v>7.166666666666667</v>
      </c>
      <c r="BS26" s="181">
        <f>91/12</f>
        <v>7.583333333333333</v>
      </c>
      <c r="BT26" s="90">
        <v>8.5</v>
      </c>
      <c r="BU26" s="397">
        <v>8</v>
      </c>
      <c r="BV26" s="35">
        <f>8+9/12</f>
        <v>8.75</v>
      </c>
      <c r="BW26" s="356">
        <v>9</v>
      </c>
      <c r="BX26" s="358">
        <f>9+1/12</f>
        <v>9.0833333333333339</v>
      </c>
      <c r="BY26" s="398">
        <v>9</v>
      </c>
      <c r="BZ26" s="362">
        <v>9</v>
      </c>
      <c r="CA26" s="97">
        <v>8.5</v>
      </c>
    </row>
    <row r="27" spans="1:80">
      <c r="A27" s="128" t="s">
        <v>273</v>
      </c>
      <c r="B27" s="150"/>
      <c r="C27" s="180" t="s">
        <v>275</v>
      </c>
      <c r="D27" s="17"/>
      <c r="E27" s="17"/>
      <c r="F27" s="109" t="s">
        <v>282</v>
      </c>
      <c r="G27" s="109" t="s">
        <v>282</v>
      </c>
      <c r="H27" s="368" t="s">
        <v>282</v>
      </c>
      <c r="I27" s="368" t="s">
        <v>282</v>
      </c>
      <c r="J27" s="368" t="s">
        <v>282</v>
      </c>
      <c r="K27" s="368" t="s">
        <v>282</v>
      </c>
      <c r="L27" s="368" t="s">
        <v>282</v>
      </c>
      <c r="M27" s="368" t="s">
        <v>282</v>
      </c>
      <c r="N27" s="368" t="s">
        <v>282</v>
      </c>
      <c r="O27" s="17"/>
      <c r="P27" s="17"/>
      <c r="Q27" s="17"/>
      <c r="R27" s="17"/>
      <c r="S27" s="90" t="s">
        <v>275</v>
      </c>
      <c r="T27" s="356" t="s">
        <v>282</v>
      </c>
      <c r="U27" s="17"/>
      <c r="V27" s="17"/>
      <c r="W27" s="17"/>
      <c r="X27" s="17"/>
      <c r="Y27" s="17"/>
      <c r="Z27" s="17"/>
      <c r="AA27" s="17"/>
      <c r="AB27" s="187"/>
      <c r="AC27" s="262"/>
      <c r="AD27" s="17"/>
      <c r="AE27" s="150"/>
      <c r="AF27" s="17"/>
      <c r="AG27" s="17"/>
      <c r="AH27" s="17"/>
      <c r="AI27" s="17"/>
      <c r="AJ27" s="17"/>
      <c r="AK27" s="17"/>
      <c r="AL27" s="17"/>
      <c r="AM27" s="17"/>
      <c r="AN27" s="17" t="s">
        <v>275</v>
      </c>
      <c r="AO27" s="17"/>
      <c r="AP27" s="17"/>
      <c r="AQ27" s="17"/>
      <c r="AR27" s="17"/>
      <c r="AS27" s="17"/>
      <c r="AT27" s="17"/>
      <c r="AU27" s="17"/>
      <c r="AV27" s="17"/>
      <c r="AW27" s="17"/>
      <c r="AX27" s="17"/>
      <c r="AY27" s="17"/>
      <c r="AZ27" s="17"/>
      <c r="BA27" s="17"/>
      <c r="BB27" s="17"/>
      <c r="BC27" s="17"/>
      <c r="BD27" s="17"/>
      <c r="BE27" s="17"/>
      <c r="BF27" s="17"/>
      <c r="BG27" s="116"/>
      <c r="BH27" s="17"/>
      <c r="BI27" s="150"/>
      <c r="BJ27" s="17"/>
      <c r="BK27" s="17" t="s">
        <v>275</v>
      </c>
      <c r="BL27" s="17"/>
      <c r="BM27" s="17"/>
      <c r="BN27" s="116"/>
      <c r="BO27" s="17"/>
      <c r="BP27" s="165"/>
      <c r="BQ27" s="17"/>
      <c r="BR27" s="357" t="s">
        <v>452</v>
      </c>
      <c r="BS27" s="17"/>
      <c r="BT27" s="17"/>
      <c r="BU27" s="356" t="s">
        <v>454</v>
      </c>
      <c r="BV27" s="13" t="s">
        <v>487</v>
      </c>
      <c r="BW27" s="356" t="s">
        <v>454</v>
      </c>
      <c r="BX27" s="356" t="s">
        <v>454</v>
      </c>
      <c r="BY27" s="226" t="s">
        <v>455</v>
      </c>
      <c r="BZ27" s="362" t="s">
        <v>455</v>
      </c>
      <c r="CA27" s="97"/>
      <c r="CB27" s="3" t="s">
        <v>453</v>
      </c>
    </row>
    <row r="28" spans="1:80">
      <c r="A28" s="128" t="s">
        <v>274</v>
      </c>
      <c r="B28" s="150"/>
      <c r="C28" s="180" t="s">
        <v>279</v>
      </c>
      <c r="D28" s="17"/>
      <c r="E28" s="109" t="s">
        <v>278</v>
      </c>
      <c r="F28" s="109" t="s">
        <v>278</v>
      </c>
      <c r="G28" s="109" t="s">
        <v>278</v>
      </c>
      <c r="H28" s="356" t="s">
        <v>278</v>
      </c>
      <c r="I28" s="356" t="s">
        <v>278</v>
      </c>
      <c r="J28" s="356" t="s">
        <v>278</v>
      </c>
      <c r="K28" s="356" t="s">
        <v>278</v>
      </c>
      <c r="L28" s="356" t="s">
        <v>278</v>
      </c>
      <c r="M28" s="356" t="s">
        <v>278</v>
      </c>
      <c r="N28" s="356" t="s">
        <v>278</v>
      </c>
      <c r="O28" s="356" t="s">
        <v>278</v>
      </c>
      <c r="P28" s="356" t="s">
        <v>278</v>
      </c>
      <c r="Q28" s="356" t="s">
        <v>278</v>
      </c>
      <c r="R28" s="356" t="s">
        <v>278</v>
      </c>
      <c r="S28" s="356" t="s">
        <v>278</v>
      </c>
      <c r="T28" s="182" t="s">
        <v>280</v>
      </c>
      <c r="U28" s="17" t="s">
        <v>278</v>
      </c>
      <c r="V28" s="356" t="s">
        <v>278</v>
      </c>
      <c r="W28" s="356" t="s">
        <v>278</v>
      </c>
      <c r="X28" s="356" t="s">
        <v>278</v>
      </c>
      <c r="Y28" s="356" t="s">
        <v>278</v>
      </c>
      <c r="Z28" s="356" t="s">
        <v>278</v>
      </c>
      <c r="AA28" s="356"/>
      <c r="AB28" s="356" t="s">
        <v>278</v>
      </c>
      <c r="AC28" s="359" t="s">
        <v>278</v>
      </c>
      <c r="AD28" s="17"/>
      <c r="AE28" s="150"/>
      <c r="AF28" s="17"/>
      <c r="AG28" s="17"/>
      <c r="AH28" s="17"/>
      <c r="AI28" s="17"/>
      <c r="AJ28" s="17"/>
      <c r="AK28" s="17"/>
      <c r="AL28" s="17"/>
      <c r="AM28" s="17"/>
      <c r="AN28" s="17" t="s">
        <v>455</v>
      </c>
      <c r="AO28" s="17"/>
      <c r="AP28" s="17"/>
      <c r="AQ28" s="17"/>
      <c r="AR28" s="17"/>
      <c r="AS28" s="17"/>
      <c r="AT28" s="17"/>
      <c r="AU28" s="17"/>
      <c r="AV28" s="17"/>
      <c r="AW28" s="17"/>
      <c r="AX28" s="17"/>
      <c r="AY28" s="17"/>
      <c r="AZ28" s="17"/>
      <c r="BA28" s="17"/>
      <c r="BB28" s="17"/>
      <c r="BC28" s="17"/>
      <c r="BD28" s="17"/>
      <c r="BE28" s="17"/>
      <c r="BF28" s="17"/>
      <c r="BG28" s="116"/>
      <c r="BH28" s="17"/>
      <c r="BI28" s="150" t="s">
        <v>291</v>
      </c>
      <c r="BJ28" s="17"/>
      <c r="BK28" s="17" t="s">
        <v>455</v>
      </c>
      <c r="BL28" s="17"/>
      <c r="BM28" s="17"/>
      <c r="BN28" s="116"/>
      <c r="BO28" s="17"/>
      <c r="BP28" s="165"/>
      <c r="BQ28" s="17"/>
      <c r="BR28" s="150"/>
      <c r="BS28" s="17"/>
      <c r="BT28" s="17"/>
      <c r="BU28" s="17"/>
      <c r="BV28" s="13" t="s">
        <v>275</v>
      </c>
      <c r="BW28" s="17"/>
      <c r="BX28" s="17"/>
      <c r="BY28" s="17" t="s">
        <v>275</v>
      </c>
      <c r="BZ28" s="116" t="s">
        <v>275</v>
      </c>
      <c r="CA28" s="97"/>
    </row>
    <row r="29" spans="1:80">
      <c r="A29" s="212" t="s">
        <v>41</v>
      </c>
      <c r="B29" s="150"/>
      <c r="C29" s="180"/>
      <c r="D29" s="17"/>
      <c r="E29" s="109"/>
      <c r="F29" s="109"/>
      <c r="G29" s="109"/>
      <c r="H29" s="356"/>
      <c r="I29" s="356"/>
      <c r="J29" s="356"/>
      <c r="K29" s="356"/>
      <c r="L29" s="356"/>
      <c r="M29" s="356"/>
      <c r="N29" s="356"/>
      <c r="O29" s="356"/>
      <c r="P29" s="356"/>
      <c r="Q29" s="356"/>
      <c r="R29" s="356"/>
      <c r="S29" s="356"/>
      <c r="T29" s="17"/>
      <c r="U29" s="17"/>
      <c r="V29" s="356"/>
      <c r="W29" s="356"/>
      <c r="X29" s="356"/>
      <c r="Y29" s="356"/>
      <c r="Z29" s="356"/>
      <c r="AA29" s="356"/>
      <c r="AB29" s="356"/>
      <c r="AC29" s="359"/>
      <c r="AD29" s="17"/>
      <c r="AE29" s="150"/>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16"/>
      <c r="BH29" s="17"/>
      <c r="BI29" s="150"/>
      <c r="BJ29" s="17"/>
      <c r="BK29" s="17"/>
      <c r="BL29" s="17"/>
      <c r="BM29" s="17"/>
      <c r="BN29" s="116"/>
      <c r="BO29" s="17"/>
      <c r="BP29" s="165"/>
      <c r="BQ29" s="17"/>
      <c r="BR29" s="150"/>
      <c r="BS29" s="17"/>
      <c r="BT29" s="17"/>
      <c r="BU29" s="17"/>
      <c r="BW29" s="17"/>
      <c r="BX29" s="17"/>
      <c r="BY29" s="17"/>
      <c r="BZ29" s="116"/>
    </row>
    <row r="30" spans="1:80">
      <c r="A30" s="128" t="s">
        <v>467</v>
      </c>
      <c r="B30" s="150" t="s">
        <v>344</v>
      </c>
      <c r="C30" s="180">
        <f>27+11.5/12</f>
        <v>27.958333333333332</v>
      </c>
      <c r="D30" s="17">
        <v>36</v>
      </c>
      <c r="E30" s="186">
        <f>37+4/12</f>
        <v>37.333333333333336</v>
      </c>
      <c r="F30" s="109">
        <v>37.299999999999997</v>
      </c>
      <c r="G30" s="109">
        <v>37.299999999999997</v>
      </c>
      <c r="H30" s="374">
        <f>37+3.5/12</f>
        <v>37.291666666666664</v>
      </c>
      <c r="I30" s="374">
        <f>37+3.5/12</f>
        <v>37.291666666666664</v>
      </c>
      <c r="J30" s="374">
        <f>37+3.5/12</f>
        <v>37.291666666666664</v>
      </c>
      <c r="K30" s="374">
        <f>37+3.5/12</f>
        <v>37.291666666666664</v>
      </c>
      <c r="L30" s="186"/>
      <c r="M30" s="374">
        <f>37+3.5/12</f>
        <v>37.291666666666664</v>
      </c>
      <c r="N30" s="374">
        <f>37+3.5/12</f>
        <v>37.291666666666664</v>
      </c>
      <c r="O30" s="17">
        <v>40.799999999999997</v>
      </c>
      <c r="P30" s="17"/>
      <c r="Q30" s="17"/>
      <c r="R30" s="17"/>
      <c r="S30" s="181">
        <f>37+5/16/12</f>
        <v>37.026041666666664</v>
      </c>
      <c r="T30" s="186">
        <f>43+11/12</f>
        <v>43.916666666666664</v>
      </c>
      <c r="U30" s="109">
        <v>34</v>
      </c>
      <c r="V30" s="109">
        <v>34</v>
      </c>
      <c r="W30" s="109">
        <v>34</v>
      </c>
      <c r="X30" s="17"/>
      <c r="Y30" s="17"/>
      <c r="Z30" s="17"/>
      <c r="AA30" s="17"/>
      <c r="AB30" s="17"/>
      <c r="AC30" s="116"/>
      <c r="AD30" s="17"/>
      <c r="AE30" s="185">
        <v>35</v>
      </c>
      <c r="AF30" s="109">
        <v>35</v>
      </c>
      <c r="AG30" s="109">
        <v>35</v>
      </c>
      <c r="AH30" s="109">
        <v>35</v>
      </c>
      <c r="AI30" s="109">
        <v>35</v>
      </c>
      <c r="AJ30" s="109">
        <v>35</v>
      </c>
      <c r="AK30" s="109">
        <v>35</v>
      </c>
      <c r="AL30" s="109">
        <v>35</v>
      </c>
      <c r="AM30" s="109">
        <v>35</v>
      </c>
      <c r="AN30" s="17">
        <v>35</v>
      </c>
      <c r="AO30" s="109">
        <v>35</v>
      </c>
      <c r="AP30" s="109">
        <v>35</v>
      </c>
      <c r="AQ30" s="109">
        <v>35</v>
      </c>
      <c r="AR30" s="109">
        <v>38</v>
      </c>
      <c r="AS30" s="109">
        <v>38</v>
      </c>
      <c r="AT30" s="109">
        <v>38</v>
      </c>
      <c r="AU30" s="109">
        <v>38</v>
      </c>
      <c r="AV30" s="109">
        <v>38</v>
      </c>
      <c r="AW30" s="17"/>
      <c r="AX30" s="312">
        <f>40+11.73/12</f>
        <v>40.977499999999999</v>
      </c>
      <c r="AY30" s="312">
        <f>40+11.73/12</f>
        <v>40.977499999999999</v>
      </c>
      <c r="AZ30" s="226">
        <v>41</v>
      </c>
      <c r="BA30" s="312">
        <f>40+11.73/12</f>
        <v>40.977499999999999</v>
      </c>
      <c r="BB30" s="363">
        <f>42+10/12</f>
        <v>42.833333333333336</v>
      </c>
      <c r="BC30" s="363">
        <f>42+10/12</f>
        <v>42.833333333333336</v>
      </c>
      <c r="BD30" s="363">
        <f t="shared" ref="BD30:BF30" si="8">42+10/12</f>
        <v>42.833333333333336</v>
      </c>
      <c r="BE30" s="363">
        <f t="shared" si="8"/>
        <v>42.833333333333336</v>
      </c>
      <c r="BF30" s="363">
        <f t="shared" si="8"/>
        <v>42.833333333333336</v>
      </c>
      <c r="BG30" s="362">
        <v>35.5</v>
      </c>
      <c r="BH30" s="17"/>
      <c r="BI30" s="150">
        <v>47.8</v>
      </c>
      <c r="BJ30" s="363">
        <f>41+(6+1/8)/12</f>
        <v>41.510416666666664</v>
      </c>
      <c r="BK30" s="406">
        <v>48</v>
      </c>
      <c r="BL30" s="17">
        <v>50</v>
      </c>
      <c r="BM30" s="17">
        <v>49.7</v>
      </c>
      <c r="BN30" s="116">
        <v>50</v>
      </c>
      <c r="BO30" s="17"/>
      <c r="BP30" s="165">
        <v>54.2</v>
      </c>
      <c r="BQ30" s="17"/>
      <c r="BR30" s="150"/>
      <c r="BS30" s="17"/>
      <c r="BT30" s="17"/>
      <c r="BU30" s="17"/>
      <c r="BV30" s="211">
        <f>4/12+40</f>
        <v>40.333333333333336</v>
      </c>
      <c r="BW30" s="17"/>
      <c r="BX30" s="17"/>
      <c r="BY30" s="363">
        <f>42+7.25/12</f>
        <v>42.604166666666664</v>
      </c>
      <c r="BZ30" s="360">
        <f>504.25/12</f>
        <v>42.020833333333336</v>
      </c>
      <c r="CA30" s="97"/>
    </row>
    <row r="31" spans="1:80">
      <c r="A31" s="128" t="s">
        <v>349</v>
      </c>
      <c r="B31" s="150" t="s">
        <v>347</v>
      </c>
      <c r="C31" s="317">
        <v>0.1</v>
      </c>
      <c r="D31" s="314">
        <v>0.18</v>
      </c>
      <c r="E31" s="314">
        <v>0.15</v>
      </c>
      <c r="F31" s="314"/>
      <c r="G31" s="314"/>
      <c r="H31" s="314">
        <v>0.15</v>
      </c>
      <c r="I31" s="314">
        <v>0.15</v>
      </c>
      <c r="J31" s="314"/>
      <c r="K31" s="314"/>
      <c r="L31" s="314"/>
      <c r="M31" s="314"/>
      <c r="N31" s="314"/>
      <c r="O31" s="375">
        <v>0.14000000000000001</v>
      </c>
      <c r="P31" s="375"/>
      <c r="Q31" s="375"/>
      <c r="R31" s="314"/>
      <c r="S31" s="314">
        <v>0.158</v>
      </c>
      <c r="T31" s="314">
        <v>0.18</v>
      </c>
      <c r="U31" s="316"/>
      <c r="V31" s="316">
        <v>0.15</v>
      </c>
      <c r="W31" s="316">
        <v>0.15</v>
      </c>
      <c r="X31" s="314"/>
      <c r="Y31" s="314"/>
      <c r="Z31" s="314"/>
      <c r="AA31" s="314"/>
      <c r="AB31" s="314"/>
      <c r="AC31" s="315"/>
      <c r="AD31" s="314"/>
      <c r="AE31" s="318">
        <v>0.18</v>
      </c>
      <c r="AF31" s="316">
        <v>0.18</v>
      </c>
      <c r="AG31" s="316">
        <v>0.18</v>
      </c>
      <c r="AH31" s="316">
        <v>0.18</v>
      </c>
      <c r="AI31" s="316">
        <v>0.18</v>
      </c>
      <c r="AJ31" s="316">
        <v>0.18</v>
      </c>
      <c r="AK31" s="316">
        <v>0.18</v>
      </c>
      <c r="AL31" s="316">
        <v>0.18</v>
      </c>
      <c r="AM31" s="316">
        <v>0.18</v>
      </c>
      <c r="AN31" s="316">
        <v>0.18</v>
      </c>
      <c r="AO31" s="316">
        <v>0.18</v>
      </c>
      <c r="AP31" s="316">
        <v>0.18</v>
      </c>
      <c r="AQ31" s="316">
        <v>0.18</v>
      </c>
      <c r="AR31" s="316">
        <v>0.15</v>
      </c>
      <c r="AS31" s="316">
        <v>0.15</v>
      </c>
      <c r="AT31" s="316">
        <v>0.15</v>
      </c>
      <c r="AU31" s="316">
        <v>0.15</v>
      </c>
      <c r="AV31" s="316">
        <v>0.15</v>
      </c>
      <c r="AW31" s="314"/>
      <c r="AX31" s="316">
        <v>0.18</v>
      </c>
      <c r="AY31" s="316">
        <v>0.18</v>
      </c>
      <c r="AZ31" s="314">
        <v>0.18</v>
      </c>
      <c r="BA31" s="316">
        <v>0.18</v>
      </c>
      <c r="BB31" s="314"/>
      <c r="BC31" s="316">
        <v>0.156</v>
      </c>
      <c r="BD31" s="314"/>
      <c r="BE31" s="314">
        <v>0.156</v>
      </c>
      <c r="BF31" s="314">
        <v>0.156</v>
      </c>
      <c r="BG31" s="315">
        <v>0.18</v>
      </c>
      <c r="BH31" s="314"/>
      <c r="BI31" s="317">
        <v>0.15</v>
      </c>
      <c r="BJ31" s="314">
        <v>0.15</v>
      </c>
      <c r="BK31" s="314">
        <f>BK32/126</f>
        <v>0.16</v>
      </c>
      <c r="BL31" s="314">
        <v>0.17199999999999999</v>
      </c>
      <c r="BM31" s="314">
        <v>0.17</v>
      </c>
      <c r="BN31" s="315">
        <v>0.17199999999999999</v>
      </c>
      <c r="BO31" s="314"/>
      <c r="BP31" s="326">
        <v>0.154</v>
      </c>
      <c r="BQ31" s="314"/>
      <c r="BR31" s="317"/>
      <c r="BS31" s="314"/>
      <c r="BT31" s="314"/>
      <c r="BU31" s="314"/>
      <c r="BV31" s="13">
        <v>16</v>
      </c>
      <c r="BW31" s="314"/>
      <c r="BX31" s="314"/>
      <c r="BY31" s="314"/>
      <c r="BZ31" s="315"/>
      <c r="CA31" s="100"/>
    </row>
    <row r="32" spans="1:80">
      <c r="A32" s="127"/>
      <c r="B32" s="150" t="s">
        <v>67</v>
      </c>
      <c r="C32" s="150">
        <v>7.2</v>
      </c>
      <c r="D32" s="17">
        <v>16.399999999999999</v>
      </c>
      <c r="E32" s="17">
        <v>16.2</v>
      </c>
      <c r="F32" s="17"/>
      <c r="G32" s="17"/>
      <c r="H32" s="17">
        <v>16.2</v>
      </c>
      <c r="I32" s="17">
        <v>16.2</v>
      </c>
      <c r="J32" s="17"/>
      <c r="K32" s="17"/>
      <c r="L32" s="17"/>
      <c r="M32" s="17"/>
      <c r="N32" s="17"/>
      <c r="O32" s="187">
        <v>15.2</v>
      </c>
      <c r="P32" s="187"/>
      <c r="Q32" s="187"/>
      <c r="R32" s="17"/>
      <c r="S32" s="17">
        <v>15.8</v>
      </c>
      <c r="T32" s="17">
        <v>19.7</v>
      </c>
      <c r="U32" s="17">
        <v>14.75</v>
      </c>
      <c r="V32" s="17">
        <v>15.8</v>
      </c>
      <c r="W32" s="17">
        <v>15.8</v>
      </c>
      <c r="X32" s="17"/>
      <c r="Y32" s="17"/>
      <c r="Z32" s="17"/>
      <c r="AA32" s="17"/>
      <c r="AB32" s="17"/>
      <c r="AC32" s="116"/>
      <c r="AD32" s="17"/>
      <c r="AE32" s="185">
        <v>16</v>
      </c>
      <c r="AF32" s="109">
        <v>16</v>
      </c>
      <c r="AG32" s="109">
        <v>16</v>
      </c>
      <c r="AH32" s="109">
        <v>16</v>
      </c>
      <c r="AI32" s="109">
        <v>16</v>
      </c>
      <c r="AJ32" s="109">
        <v>16</v>
      </c>
      <c r="AK32" s="109">
        <v>16</v>
      </c>
      <c r="AL32" s="109">
        <v>16</v>
      </c>
      <c r="AM32" s="109">
        <v>16</v>
      </c>
      <c r="AN32" s="109">
        <v>16</v>
      </c>
      <c r="AO32" s="109">
        <v>16</v>
      </c>
      <c r="AP32" s="109">
        <v>16</v>
      </c>
      <c r="AQ32" s="109">
        <v>16</v>
      </c>
      <c r="AR32" s="182">
        <f>98*0.15</f>
        <v>14.7</v>
      </c>
      <c r="AS32" s="182">
        <f>98*0.15</f>
        <v>14.7</v>
      </c>
      <c r="AT32" s="182">
        <v>15.2</v>
      </c>
      <c r="AU32" s="182">
        <v>15.2</v>
      </c>
      <c r="AV32" s="182">
        <v>15.2</v>
      </c>
      <c r="AW32" s="17"/>
      <c r="AX32" s="182">
        <f>0.18*105</f>
        <v>18.899999999999999</v>
      </c>
      <c r="AY32" s="182">
        <f>0.18*105</f>
        <v>18.899999999999999</v>
      </c>
      <c r="AZ32" s="17">
        <v>18.8</v>
      </c>
      <c r="BA32" s="182">
        <f>0.18*105</f>
        <v>18.899999999999999</v>
      </c>
      <c r="BB32" s="17"/>
      <c r="BC32" s="188">
        <f>(119+7/16)*0.156</f>
        <v>18.632249999999999</v>
      </c>
      <c r="BD32" s="17"/>
      <c r="BE32" s="17">
        <v>19.8</v>
      </c>
      <c r="BF32" s="17">
        <v>19.8</v>
      </c>
      <c r="BG32" s="116">
        <v>21.9</v>
      </c>
      <c r="BH32" s="17"/>
      <c r="BI32" s="150">
        <v>15.7</v>
      </c>
      <c r="BJ32" s="17">
        <v>18.600000000000001</v>
      </c>
      <c r="BK32" s="17">
        <v>20.16</v>
      </c>
      <c r="BL32" s="17">
        <v>22.1</v>
      </c>
      <c r="BM32" s="17">
        <v>24.5</v>
      </c>
      <c r="BN32" s="116">
        <v>22.1</v>
      </c>
      <c r="BO32" s="17"/>
      <c r="BP32" s="165">
        <v>22</v>
      </c>
      <c r="BQ32" s="17"/>
      <c r="BR32" s="150"/>
      <c r="BS32" s="17"/>
      <c r="BT32" s="17"/>
      <c r="BU32" s="17"/>
      <c r="BW32" s="17"/>
      <c r="BX32" s="17"/>
      <c r="BY32" s="17"/>
      <c r="BZ32" s="116"/>
      <c r="CA32" s="97"/>
    </row>
    <row r="33" spans="1:79">
      <c r="A33" s="128" t="s">
        <v>468</v>
      </c>
      <c r="B33" s="150" t="s">
        <v>346</v>
      </c>
      <c r="C33" s="185">
        <v>149.5</v>
      </c>
      <c r="D33" s="109">
        <v>220</v>
      </c>
      <c r="E33" s="109">
        <v>236</v>
      </c>
      <c r="F33" s="109">
        <v>236</v>
      </c>
      <c r="G33" s="109">
        <v>236</v>
      </c>
      <c r="H33" s="109">
        <v>236</v>
      </c>
      <c r="I33" s="109">
        <v>236</v>
      </c>
      <c r="J33" s="109">
        <v>236</v>
      </c>
      <c r="K33" s="109">
        <v>236</v>
      </c>
      <c r="L33" s="109">
        <v>236</v>
      </c>
      <c r="M33" s="109">
        <v>236</v>
      </c>
      <c r="N33" s="109">
        <v>236</v>
      </c>
      <c r="O33" s="203">
        <v>300</v>
      </c>
      <c r="P33" s="203">
        <v>300</v>
      </c>
      <c r="Q33" s="203">
        <v>300</v>
      </c>
      <c r="R33" s="376">
        <v>233.19</v>
      </c>
      <c r="S33" s="17">
        <v>236</v>
      </c>
      <c r="T33" s="109">
        <v>297</v>
      </c>
      <c r="U33" s="109"/>
      <c r="V33" s="109">
        <v>213.22</v>
      </c>
      <c r="W33" s="109">
        <v>213.22</v>
      </c>
      <c r="X33" s="109">
        <v>213.22</v>
      </c>
      <c r="Y33" s="109">
        <v>213.22</v>
      </c>
      <c r="Z33" s="109">
        <v>213.22</v>
      </c>
      <c r="AA33" s="109">
        <v>248</v>
      </c>
      <c r="AB33" s="109">
        <v>248</v>
      </c>
      <c r="AC33" s="158">
        <v>248</v>
      </c>
      <c r="AD33" s="17"/>
      <c r="AE33" s="185">
        <v>208.9</v>
      </c>
      <c r="AF33" s="109">
        <v>208.9</v>
      </c>
      <c r="AG33" s="109">
        <v>208.9</v>
      </c>
      <c r="AH33" s="109">
        <v>208.9</v>
      </c>
      <c r="AI33" s="109">
        <v>208.9</v>
      </c>
      <c r="AJ33" s="109">
        <v>208.9</v>
      </c>
      <c r="AK33" s="109">
        <v>208.9</v>
      </c>
      <c r="AL33" s="109">
        <v>208.9</v>
      </c>
      <c r="AM33" s="109">
        <v>208.9</v>
      </c>
      <c r="AN33" s="17">
        <v>208.9</v>
      </c>
      <c r="AO33" s="109">
        <v>208.9</v>
      </c>
      <c r="AP33" s="109">
        <v>208.9</v>
      </c>
      <c r="AQ33" s="109">
        <v>208.9</v>
      </c>
      <c r="AR33" s="109">
        <v>260</v>
      </c>
      <c r="AS33" s="109">
        <v>260</v>
      </c>
      <c r="AT33" s="109">
        <v>260</v>
      </c>
      <c r="AU33" s="109">
        <v>260</v>
      </c>
      <c r="AV33" s="109">
        <v>260</v>
      </c>
      <c r="AW33" s="109">
        <v>260</v>
      </c>
      <c r="AX33" s="109">
        <v>314</v>
      </c>
      <c r="AY33" s="109">
        <v>314</v>
      </c>
      <c r="AZ33" s="109">
        <v>314</v>
      </c>
      <c r="BA33" s="109">
        <v>314</v>
      </c>
      <c r="BB33" s="109">
        <v>334</v>
      </c>
      <c r="BC33" s="109">
        <v>334</v>
      </c>
      <c r="BD33" s="109">
        <v>334</v>
      </c>
      <c r="BE33" s="109">
        <v>334</v>
      </c>
      <c r="BF33" s="109">
        <v>334</v>
      </c>
      <c r="BG33" s="362">
        <v>244</v>
      </c>
      <c r="BH33" s="17"/>
      <c r="BI33" s="185">
        <v>363</v>
      </c>
      <c r="BJ33" s="109">
        <v>323.8</v>
      </c>
      <c r="BK33" s="109">
        <v>335</v>
      </c>
      <c r="BL33" s="17">
        <v>400</v>
      </c>
      <c r="BM33" s="109">
        <v>422</v>
      </c>
      <c r="BN33" s="116">
        <v>400</v>
      </c>
      <c r="BO33" s="17"/>
      <c r="BP33" s="327">
        <v>490</v>
      </c>
      <c r="BQ33" s="17"/>
      <c r="BR33" s="150">
        <v>200</v>
      </c>
      <c r="BS33" s="17">
        <v>124</v>
      </c>
      <c r="BT33" s="17">
        <v>220</v>
      </c>
      <c r="BU33" s="109">
        <v>248</v>
      </c>
      <c r="BV33" s="13">
        <v>240.42</v>
      </c>
      <c r="BW33" s="109">
        <v>239</v>
      </c>
      <c r="BX33" s="17">
        <v>225</v>
      </c>
      <c r="BY33" s="226">
        <v>258.10000000000002</v>
      </c>
      <c r="BZ33" s="362">
        <v>253.73</v>
      </c>
      <c r="CA33" s="97">
        <v>298</v>
      </c>
    </row>
    <row r="34" spans="1:79">
      <c r="A34" s="128" t="s">
        <v>469</v>
      </c>
      <c r="B34" s="150" t="s">
        <v>346</v>
      </c>
      <c r="C34" s="150"/>
      <c r="D34" s="17"/>
      <c r="E34" s="17"/>
      <c r="F34" s="17">
        <f>F33-F35-F36</f>
        <v>182.79000000000002</v>
      </c>
      <c r="G34" s="17">
        <f>G33-G35-G36</f>
        <v>182.79000000000002</v>
      </c>
      <c r="H34" s="17"/>
      <c r="I34" s="17"/>
      <c r="J34" s="17">
        <f t="shared" ref="J34" si="9">J33-J35-J36</f>
        <v>182.8</v>
      </c>
      <c r="K34" s="17"/>
      <c r="L34" s="17"/>
      <c r="M34" s="17"/>
      <c r="N34" s="17">
        <f>N33-N35-N36</f>
        <v>182.89999999999998</v>
      </c>
      <c r="R34" s="17">
        <f t="shared" ref="R34" si="10">R33-R35-R36</f>
        <v>188.24</v>
      </c>
      <c r="S34" s="17"/>
      <c r="T34" s="17"/>
      <c r="U34" s="182">
        <v>197.7</v>
      </c>
      <c r="V34" s="17"/>
      <c r="W34" s="17"/>
      <c r="Y34" s="17"/>
      <c r="Z34" s="17"/>
      <c r="AA34" s="17"/>
      <c r="AB34" s="17"/>
      <c r="AC34" s="116"/>
      <c r="AD34" s="17"/>
      <c r="AE34" s="150">
        <f>AE33-AE35-AE36</f>
        <v>177.16</v>
      </c>
      <c r="AF34" s="17">
        <f t="shared" ref="AF34:AQ34" si="11">AF33-AF35-AF36</f>
        <v>177.16</v>
      </c>
      <c r="AG34" s="17">
        <f t="shared" si="11"/>
        <v>177.16</v>
      </c>
      <c r="AH34" s="17">
        <f t="shared" si="11"/>
        <v>177.16</v>
      </c>
      <c r="AI34" s="17">
        <f t="shared" si="11"/>
        <v>177.16</v>
      </c>
      <c r="AJ34" s="17">
        <f t="shared" si="11"/>
        <v>177.16</v>
      </c>
      <c r="AK34" s="17">
        <f t="shared" si="11"/>
        <v>177.16</v>
      </c>
      <c r="AL34" s="17">
        <f t="shared" si="11"/>
        <v>177.16</v>
      </c>
      <c r="AM34" s="17">
        <f t="shared" si="11"/>
        <v>177.16</v>
      </c>
      <c r="AN34" s="17">
        <f t="shared" si="11"/>
        <v>177.29999999999998</v>
      </c>
      <c r="AO34" s="17">
        <f t="shared" si="11"/>
        <v>177.16</v>
      </c>
      <c r="AP34" s="17">
        <f t="shared" si="11"/>
        <v>177.16</v>
      </c>
      <c r="AQ34" s="17">
        <f t="shared" si="11"/>
        <v>177.16</v>
      </c>
      <c r="AR34" s="17">
        <f t="shared" ref="AR34" si="12">AR33-AR35-AR36</f>
        <v>218.82000000000002</v>
      </c>
      <c r="AS34" s="17">
        <f t="shared" ref="AS34" si="13">AS33-AS35-AS36</f>
        <v>218.82000000000002</v>
      </c>
      <c r="AT34" s="17">
        <f t="shared" ref="AT34" si="14">AT33-AT35-AT36</f>
        <v>217.04000000000002</v>
      </c>
      <c r="AU34" s="17">
        <f t="shared" ref="AU34" si="15">AU33-AU35-AU36</f>
        <v>217.04000000000002</v>
      </c>
      <c r="AV34" s="17">
        <f t="shared" ref="AV34" si="16">AV33-AV35-AV36</f>
        <v>217.04000000000002</v>
      </c>
      <c r="AW34" s="17"/>
      <c r="AX34" s="17">
        <f t="shared" ref="AX34:BA34" si="17">AX33-AX35-AX36</f>
        <v>259.5</v>
      </c>
      <c r="AY34" s="17">
        <f t="shared" si="17"/>
        <v>259.5</v>
      </c>
      <c r="AZ34" s="17"/>
      <c r="BA34" s="17">
        <f t="shared" si="17"/>
        <v>259.5</v>
      </c>
      <c r="BB34" s="17"/>
      <c r="BC34" s="17">
        <f t="shared" ref="BC34" si="18">BC33-BC35-BC36</f>
        <v>278.5</v>
      </c>
      <c r="BD34" s="17"/>
      <c r="BE34" s="17"/>
      <c r="BF34" s="17"/>
      <c r="BG34" s="362">
        <v>15</v>
      </c>
      <c r="BH34" s="17"/>
      <c r="BI34" s="150"/>
      <c r="BJ34" s="17"/>
      <c r="BK34" s="17"/>
      <c r="BL34" s="17"/>
      <c r="BM34" s="17"/>
      <c r="BN34" s="116"/>
      <c r="BO34" s="17"/>
      <c r="BP34" s="165"/>
      <c r="BQ34" s="17"/>
      <c r="BR34" s="150"/>
      <c r="BS34" s="17"/>
      <c r="BT34" s="17"/>
      <c r="BU34" s="17"/>
      <c r="BW34" s="17"/>
      <c r="BX34" s="17"/>
      <c r="BY34" s="17">
        <f>BY33-BY35-BY36</f>
        <v>218.18</v>
      </c>
      <c r="BZ34" s="116">
        <f>BZ33-BZ35-BZ36</f>
        <v>213.46999999999997</v>
      </c>
    </row>
    <row r="35" spans="1:79">
      <c r="A35" s="128" t="s">
        <v>341</v>
      </c>
      <c r="B35" s="150" t="s">
        <v>346</v>
      </c>
      <c r="C35" s="150"/>
      <c r="D35" s="17"/>
      <c r="E35" s="17"/>
      <c r="F35" s="109">
        <v>18.41</v>
      </c>
      <c r="G35" s="109">
        <v>18.41</v>
      </c>
      <c r="H35" s="17"/>
      <c r="I35" s="17"/>
      <c r="J35" s="90">
        <f>9.15+9.25</f>
        <v>18.399999999999999</v>
      </c>
      <c r="K35" s="17"/>
      <c r="L35" s="17"/>
      <c r="M35" s="17"/>
      <c r="N35" s="90">
        <v>18.3</v>
      </c>
      <c r="O35" s="187"/>
      <c r="P35" s="187"/>
      <c r="Q35" s="187">
        <v>25.7</v>
      </c>
      <c r="R35" s="376">
        <v>12.73</v>
      </c>
      <c r="S35" s="17"/>
      <c r="T35" s="17"/>
      <c r="U35" s="17">
        <v>15.46</v>
      </c>
      <c r="V35" s="90">
        <f>5.91*2</f>
        <v>11.82</v>
      </c>
      <c r="W35" s="90">
        <f>5.91*2</f>
        <v>11.82</v>
      </c>
      <c r="Y35" s="17"/>
      <c r="Z35" s="17"/>
      <c r="AA35" s="17"/>
      <c r="AB35" s="17"/>
      <c r="AC35" s="116"/>
      <c r="AD35" s="17"/>
      <c r="AE35" s="185">
        <v>15.3</v>
      </c>
      <c r="AF35" s="109">
        <v>15.3</v>
      </c>
      <c r="AG35" s="109">
        <v>15.3</v>
      </c>
      <c r="AH35" s="109">
        <v>15.3</v>
      </c>
      <c r="AI35" s="109">
        <v>15.3</v>
      </c>
      <c r="AJ35" s="109">
        <v>15.3</v>
      </c>
      <c r="AK35" s="109">
        <v>15.3</v>
      </c>
      <c r="AL35" s="109">
        <v>15.3</v>
      </c>
      <c r="AM35" s="109">
        <v>15.3</v>
      </c>
      <c r="AN35" s="17">
        <v>15.3</v>
      </c>
      <c r="AO35" s="109">
        <v>15.3</v>
      </c>
      <c r="AP35" s="109">
        <v>15.3</v>
      </c>
      <c r="AQ35" s="109">
        <v>15.3</v>
      </c>
      <c r="AR35" s="109">
        <v>11.48</v>
      </c>
      <c r="AS35" s="109">
        <v>11.48</v>
      </c>
      <c r="AT35" s="109">
        <v>13.26</v>
      </c>
      <c r="AU35" s="109">
        <v>13.26</v>
      </c>
      <c r="AV35" s="109">
        <v>13.26</v>
      </c>
      <c r="AW35" s="17"/>
      <c r="AX35" s="109">
        <v>18.100000000000001</v>
      </c>
      <c r="AY35" s="109">
        <v>18.100000000000001</v>
      </c>
      <c r="AZ35" s="17"/>
      <c r="BA35" s="109">
        <v>18.100000000000001</v>
      </c>
      <c r="BB35" s="17"/>
      <c r="BC35" s="109">
        <v>15.7</v>
      </c>
      <c r="BD35" s="17"/>
      <c r="BE35" s="17"/>
      <c r="BF35" s="17"/>
      <c r="BG35" s="362">
        <v>18.18</v>
      </c>
      <c r="BH35" s="17"/>
      <c r="BI35" s="150"/>
      <c r="BJ35" s="17"/>
      <c r="BK35" s="17"/>
      <c r="BL35" s="17"/>
      <c r="BM35" s="17"/>
      <c r="BN35" s="116"/>
      <c r="BO35" s="17"/>
      <c r="BP35" s="165"/>
      <c r="BQ35" s="17"/>
      <c r="BR35" s="150"/>
      <c r="BS35" s="17"/>
      <c r="BT35" s="17"/>
      <c r="BU35" s="17"/>
      <c r="BW35" s="17"/>
      <c r="BX35" s="17"/>
      <c r="BY35" s="226">
        <v>11.4</v>
      </c>
      <c r="BZ35" s="362">
        <v>11.4</v>
      </c>
    </row>
    <row r="36" spans="1:79">
      <c r="A36" s="128" t="s">
        <v>342</v>
      </c>
      <c r="B36" s="150" t="s">
        <v>346</v>
      </c>
      <c r="C36" s="150"/>
      <c r="D36" s="17"/>
      <c r="E36" s="17"/>
      <c r="F36" s="109">
        <v>34.799999999999997</v>
      </c>
      <c r="G36" s="109">
        <v>34.799999999999997</v>
      </c>
      <c r="H36" s="17"/>
      <c r="I36" s="17"/>
      <c r="J36" s="90">
        <v>34.799999999999997</v>
      </c>
      <c r="K36" s="17"/>
      <c r="L36" s="17"/>
      <c r="M36" s="17"/>
      <c r="N36" s="90">
        <v>34.799999999999997</v>
      </c>
      <c r="O36" s="187"/>
      <c r="P36" s="187"/>
      <c r="Q36" s="187"/>
      <c r="R36" s="376">
        <v>32.22</v>
      </c>
      <c r="S36" s="17"/>
      <c r="T36" s="17"/>
      <c r="U36" s="90"/>
      <c r="V36" s="90">
        <v>26.2</v>
      </c>
      <c r="W36" s="90">
        <v>26.2</v>
      </c>
      <c r="X36" s="17"/>
      <c r="Y36" s="17"/>
      <c r="Z36" s="17"/>
      <c r="AA36" s="17"/>
      <c r="AB36" s="17"/>
      <c r="AC36" s="116"/>
      <c r="AD36" s="17"/>
      <c r="AE36" s="185">
        <f>8.22*2</f>
        <v>16.440000000000001</v>
      </c>
      <c r="AF36" s="109">
        <f t="shared" ref="AF36:AQ36" si="19">8.22*2</f>
        <v>16.440000000000001</v>
      </c>
      <c r="AG36" s="109">
        <f t="shared" si="19"/>
        <v>16.440000000000001</v>
      </c>
      <c r="AH36" s="109">
        <f t="shared" si="19"/>
        <v>16.440000000000001</v>
      </c>
      <c r="AI36" s="109">
        <f t="shared" si="19"/>
        <v>16.440000000000001</v>
      </c>
      <c r="AJ36" s="109">
        <f t="shared" si="19"/>
        <v>16.440000000000001</v>
      </c>
      <c r="AK36" s="109">
        <f t="shared" si="19"/>
        <v>16.440000000000001</v>
      </c>
      <c r="AL36" s="109">
        <f t="shared" si="19"/>
        <v>16.440000000000001</v>
      </c>
      <c r="AM36" s="109">
        <f t="shared" si="19"/>
        <v>16.440000000000001</v>
      </c>
      <c r="AN36" s="17">
        <v>16.3</v>
      </c>
      <c r="AO36" s="109">
        <f t="shared" si="19"/>
        <v>16.440000000000001</v>
      </c>
      <c r="AP36" s="109">
        <f t="shared" si="19"/>
        <v>16.440000000000001</v>
      </c>
      <c r="AQ36" s="109">
        <f t="shared" si="19"/>
        <v>16.440000000000001</v>
      </c>
      <c r="AR36" s="109">
        <v>29.7</v>
      </c>
      <c r="AS36" s="109">
        <v>29.7</v>
      </c>
      <c r="AT36" s="109">
        <v>29.7</v>
      </c>
      <c r="AU36" s="109">
        <v>29.7</v>
      </c>
      <c r="AV36" s="109">
        <v>29.7</v>
      </c>
      <c r="AW36" s="17"/>
      <c r="AX36" s="109">
        <v>36.4</v>
      </c>
      <c r="AY36" s="109">
        <v>36.4</v>
      </c>
      <c r="AZ36" s="17"/>
      <c r="BA36" s="109">
        <v>36.4</v>
      </c>
      <c r="BB36" s="17"/>
      <c r="BC36" s="109">
        <v>39.799999999999997</v>
      </c>
      <c r="BD36" s="17"/>
      <c r="BE36" s="17"/>
      <c r="BF36" s="17"/>
      <c r="BG36" s="116"/>
      <c r="BH36" s="17"/>
      <c r="BI36" s="150"/>
      <c r="BJ36" s="17"/>
      <c r="BK36" s="17"/>
      <c r="BL36" s="17"/>
      <c r="BM36" s="17"/>
      <c r="BN36" s="116"/>
      <c r="BO36" s="17"/>
      <c r="BP36" s="165"/>
      <c r="BQ36" s="17"/>
      <c r="BR36" s="150"/>
      <c r="BS36" s="17"/>
      <c r="BT36" s="17"/>
      <c r="BU36" s="17"/>
      <c r="BV36" s="13">
        <v>32.840000000000003</v>
      </c>
      <c r="BW36" s="17"/>
      <c r="BX36" s="17"/>
      <c r="BY36" s="226">
        <v>28.52</v>
      </c>
      <c r="BZ36" s="362">
        <v>28.86</v>
      </c>
    </row>
    <row r="37" spans="1:79">
      <c r="A37" s="127" t="s">
        <v>355</v>
      </c>
      <c r="B37" s="150" t="s">
        <v>346</v>
      </c>
      <c r="C37" s="150">
        <f t="shared" ref="C37:E37" si="20">SUM(C38:C41)</f>
        <v>37.200000000000003</v>
      </c>
      <c r="D37" s="17">
        <f t="shared" si="20"/>
        <v>54.2</v>
      </c>
      <c r="E37" s="17">
        <f t="shared" si="20"/>
        <v>68.739999999999995</v>
      </c>
      <c r="F37" s="109">
        <f>F38+F41</f>
        <v>68.740000000000009</v>
      </c>
      <c r="G37" s="109">
        <f>G38+G41</f>
        <v>68.740000000000009</v>
      </c>
      <c r="H37" s="17">
        <f t="shared" ref="H37:P37" si="21">H38+H41</f>
        <v>69.039999999999992</v>
      </c>
      <c r="I37" s="17">
        <f t="shared" si="21"/>
        <v>69.039999999999992</v>
      </c>
      <c r="J37" s="17">
        <f t="shared" si="21"/>
        <v>69.039999999999992</v>
      </c>
      <c r="K37" s="17">
        <f t="shared" si="21"/>
        <v>71.22</v>
      </c>
      <c r="L37" s="17">
        <f t="shared" si="21"/>
        <v>69.739999999999995</v>
      </c>
      <c r="M37" s="17">
        <f t="shared" si="21"/>
        <v>69.739999999999995</v>
      </c>
      <c r="N37" s="17">
        <f t="shared" si="21"/>
        <v>69.039999999999992</v>
      </c>
      <c r="O37" s="17">
        <f t="shared" si="21"/>
        <v>86.1</v>
      </c>
      <c r="P37" s="17">
        <f t="shared" si="21"/>
        <v>86.1</v>
      </c>
      <c r="Q37" s="17">
        <f>Q38+Q41</f>
        <v>80.8</v>
      </c>
      <c r="R37" s="17">
        <f>R38+R41</f>
        <v>61.05</v>
      </c>
      <c r="S37" s="17"/>
      <c r="T37" s="17">
        <f>SUM(T38:T41)</f>
        <v>58.8</v>
      </c>
      <c r="U37" s="17"/>
      <c r="V37" s="17">
        <f>V38+V41</f>
        <v>59.05</v>
      </c>
      <c r="W37" s="17">
        <f>W38+W41</f>
        <v>59.05</v>
      </c>
      <c r="X37" s="17">
        <f>SUM(X38:X41)</f>
        <v>60.210000000000008</v>
      </c>
      <c r="Y37" s="17">
        <f>SUM(Y38:Y41)</f>
        <v>59.01</v>
      </c>
      <c r="Z37" s="17">
        <f t="shared" ref="Z37" si="22">SUM(Z38:Z41)</f>
        <v>59.01</v>
      </c>
      <c r="AA37" s="17">
        <f t="shared" ref="AA37" si="23">SUM(AA38:AA41)</f>
        <v>69.489999999999995</v>
      </c>
      <c r="AB37" s="17">
        <f t="shared" ref="AB37" si="24">SUM(AB38:AB41)</f>
        <v>69.489999999999995</v>
      </c>
      <c r="AC37" s="116">
        <f t="shared" ref="AC37" si="25">SUM(AC38:AC41)</f>
        <v>70.260000000000005</v>
      </c>
      <c r="AD37" s="17"/>
      <c r="AE37" s="185">
        <f>AE38+AE41</f>
        <v>58.7</v>
      </c>
      <c r="AF37" s="109">
        <f t="shared" ref="AF37:AQ37" si="26">AF38+AF41</f>
        <v>58.7</v>
      </c>
      <c r="AG37" s="109">
        <f t="shared" si="26"/>
        <v>58.7</v>
      </c>
      <c r="AH37" s="109">
        <f t="shared" si="26"/>
        <v>58.7</v>
      </c>
      <c r="AI37" s="109">
        <f t="shared" si="26"/>
        <v>58.7</v>
      </c>
      <c r="AJ37" s="109">
        <f t="shared" si="26"/>
        <v>58.7</v>
      </c>
      <c r="AK37" s="109">
        <f t="shared" si="26"/>
        <v>58.7</v>
      </c>
      <c r="AL37" s="109">
        <f t="shared" si="26"/>
        <v>58.7</v>
      </c>
      <c r="AM37" s="109">
        <f t="shared" si="26"/>
        <v>58.7</v>
      </c>
      <c r="AN37" s="109">
        <f t="shared" ref="AN37" si="27">AN38+AN41</f>
        <v>58.7</v>
      </c>
      <c r="AO37" s="109">
        <f t="shared" si="26"/>
        <v>58.7</v>
      </c>
      <c r="AP37" s="109">
        <f t="shared" si="26"/>
        <v>58.7</v>
      </c>
      <c r="AQ37" s="109">
        <f t="shared" si="26"/>
        <v>58.7</v>
      </c>
      <c r="AR37" s="109">
        <f t="shared" ref="AR37" si="28">AR38+AR41</f>
        <v>71.63</v>
      </c>
      <c r="AS37" s="109">
        <f t="shared" ref="AS37" si="29">AS38+AS41</f>
        <v>71.63</v>
      </c>
      <c r="AT37" s="109">
        <f t="shared" ref="AT37" si="30">AT38+AT41</f>
        <v>71.63</v>
      </c>
      <c r="AU37" s="109">
        <f t="shared" ref="AU37" si="31">AU38+AU41</f>
        <v>71.63</v>
      </c>
      <c r="AV37" s="109">
        <f t="shared" ref="AV37:BA37" si="32">AV38+AV41</f>
        <v>71.63</v>
      </c>
      <c r="AW37" s="17"/>
      <c r="AX37" s="109">
        <f t="shared" si="32"/>
        <v>79.900000000000006</v>
      </c>
      <c r="AY37" s="109">
        <f t="shared" si="32"/>
        <v>79.900000000000006</v>
      </c>
      <c r="AZ37" s="17">
        <f t="shared" ref="AZ37" si="33">SUM(AZ38:AZ41)</f>
        <v>79.900000000000006</v>
      </c>
      <c r="BA37" s="109">
        <f t="shared" si="32"/>
        <v>79.900000000000006</v>
      </c>
      <c r="BB37" s="17">
        <f t="shared" ref="BB37" si="34">BB38+BB41</f>
        <v>100.1</v>
      </c>
      <c r="BC37" s="109">
        <f t="shared" ref="BC37" si="35">BC38+BC41</f>
        <v>101.19999999999999</v>
      </c>
      <c r="BD37" s="17">
        <f t="shared" ref="BD37" si="36">SUM(BD38:BD41)</f>
        <v>100.1</v>
      </c>
      <c r="BE37" s="17">
        <f t="shared" ref="BE37" si="37">SUM(BE38:BE41)</f>
        <v>100.1</v>
      </c>
      <c r="BF37" s="17">
        <f t="shared" ref="BF37" si="38">SUM(BF38:BF41)</f>
        <v>100.1</v>
      </c>
      <c r="BG37" s="116">
        <f t="shared" ref="BG37" si="39">BG38+BG41</f>
        <v>69.97</v>
      </c>
      <c r="BH37" s="17"/>
      <c r="BI37" s="150">
        <f>SUM(BI38:BI41)</f>
        <v>90.86</v>
      </c>
      <c r="BJ37" s="17">
        <f>SUM(BJ38:BJ41)</f>
        <v>93.210000000000008</v>
      </c>
      <c r="BK37" s="17"/>
      <c r="BL37" s="17"/>
      <c r="BM37" s="17">
        <f>SUM(BM38:BM41)</f>
        <v>153.10000000000002</v>
      </c>
      <c r="BN37" s="116"/>
      <c r="BO37" s="17"/>
      <c r="BP37" s="165">
        <f>SUM(BP38:BP41)</f>
        <v>141.4</v>
      </c>
      <c r="BQ37" s="17"/>
      <c r="BR37" s="150"/>
      <c r="BS37" s="17"/>
      <c r="BT37" s="17"/>
      <c r="BU37" s="17">
        <f>SUM(BU38:BU41)</f>
        <v>59.230000000000004</v>
      </c>
      <c r="BV37" s="303">
        <v>63</v>
      </c>
      <c r="BW37" s="17">
        <f>SUM(BW38:BW41)</f>
        <v>71.7</v>
      </c>
      <c r="BX37" s="17"/>
      <c r="BY37" s="17">
        <f t="shared" ref="BY37:BZ37" si="40">SUM(BY38:BY41)</f>
        <v>87.19</v>
      </c>
      <c r="BZ37" s="116">
        <f t="shared" si="40"/>
        <v>87.19</v>
      </c>
      <c r="CA37" s="97"/>
    </row>
    <row r="38" spans="1:79">
      <c r="A38" s="128" t="s">
        <v>354</v>
      </c>
      <c r="B38" s="150" t="s">
        <v>346</v>
      </c>
      <c r="C38" s="185">
        <v>12.5</v>
      </c>
      <c r="D38" s="109">
        <v>19.100000000000001</v>
      </c>
      <c r="E38" s="109">
        <v>20.74</v>
      </c>
      <c r="F38" s="109">
        <f>SUM(F39:F40)</f>
        <v>20.740000000000002</v>
      </c>
      <c r="G38" s="109">
        <f>SUM(G39:G40)</f>
        <v>20.740000000000002</v>
      </c>
      <c r="H38" s="109">
        <v>20.74</v>
      </c>
      <c r="I38" s="109">
        <v>20.74</v>
      </c>
      <c r="J38" s="109">
        <v>20.74</v>
      </c>
      <c r="K38" s="109">
        <f>SUM(K39:K40)</f>
        <v>22.92</v>
      </c>
      <c r="L38" s="182">
        <v>21.74</v>
      </c>
      <c r="M38" s="182">
        <v>21.74</v>
      </c>
      <c r="N38" s="109">
        <f>SUM(N39:N40)</f>
        <v>20.740000000000002</v>
      </c>
      <c r="O38" s="205">
        <v>26.5</v>
      </c>
      <c r="P38" s="205">
        <v>26.5</v>
      </c>
      <c r="Q38" s="109">
        <f>SUM(Q39:Q40)</f>
        <v>25.8</v>
      </c>
      <c r="R38" s="376">
        <f>SUM(R39:R40)</f>
        <v>20.02</v>
      </c>
      <c r="S38" s="17"/>
      <c r="T38" s="109">
        <v>18.7</v>
      </c>
      <c r="U38" s="90"/>
      <c r="V38" s="90">
        <f>SUM(V39:V40)</f>
        <v>19.010000000000002</v>
      </c>
      <c r="W38" s="90">
        <f>SUM(W39:W40)</f>
        <v>19.010000000000002</v>
      </c>
      <c r="X38" s="109">
        <v>19.010000000000002</v>
      </c>
      <c r="Y38" s="182">
        <v>18.97</v>
      </c>
      <c r="Z38" s="182">
        <v>18.97</v>
      </c>
      <c r="AA38" s="109">
        <v>25.48</v>
      </c>
      <c r="AB38" s="109">
        <v>25.48</v>
      </c>
      <c r="AC38" s="208">
        <v>23.73</v>
      </c>
      <c r="AD38" s="17"/>
      <c r="AE38" s="185">
        <f>SUM(AE39:AE40)</f>
        <v>19.200000000000003</v>
      </c>
      <c r="AF38" s="109">
        <f t="shared" ref="AF38:AQ38" si="41">SUM(AF39:AF40)</f>
        <v>19.200000000000003</v>
      </c>
      <c r="AG38" s="109">
        <f t="shared" si="41"/>
        <v>19.200000000000003</v>
      </c>
      <c r="AH38" s="109">
        <f t="shared" si="41"/>
        <v>19.200000000000003</v>
      </c>
      <c r="AI38" s="109">
        <f t="shared" si="41"/>
        <v>19.200000000000003</v>
      </c>
      <c r="AJ38" s="109">
        <f t="shared" si="41"/>
        <v>19.200000000000003</v>
      </c>
      <c r="AK38" s="109">
        <f t="shared" si="41"/>
        <v>19.200000000000003</v>
      </c>
      <c r="AL38" s="109">
        <f t="shared" si="41"/>
        <v>19.200000000000003</v>
      </c>
      <c r="AM38" s="109">
        <f t="shared" si="41"/>
        <v>19.200000000000003</v>
      </c>
      <c r="AN38" s="109">
        <f t="shared" ref="AN38" si="42">SUM(AN39:AN40)</f>
        <v>19.200000000000003</v>
      </c>
      <c r="AO38" s="109">
        <f t="shared" si="41"/>
        <v>19.200000000000003</v>
      </c>
      <c r="AP38" s="109">
        <f t="shared" si="41"/>
        <v>19.200000000000003</v>
      </c>
      <c r="AQ38" s="109">
        <f t="shared" si="41"/>
        <v>19.200000000000003</v>
      </c>
      <c r="AR38" s="109">
        <f t="shared" ref="AR38" si="43">SUM(AR39:AR40)</f>
        <v>22.58</v>
      </c>
      <c r="AS38" s="109">
        <f t="shared" ref="AS38" si="44">SUM(AS39:AS40)</f>
        <v>22.58</v>
      </c>
      <c r="AT38" s="109">
        <f t="shared" ref="AT38" si="45">SUM(AT39:AT40)</f>
        <v>22.58</v>
      </c>
      <c r="AU38" s="109">
        <f t="shared" ref="AU38" si="46">SUM(AU39:AU40)</f>
        <v>22.58</v>
      </c>
      <c r="AV38" s="109">
        <f t="shared" ref="AV38:BA38" si="47">SUM(AV39:AV40)</f>
        <v>22.58</v>
      </c>
      <c r="AW38" s="182">
        <v>22.58</v>
      </c>
      <c r="AX38" s="109">
        <f t="shared" si="47"/>
        <v>22</v>
      </c>
      <c r="AY38" s="109">
        <f t="shared" si="47"/>
        <v>22</v>
      </c>
      <c r="AZ38" s="182">
        <v>22</v>
      </c>
      <c r="BA38" s="109">
        <f t="shared" si="47"/>
        <v>22</v>
      </c>
      <c r="BB38" s="90">
        <v>23.4</v>
      </c>
      <c r="BC38" s="109">
        <f t="shared" ref="BC38" si="48">SUM(BC39:BC40)</f>
        <v>23.4</v>
      </c>
      <c r="BD38" s="90">
        <v>23.4</v>
      </c>
      <c r="BE38" s="90">
        <v>23.4</v>
      </c>
      <c r="BF38" s="90">
        <v>23.4</v>
      </c>
      <c r="BG38" s="362">
        <v>17.7</v>
      </c>
      <c r="BH38" s="17"/>
      <c r="BI38" s="321">
        <f>26.8</f>
        <v>26.8</v>
      </c>
      <c r="BJ38" s="90">
        <f>22.45</f>
        <v>22.45</v>
      </c>
      <c r="BK38" s="90"/>
      <c r="BL38" s="17"/>
      <c r="BM38" s="90">
        <f>45.7</f>
        <v>45.7</v>
      </c>
      <c r="BN38" s="116"/>
      <c r="BO38" s="17"/>
      <c r="BP38" s="328">
        <f>38.75</f>
        <v>38.75</v>
      </c>
      <c r="BQ38" s="17"/>
      <c r="BR38" s="150"/>
      <c r="BS38" s="17"/>
      <c r="BT38" s="17"/>
      <c r="BU38" s="109">
        <v>19.03</v>
      </c>
      <c r="BV38" s="13">
        <f>SUM(BV39:BV40)</f>
        <v>21.33</v>
      </c>
      <c r="BW38" s="109">
        <v>18.62</v>
      </c>
      <c r="BX38" s="17"/>
      <c r="BY38" s="226">
        <v>18.54</v>
      </c>
      <c r="BZ38" s="362">
        <v>18.54</v>
      </c>
    </row>
    <row r="39" spans="1:79">
      <c r="A39" s="310" t="s">
        <v>358</v>
      </c>
      <c r="B39" s="150" t="s">
        <v>346</v>
      </c>
      <c r="C39" s="150"/>
      <c r="D39" s="17"/>
      <c r="E39" s="17"/>
      <c r="F39" s="109">
        <v>7</v>
      </c>
      <c r="G39" s="109">
        <v>7</v>
      </c>
      <c r="H39" s="17"/>
      <c r="I39" s="17"/>
      <c r="J39" s="90">
        <v>7</v>
      </c>
      <c r="K39" s="90">
        <v>9.18</v>
      </c>
      <c r="L39" s="182"/>
      <c r="M39" s="182"/>
      <c r="N39" s="90">
        <v>7</v>
      </c>
      <c r="O39" s="205"/>
      <c r="P39" s="205"/>
      <c r="Q39" s="205">
        <v>13.9</v>
      </c>
      <c r="R39" s="376">
        <v>9.61</v>
      </c>
      <c r="S39" s="17"/>
      <c r="T39" s="109"/>
      <c r="U39" s="90"/>
      <c r="V39" s="90">
        <v>7.94</v>
      </c>
      <c r="W39" s="90">
        <v>7.94</v>
      </c>
      <c r="X39" s="109"/>
      <c r="Y39" s="182"/>
      <c r="Z39" s="182"/>
      <c r="AA39" s="109"/>
      <c r="AB39" s="109"/>
      <c r="AC39" s="208"/>
      <c r="AD39" s="17"/>
      <c r="AE39" s="185">
        <v>10.3</v>
      </c>
      <c r="AF39" s="109">
        <v>10.3</v>
      </c>
      <c r="AG39" s="109">
        <v>10.3</v>
      </c>
      <c r="AH39" s="109">
        <v>10.3</v>
      </c>
      <c r="AI39" s="109">
        <v>10.3</v>
      </c>
      <c r="AJ39" s="109">
        <v>10.3</v>
      </c>
      <c r="AK39" s="109">
        <v>10.3</v>
      </c>
      <c r="AL39" s="109">
        <v>10.3</v>
      </c>
      <c r="AM39" s="109">
        <v>10.3</v>
      </c>
      <c r="AN39" s="17">
        <v>10.3</v>
      </c>
      <c r="AO39" s="109">
        <v>10.3</v>
      </c>
      <c r="AP39" s="109">
        <v>10.3</v>
      </c>
      <c r="AQ39" s="109">
        <v>10.3</v>
      </c>
      <c r="AR39" s="109">
        <v>13.2</v>
      </c>
      <c r="AS39" s="109">
        <v>13.2</v>
      </c>
      <c r="AT39" s="109">
        <v>13.2</v>
      </c>
      <c r="AU39" s="109">
        <v>13.2</v>
      </c>
      <c r="AV39" s="109">
        <v>13.2</v>
      </c>
      <c r="AW39" s="182"/>
      <c r="AX39" s="109">
        <v>9</v>
      </c>
      <c r="AY39" s="109">
        <v>9</v>
      </c>
      <c r="AZ39" s="182"/>
      <c r="BA39" s="109">
        <v>9</v>
      </c>
      <c r="BB39" s="90"/>
      <c r="BC39" s="109">
        <v>14.4</v>
      </c>
      <c r="BD39" s="90"/>
      <c r="BE39" s="90"/>
      <c r="BF39" s="90"/>
      <c r="BG39" s="116">
        <f>BG38-BG40</f>
        <v>11</v>
      </c>
      <c r="BH39" s="17"/>
      <c r="BI39" s="321"/>
      <c r="BJ39" s="90"/>
      <c r="BK39" s="90"/>
      <c r="BL39" s="17"/>
      <c r="BM39" s="90"/>
      <c r="BN39" s="116"/>
      <c r="BO39" s="17"/>
      <c r="BP39" s="328"/>
      <c r="BQ39" s="17"/>
      <c r="BR39" s="150"/>
      <c r="BS39" s="17"/>
      <c r="BT39" s="17"/>
      <c r="BU39" s="109"/>
      <c r="BV39" s="13">
        <v>8.39</v>
      </c>
      <c r="BW39" s="109"/>
      <c r="BX39" s="17"/>
      <c r="BY39" s="226">
        <v>5.33</v>
      </c>
      <c r="BZ39" s="362">
        <v>5.33</v>
      </c>
    </row>
    <row r="40" spans="1:79">
      <c r="A40" s="310" t="s">
        <v>359</v>
      </c>
      <c r="B40" s="150" t="s">
        <v>346</v>
      </c>
      <c r="C40" s="150"/>
      <c r="D40" s="17"/>
      <c r="E40" s="17"/>
      <c r="F40" s="109">
        <v>13.74</v>
      </c>
      <c r="G40" s="109">
        <v>13.74</v>
      </c>
      <c r="H40" s="17"/>
      <c r="I40" s="17"/>
      <c r="J40" s="90">
        <f>11.8+1.94</f>
        <v>13.74</v>
      </c>
      <c r="K40" s="90">
        <v>13.74</v>
      </c>
      <c r="L40" s="182"/>
      <c r="M40" s="182"/>
      <c r="N40" s="90">
        <v>13.74</v>
      </c>
      <c r="O40" s="205"/>
      <c r="P40" s="205"/>
      <c r="Q40" s="205">
        <v>11.9</v>
      </c>
      <c r="R40" s="376">
        <v>10.41</v>
      </c>
      <c r="S40" s="17"/>
      <c r="T40" s="109"/>
      <c r="U40" s="90"/>
      <c r="V40" s="90">
        <f>9.49+1.58</f>
        <v>11.07</v>
      </c>
      <c r="W40" s="90">
        <f>9.49+1.58</f>
        <v>11.07</v>
      </c>
      <c r="X40" s="109"/>
      <c r="Y40" s="182"/>
      <c r="Z40" s="182"/>
      <c r="AA40" s="109"/>
      <c r="AB40" s="109"/>
      <c r="AC40" s="208"/>
      <c r="AD40" s="17"/>
      <c r="AE40" s="185">
        <v>8.9</v>
      </c>
      <c r="AF40" s="109">
        <v>8.9</v>
      </c>
      <c r="AG40" s="109">
        <v>8.9</v>
      </c>
      <c r="AH40" s="109">
        <v>8.9</v>
      </c>
      <c r="AI40" s="109">
        <v>8.9</v>
      </c>
      <c r="AJ40" s="109">
        <v>8.9</v>
      </c>
      <c r="AK40" s="109">
        <v>8.9</v>
      </c>
      <c r="AL40" s="109">
        <v>8.9</v>
      </c>
      <c r="AM40" s="109">
        <v>8.9</v>
      </c>
      <c r="AN40" s="17">
        <v>8.9</v>
      </c>
      <c r="AO40" s="109">
        <v>8.9</v>
      </c>
      <c r="AP40" s="109">
        <v>8.9</v>
      </c>
      <c r="AQ40" s="109">
        <v>8.9</v>
      </c>
      <c r="AR40" s="109">
        <v>9.3800000000000008</v>
      </c>
      <c r="AS40" s="109">
        <v>9.3800000000000008</v>
      </c>
      <c r="AT40" s="109">
        <v>9.3800000000000008</v>
      </c>
      <c r="AU40" s="109">
        <v>9.3800000000000008</v>
      </c>
      <c r="AV40" s="109">
        <v>9.3800000000000008</v>
      </c>
      <c r="AW40" s="182"/>
      <c r="AX40" s="109">
        <v>13</v>
      </c>
      <c r="AY40" s="109">
        <v>13</v>
      </c>
      <c r="AZ40" s="182"/>
      <c r="BA40" s="109">
        <v>13</v>
      </c>
      <c r="BB40" s="90"/>
      <c r="BC40" s="109">
        <v>9</v>
      </c>
      <c r="BD40" s="90"/>
      <c r="BE40" s="90"/>
      <c r="BF40" s="90"/>
      <c r="BG40" s="362">
        <v>6.7</v>
      </c>
      <c r="BH40" s="17"/>
      <c r="BI40" s="321"/>
      <c r="BJ40" s="90"/>
      <c r="BK40" s="90"/>
      <c r="BL40" s="17"/>
      <c r="BM40" s="90"/>
      <c r="BN40" s="116"/>
      <c r="BO40" s="17"/>
      <c r="BP40" s="328"/>
      <c r="BQ40" s="17"/>
      <c r="BR40" s="150"/>
      <c r="BS40" s="17"/>
      <c r="BT40" s="17"/>
      <c r="BU40" s="109"/>
      <c r="BV40" s="13">
        <v>12.94</v>
      </c>
      <c r="BW40" s="109"/>
      <c r="BX40" s="17"/>
      <c r="BY40" s="226">
        <v>13.21</v>
      </c>
      <c r="BZ40" s="362">
        <v>13.21</v>
      </c>
    </row>
    <row r="41" spans="1:79">
      <c r="A41" s="128" t="s">
        <v>353</v>
      </c>
      <c r="B41" s="150" t="s">
        <v>346</v>
      </c>
      <c r="C41" s="185">
        <v>24.7</v>
      </c>
      <c r="D41" s="109">
        <v>35.1</v>
      </c>
      <c r="E41" s="109">
        <v>48</v>
      </c>
      <c r="F41" s="109">
        <f>SUM(F42:F43)</f>
        <v>48</v>
      </c>
      <c r="G41" s="109">
        <f>SUM(G42:G43)</f>
        <v>48</v>
      </c>
      <c r="H41" s="109">
        <v>48.3</v>
      </c>
      <c r="I41" s="109">
        <v>48.3</v>
      </c>
      <c r="J41" s="109">
        <v>48.3</v>
      </c>
      <c r="K41" s="109">
        <f>SUM(K42:K43)</f>
        <v>48.3</v>
      </c>
      <c r="L41" s="182">
        <v>48</v>
      </c>
      <c r="M41" s="182">
        <v>48</v>
      </c>
      <c r="N41" s="109">
        <f>SUM(N42:N43)</f>
        <v>48.3</v>
      </c>
      <c r="O41" s="206">
        <v>59.6</v>
      </c>
      <c r="P41" s="206">
        <v>59.6</v>
      </c>
      <c r="Q41" s="109">
        <f>SUM(Q42:Q43)</f>
        <v>55</v>
      </c>
      <c r="R41" s="17">
        <f>SUM(R42:R43)</f>
        <v>41.03</v>
      </c>
      <c r="S41" s="17"/>
      <c r="T41" s="109">
        <v>40.1</v>
      </c>
      <c r="U41" s="90"/>
      <c r="V41" s="90">
        <f>SUM(V42:V43)</f>
        <v>40.04</v>
      </c>
      <c r="W41" s="90">
        <f>SUM(W42:W43)</f>
        <v>40.04</v>
      </c>
      <c r="X41" s="377">
        <v>41.2</v>
      </c>
      <c r="Y41" s="182">
        <v>40.04</v>
      </c>
      <c r="Z41" s="182">
        <v>40.04</v>
      </c>
      <c r="AA41" s="109">
        <v>44.01</v>
      </c>
      <c r="AB41" s="109">
        <v>44.01</v>
      </c>
      <c r="AC41" s="208">
        <v>46.53</v>
      </c>
      <c r="AD41" s="17"/>
      <c r="AE41" s="185">
        <f>SUM(AE42:AE43)</f>
        <v>39.5</v>
      </c>
      <c r="AF41" s="109">
        <f t="shared" ref="AF41:AS41" si="49">SUM(AF42:AF43)</f>
        <v>39.5</v>
      </c>
      <c r="AG41" s="109">
        <f t="shared" si="49"/>
        <v>39.5</v>
      </c>
      <c r="AH41" s="109">
        <f t="shared" si="49"/>
        <v>39.5</v>
      </c>
      <c r="AI41" s="109">
        <f t="shared" si="49"/>
        <v>39.5</v>
      </c>
      <c r="AJ41" s="109">
        <f t="shared" si="49"/>
        <v>39.5</v>
      </c>
      <c r="AK41" s="109">
        <f t="shared" si="49"/>
        <v>39.5</v>
      </c>
      <c r="AL41" s="109">
        <f t="shared" si="49"/>
        <v>39.5</v>
      </c>
      <c r="AM41" s="109">
        <f t="shared" si="49"/>
        <v>39.5</v>
      </c>
      <c r="AN41" s="109">
        <f t="shared" si="49"/>
        <v>39.5</v>
      </c>
      <c r="AO41" s="109">
        <f t="shared" si="49"/>
        <v>39.5</v>
      </c>
      <c r="AP41" s="109">
        <f t="shared" si="49"/>
        <v>39.5</v>
      </c>
      <c r="AQ41" s="109">
        <f t="shared" si="49"/>
        <v>39.5</v>
      </c>
      <c r="AR41" s="109">
        <f t="shared" si="49"/>
        <v>49.05</v>
      </c>
      <c r="AS41" s="109">
        <f t="shared" si="49"/>
        <v>49.05</v>
      </c>
      <c r="AT41" s="109">
        <f t="shared" ref="AT41" si="50">SUM(AT42:AT43)</f>
        <v>49.05</v>
      </c>
      <c r="AU41" s="109">
        <f t="shared" ref="AU41" si="51">SUM(AU42:AU43)</f>
        <v>49.05</v>
      </c>
      <c r="AV41" s="109">
        <f t="shared" ref="AV41:BC41" si="52">SUM(AV42:AV43)</f>
        <v>49.05</v>
      </c>
      <c r="AW41" s="182">
        <v>49.05</v>
      </c>
      <c r="AX41" s="109">
        <f t="shared" si="52"/>
        <v>57.9</v>
      </c>
      <c r="AY41" s="109">
        <f t="shared" si="52"/>
        <v>57.9</v>
      </c>
      <c r="AZ41" s="182">
        <v>57.9</v>
      </c>
      <c r="BA41" s="109">
        <f t="shared" si="52"/>
        <v>57.9</v>
      </c>
      <c r="BB41" s="90">
        <v>76.7</v>
      </c>
      <c r="BC41" s="109">
        <f t="shared" si="52"/>
        <v>77.8</v>
      </c>
      <c r="BD41" s="90">
        <v>76.7</v>
      </c>
      <c r="BE41" s="90">
        <v>76.7</v>
      </c>
      <c r="BF41" s="90">
        <v>76.7</v>
      </c>
      <c r="BG41" s="362">
        <v>52.27</v>
      </c>
      <c r="BH41" s="17"/>
      <c r="BI41" s="321">
        <f>64.06</f>
        <v>64.06</v>
      </c>
      <c r="BJ41" s="90">
        <f>70.76</f>
        <v>70.760000000000005</v>
      </c>
      <c r="BK41" s="90"/>
      <c r="BL41" s="17"/>
      <c r="BM41" s="90">
        <f>107.4</f>
        <v>107.4</v>
      </c>
      <c r="BN41" s="116"/>
      <c r="BO41" s="17"/>
      <c r="BP41" s="328">
        <f>102.65</f>
        <v>102.65</v>
      </c>
      <c r="BQ41" s="17"/>
      <c r="BR41" s="150"/>
      <c r="BS41" s="17"/>
      <c r="BT41" s="17"/>
      <c r="BU41" s="109">
        <v>40.200000000000003</v>
      </c>
      <c r="BV41" s="13">
        <f>SUM(BV42:BV43)</f>
        <v>43.679999999999993</v>
      </c>
      <c r="BW41" s="109">
        <v>53.08</v>
      </c>
      <c r="BX41" s="17"/>
      <c r="BY41" s="226">
        <v>50.11</v>
      </c>
      <c r="BZ41" s="362">
        <v>50.11</v>
      </c>
      <c r="CA41" s="97"/>
    </row>
    <row r="42" spans="1:79">
      <c r="A42" s="310" t="s">
        <v>356</v>
      </c>
      <c r="B42" s="150" t="s">
        <v>346</v>
      </c>
      <c r="C42" s="150"/>
      <c r="D42" s="17"/>
      <c r="E42" s="17"/>
      <c r="F42" s="109">
        <v>28.8</v>
      </c>
      <c r="G42" s="109">
        <v>28.8</v>
      </c>
      <c r="H42" s="17"/>
      <c r="I42" s="17"/>
      <c r="J42" s="90">
        <v>30.86</v>
      </c>
      <c r="K42" s="90">
        <v>30.86</v>
      </c>
      <c r="L42" s="182"/>
      <c r="M42" s="182"/>
      <c r="N42" s="90">
        <v>30.86</v>
      </c>
      <c r="O42" s="206"/>
      <c r="P42" s="206"/>
      <c r="Q42" s="206">
        <v>33</v>
      </c>
      <c r="R42" s="376">
        <v>27.98</v>
      </c>
      <c r="S42" s="17"/>
      <c r="T42" s="109"/>
      <c r="U42" s="90"/>
      <c r="V42" s="90">
        <v>23.9</v>
      </c>
      <c r="W42" s="90">
        <v>23.9</v>
      </c>
      <c r="X42" s="109"/>
      <c r="Y42" s="182"/>
      <c r="Z42" s="182"/>
      <c r="AA42" s="109"/>
      <c r="AB42" s="109"/>
      <c r="AC42" s="208"/>
      <c r="AD42" s="17"/>
      <c r="AE42" s="185">
        <v>22.6</v>
      </c>
      <c r="AF42" s="109">
        <v>22.6</v>
      </c>
      <c r="AG42" s="109">
        <v>22.6</v>
      </c>
      <c r="AH42" s="109">
        <v>22.6</v>
      </c>
      <c r="AI42" s="109">
        <v>22.6</v>
      </c>
      <c r="AJ42" s="109">
        <v>22.6</v>
      </c>
      <c r="AK42" s="109">
        <v>22.6</v>
      </c>
      <c r="AL42" s="109">
        <v>22.6</v>
      </c>
      <c r="AM42" s="109">
        <v>22.6</v>
      </c>
      <c r="AN42" s="17">
        <v>22.6</v>
      </c>
      <c r="AO42" s="109">
        <v>22.6</v>
      </c>
      <c r="AP42" s="109">
        <v>22.6</v>
      </c>
      <c r="AQ42" s="109">
        <v>22.6</v>
      </c>
      <c r="AR42" s="109">
        <v>30.43</v>
      </c>
      <c r="AS42" s="109">
        <v>30.43</v>
      </c>
      <c r="AT42" s="109">
        <v>30.43</v>
      </c>
      <c r="AU42" s="109">
        <v>30.43</v>
      </c>
      <c r="AV42" s="109">
        <v>30.43</v>
      </c>
      <c r="AW42" s="182"/>
      <c r="AX42" s="109">
        <v>36</v>
      </c>
      <c r="AY42" s="109">
        <v>36</v>
      </c>
      <c r="AZ42" s="182"/>
      <c r="BA42" s="109">
        <v>36</v>
      </c>
      <c r="BB42" s="90"/>
      <c r="BC42" s="109">
        <v>52</v>
      </c>
      <c r="BD42" s="90"/>
      <c r="BE42" s="90"/>
      <c r="BF42" s="90"/>
      <c r="BG42" s="116">
        <f>BG41-BG43</f>
        <v>33.64</v>
      </c>
      <c r="BH42" s="17"/>
      <c r="BI42" s="321"/>
      <c r="BJ42" s="90"/>
      <c r="BK42" s="90"/>
      <c r="BL42" s="17"/>
      <c r="BM42" s="90"/>
      <c r="BN42" s="116"/>
      <c r="BO42" s="17"/>
      <c r="BP42" s="328"/>
      <c r="BQ42" s="17"/>
      <c r="BR42" s="150"/>
      <c r="BS42" s="17"/>
      <c r="BT42" s="17"/>
      <c r="BU42" s="109"/>
      <c r="BV42" s="13">
        <v>22.74</v>
      </c>
      <c r="BW42" s="109"/>
      <c r="BX42" s="17"/>
      <c r="BY42" s="226">
        <v>28.34</v>
      </c>
      <c r="BZ42" s="362">
        <v>28.34</v>
      </c>
    </row>
    <row r="43" spans="1:79">
      <c r="A43" s="310" t="s">
        <v>357</v>
      </c>
      <c r="B43" s="150" t="s">
        <v>346</v>
      </c>
      <c r="C43" s="150"/>
      <c r="D43" s="17"/>
      <c r="E43" s="17"/>
      <c r="F43" s="109">
        <v>19.2</v>
      </c>
      <c r="G43" s="109">
        <v>19.2</v>
      </c>
      <c r="H43" s="17"/>
      <c r="I43" s="17"/>
      <c r="J43" s="90">
        <f>8.72*2</f>
        <v>17.440000000000001</v>
      </c>
      <c r="K43" s="90">
        <v>17.440000000000001</v>
      </c>
      <c r="L43" s="182"/>
      <c r="M43" s="182"/>
      <c r="N43" s="90">
        <v>17.440000000000001</v>
      </c>
      <c r="O43" s="206"/>
      <c r="P43" s="206"/>
      <c r="Q43" s="206">
        <v>22</v>
      </c>
      <c r="R43" s="376">
        <v>13.05</v>
      </c>
      <c r="S43" s="17"/>
      <c r="T43" s="109"/>
      <c r="U43" s="90"/>
      <c r="V43" s="90">
        <f>12.49+3.65</f>
        <v>16.14</v>
      </c>
      <c r="W43" s="90">
        <f>12.49+3.65</f>
        <v>16.14</v>
      </c>
      <c r="X43" s="109"/>
      <c r="Y43" s="182"/>
      <c r="Z43" s="182"/>
      <c r="AA43" s="109"/>
      <c r="AB43" s="109"/>
      <c r="AC43" s="208"/>
      <c r="AD43" s="17"/>
      <c r="AE43" s="185">
        <v>16.899999999999999</v>
      </c>
      <c r="AF43" s="109">
        <v>16.899999999999999</v>
      </c>
      <c r="AG43" s="109">
        <v>16.899999999999999</v>
      </c>
      <c r="AH43" s="109">
        <v>16.899999999999999</v>
      </c>
      <c r="AI43" s="109">
        <v>16.899999999999999</v>
      </c>
      <c r="AJ43" s="109">
        <v>16.899999999999999</v>
      </c>
      <c r="AK43" s="109">
        <v>16.899999999999999</v>
      </c>
      <c r="AL43" s="109">
        <v>16.899999999999999</v>
      </c>
      <c r="AM43" s="109">
        <v>16.899999999999999</v>
      </c>
      <c r="AN43" s="17">
        <v>16.899999999999999</v>
      </c>
      <c r="AO43" s="109">
        <v>16.899999999999999</v>
      </c>
      <c r="AP43" s="109">
        <v>16.899999999999999</v>
      </c>
      <c r="AQ43" s="109">
        <v>16.899999999999999</v>
      </c>
      <c r="AR43" s="109">
        <v>18.62</v>
      </c>
      <c r="AS43" s="109">
        <v>18.62</v>
      </c>
      <c r="AT43" s="109">
        <v>18.62</v>
      </c>
      <c r="AU43" s="109">
        <v>18.62</v>
      </c>
      <c r="AV43" s="109">
        <v>18.62</v>
      </c>
      <c r="AW43" s="182"/>
      <c r="AX43" s="109">
        <v>21.9</v>
      </c>
      <c r="AY43" s="109">
        <v>21.9</v>
      </c>
      <c r="AZ43" s="182"/>
      <c r="BA43" s="109">
        <v>21.9</v>
      </c>
      <c r="BB43" s="90"/>
      <c r="BC43" s="109">
        <v>25.8</v>
      </c>
      <c r="BD43" s="90"/>
      <c r="BE43" s="90"/>
      <c r="BF43" s="90"/>
      <c r="BG43" s="362">
        <v>18.63</v>
      </c>
      <c r="BH43" s="17"/>
      <c r="BI43" s="321"/>
      <c r="BJ43" s="90"/>
      <c r="BK43" s="90"/>
      <c r="BL43" s="17"/>
      <c r="BM43" s="90"/>
      <c r="BN43" s="116"/>
      <c r="BO43" s="17"/>
      <c r="BP43" s="328"/>
      <c r="BQ43" s="17"/>
      <c r="BR43" s="150"/>
      <c r="BS43" s="17"/>
      <c r="BT43" s="17"/>
      <c r="BU43" s="109"/>
      <c r="BV43" s="303">
        <f>18.56+2.38</f>
        <v>20.939999999999998</v>
      </c>
      <c r="BW43" s="109"/>
      <c r="BX43" s="17"/>
      <c r="BY43" s="226">
        <f>10.88*2</f>
        <v>21.76</v>
      </c>
      <c r="BZ43" s="362">
        <f>10.88*2</f>
        <v>21.76</v>
      </c>
    </row>
    <row r="44" spans="1:79">
      <c r="A44" s="212" t="s">
        <v>470</v>
      </c>
      <c r="B44" s="150" t="s">
        <v>346</v>
      </c>
      <c r="C44" s="150"/>
      <c r="D44" s="17"/>
      <c r="E44" s="17"/>
      <c r="F44" s="17">
        <f>F35+F36+F40+F43</f>
        <v>86.149999999999991</v>
      </c>
      <c r="G44" s="17">
        <f>G35+G36+G40+G43</f>
        <v>86.149999999999991</v>
      </c>
      <c r="H44" s="17"/>
      <c r="I44" s="17"/>
      <c r="J44" s="17">
        <f>J35+J36+J40+J43</f>
        <v>84.38</v>
      </c>
      <c r="K44" s="17"/>
      <c r="L44" s="17"/>
      <c r="M44" s="17"/>
      <c r="N44" s="17">
        <f t="shared" ref="N44" si="53">N35+N36+N40+N43</f>
        <v>84.279999999999987</v>
      </c>
      <c r="O44" s="17"/>
      <c r="P44" s="17"/>
      <c r="Q44" s="17"/>
      <c r="R44" s="17">
        <f t="shared" ref="R44" si="54">R35+R36+R40+R43</f>
        <v>68.41</v>
      </c>
      <c r="S44" s="17"/>
      <c r="T44" s="17"/>
      <c r="U44" s="17"/>
      <c r="V44" s="17">
        <f t="shared" ref="V44" si="55">V35+V36+V40+V43</f>
        <v>65.22999999999999</v>
      </c>
      <c r="W44" s="17">
        <f t="shared" ref="W44" si="56">W35+W36+W40+W43</f>
        <v>65.22999999999999</v>
      </c>
      <c r="X44" s="17"/>
      <c r="Y44" s="17"/>
      <c r="Z44" s="3"/>
      <c r="AA44" s="17"/>
      <c r="AB44" s="17"/>
      <c r="AC44" s="116"/>
      <c r="AD44" s="17"/>
      <c r="AE44" s="150">
        <f t="shared" ref="AE44" si="57">AE35+AE36+AE40+AE43</f>
        <v>57.54</v>
      </c>
      <c r="AF44" s="17">
        <f t="shared" ref="AF44" si="58">AF35+AF36+AF40+AF43</f>
        <v>57.54</v>
      </c>
      <c r="AG44" s="17">
        <f t="shared" ref="AG44" si="59">AG35+AG36+AG40+AG43</f>
        <v>57.54</v>
      </c>
      <c r="AH44" s="17">
        <f t="shared" ref="AH44" si="60">AH35+AH36+AH40+AH43</f>
        <v>57.54</v>
      </c>
      <c r="AI44" s="17">
        <f t="shared" ref="AI44" si="61">AI35+AI36+AI40+AI43</f>
        <v>57.54</v>
      </c>
      <c r="AJ44" s="17">
        <f t="shared" ref="AJ44" si="62">AJ35+AJ36+AJ40+AJ43</f>
        <v>57.54</v>
      </c>
      <c r="AK44" s="17">
        <f t="shared" ref="AK44" si="63">AK35+AK36+AK40+AK43</f>
        <v>57.54</v>
      </c>
      <c r="AL44" s="17">
        <f t="shared" ref="AL44" si="64">AL35+AL36+AL40+AL43</f>
        <v>57.54</v>
      </c>
      <c r="AM44" s="17">
        <f t="shared" ref="AM44:AN44" si="65">AM35+AM36+AM40+AM43</f>
        <v>57.54</v>
      </c>
      <c r="AN44" s="17">
        <f t="shared" si="65"/>
        <v>57.4</v>
      </c>
      <c r="AO44" s="17">
        <f t="shared" ref="AO44" si="66">AO35+AO36+AO40+AO43</f>
        <v>57.54</v>
      </c>
      <c r="AP44" s="17">
        <f t="shared" ref="AP44" si="67">AP35+AP36+AP40+AP43</f>
        <v>57.54</v>
      </c>
      <c r="AQ44" s="17">
        <f t="shared" ref="AQ44" si="68">AQ35+AQ36+AQ40+AQ43</f>
        <v>57.54</v>
      </c>
      <c r="AR44" s="17">
        <f t="shared" ref="AR44" si="69">AR35+AR36+AR40+AR43</f>
        <v>69.180000000000007</v>
      </c>
      <c r="AS44" s="17">
        <f t="shared" ref="AS44" si="70">AS35+AS36+AS40+AS43</f>
        <v>69.180000000000007</v>
      </c>
      <c r="AT44" s="17">
        <f t="shared" ref="AT44" si="71">AT35+AT36+AT40+AT43</f>
        <v>70.960000000000008</v>
      </c>
      <c r="AU44" s="17">
        <f t="shared" ref="AU44" si="72">AU35+AU36+AU40+AU43</f>
        <v>70.960000000000008</v>
      </c>
      <c r="AV44" s="17">
        <f t="shared" ref="AV44" si="73">AV35+AV36+AV40+AV43</f>
        <v>70.960000000000008</v>
      </c>
      <c r="AW44" s="17"/>
      <c r="AX44" s="17">
        <f t="shared" ref="AX44" si="74">AX35+AX36+AX40+AX43</f>
        <v>89.4</v>
      </c>
      <c r="AY44" s="17">
        <f t="shared" ref="AY44" si="75">AY35+AY36+AY40+AY43</f>
        <v>89.4</v>
      </c>
      <c r="AZ44" s="17"/>
      <c r="BA44" s="17">
        <f t="shared" ref="BA44" si="76">BA35+BA36+BA40+BA43</f>
        <v>89.4</v>
      </c>
      <c r="BB44" s="17"/>
      <c r="BC44" s="17">
        <f t="shared" ref="BC44" si="77">BC35+BC36+BC40+BC43</f>
        <v>90.3</v>
      </c>
      <c r="BD44" s="17"/>
      <c r="BE44" s="17"/>
      <c r="BF44" s="17"/>
      <c r="BG44" s="116"/>
      <c r="BH44" s="17"/>
      <c r="BI44" s="150"/>
      <c r="BJ44" s="17"/>
      <c r="BK44" s="17"/>
      <c r="BL44" s="17"/>
      <c r="BM44" s="17"/>
      <c r="BN44" s="116"/>
      <c r="BO44" s="17"/>
      <c r="BP44" s="165"/>
      <c r="BQ44" s="17"/>
      <c r="BR44" s="150"/>
      <c r="BS44" s="17"/>
      <c r="BT44" s="17"/>
      <c r="BU44" s="17"/>
      <c r="BW44" s="17"/>
      <c r="BX44" s="17"/>
      <c r="BY44" s="17"/>
      <c r="BZ44" s="116"/>
    </row>
    <row r="45" spans="1:79">
      <c r="A45" s="212" t="s">
        <v>276</v>
      </c>
      <c r="B45" s="150"/>
      <c r="C45" s="150"/>
      <c r="D45" s="17"/>
      <c r="E45" s="17"/>
      <c r="F45" s="17"/>
      <c r="G45" s="17"/>
      <c r="H45" s="17"/>
      <c r="I45" s="17"/>
      <c r="J45" s="17"/>
      <c r="K45" s="17"/>
      <c r="L45" s="17"/>
      <c r="M45" s="17"/>
      <c r="N45" s="17"/>
      <c r="O45" s="17"/>
      <c r="P45" s="17"/>
      <c r="Q45" s="17"/>
      <c r="R45" s="17"/>
      <c r="S45" s="17"/>
      <c r="T45" s="17"/>
      <c r="U45" s="17"/>
      <c r="V45" s="17"/>
      <c r="W45" s="17"/>
      <c r="X45" s="17"/>
      <c r="Y45" s="17"/>
      <c r="Z45" s="3"/>
      <c r="AA45" s="17"/>
      <c r="AB45" s="17"/>
      <c r="AC45" s="116"/>
      <c r="AD45" s="17"/>
      <c r="AE45" s="150"/>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16"/>
      <c r="BH45" s="17"/>
      <c r="BI45" s="150"/>
      <c r="BJ45" s="17"/>
      <c r="BK45" s="17"/>
      <c r="BL45" s="17"/>
      <c r="BM45" s="17"/>
      <c r="BN45" s="116"/>
      <c r="BO45" s="17"/>
      <c r="BP45" s="165"/>
      <c r="BQ45" s="17"/>
      <c r="BR45" s="150"/>
      <c r="BS45" s="17"/>
      <c r="BT45" s="17"/>
      <c r="BU45" s="17"/>
      <c r="BW45" s="17"/>
      <c r="BX45" s="17"/>
      <c r="BY45" s="17"/>
      <c r="BZ45" s="116"/>
      <c r="CA45" s="97"/>
    </row>
    <row r="46" spans="1:79">
      <c r="A46" s="128" t="s">
        <v>471</v>
      </c>
      <c r="B46" s="150" t="s">
        <v>344</v>
      </c>
      <c r="C46" s="311">
        <f>23+10/12</f>
        <v>23.833333333333332</v>
      </c>
      <c r="D46" s="378">
        <v>25.33</v>
      </c>
      <c r="E46" s="109">
        <v>28.85</v>
      </c>
      <c r="F46" s="109">
        <v>28.8</v>
      </c>
      <c r="G46" s="109">
        <v>28.8</v>
      </c>
      <c r="H46" s="374">
        <f>31+8.75/12</f>
        <v>31.729166666666668</v>
      </c>
      <c r="I46" s="374">
        <f>31+8.75/12</f>
        <v>31.729166666666668</v>
      </c>
      <c r="J46" s="374">
        <f>31+(7+9/16)/12</f>
        <v>31.630208333333332</v>
      </c>
      <c r="K46" s="379">
        <f>33+(3+23/32)/12</f>
        <v>33.309895833333336</v>
      </c>
      <c r="L46" s="188">
        <f t="shared" ref="L46:N46" si="78">33+(3+23/32)/12</f>
        <v>33.309895833333336</v>
      </c>
      <c r="M46" s="379">
        <f t="shared" si="78"/>
        <v>33.309895833333336</v>
      </c>
      <c r="N46" s="379">
        <f t="shared" si="78"/>
        <v>33.309895833333336</v>
      </c>
      <c r="O46" s="205">
        <v>35.340000000000003</v>
      </c>
      <c r="P46" s="205">
        <v>35.340000000000003</v>
      </c>
      <c r="Q46" s="205">
        <v>35.340000000000003</v>
      </c>
      <c r="R46" s="17"/>
      <c r="S46" s="181"/>
      <c r="T46" s="109"/>
      <c r="U46" s="312">
        <f>30+2/12</f>
        <v>30.166666666666668</v>
      </c>
      <c r="V46" s="109">
        <v>30.13</v>
      </c>
      <c r="W46" s="109">
        <v>30.13</v>
      </c>
      <c r="X46" s="109">
        <v>30.13</v>
      </c>
      <c r="Y46" s="17">
        <v>30.13</v>
      </c>
      <c r="Z46" s="17">
        <v>30.13</v>
      </c>
      <c r="AA46" s="109">
        <v>31.33</v>
      </c>
      <c r="AB46" s="109">
        <v>31.33</v>
      </c>
      <c r="AC46" s="116">
        <v>31.33</v>
      </c>
      <c r="AD46" s="17"/>
      <c r="AE46" s="311">
        <f>25+(7+3/8)/12</f>
        <v>25.614583333333332</v>
      </c>
      <c r="AF46" s="312">
        <f t="shared" ref="AF46:AI46" si="79">25+(7+3/8)/12</f>
        <v>25.614583333333332</v>
      </c>
      <c r="AG46" s="312">
        <f t="shared" si="79"/>
        <v>25.614583333333332</v>
      </c>
      <c r="AH46" s="312">
        <f t="shared" si="79"/>
        <v>25.614583333333332</v>
      </c>
      <c r="AI46" s="312">
        <f t="shared" si="79"/>
        <v>25.614583333333332</v>
      </c>
      <c r="AJ46" s="312">
        <f>26+(4+3/8)/12</f>
        <v>26.364583333333332</v>
      </c>
      <c r="AK46" s="312">
        <f t="shared" ref="AK46:AL46" si="80">26+(4+3/8)/12</f>
        <v>26.364583333333332</v>
      </c>
      <c r="AL46" s="312">
        <f t="shared" si="80"/>
        <v>26.364583333333332</v>
      </c>
      <c r="AM46" s="188">
        <f>26+1/16/12</f>
        <v>26.005208333333332</v>
      </c>
      <c r="AN46" s="48">
        <f>26+0.5/12</f>
        <v>26.041666666666668</v>
      </c>
      <c r="AO46" s="312">
        <f>26+1/16/12</f>
        <v>26.005208333333332</v>
      </c>
      <c r="AP46" s="312">
        <f t="shared" ref="AP46:AQ46" si="81">26+1/16/12</f>
        <v>26.005208333333332</v>
      </c>
      <c r="AQ46" s="312">
        <f t="shared" si="81"/>
        <v>26.005208333333332</v>
      </c>
      <c r="AR46" s="312">
        <f>28+9.38/12</f>
        <v>28.781666666666666</v>
      </c>
      <c r="AS46" s="312">
        <f>28+9.38/12</f>
        <v>28.781666666666666</v>
      </c>
      <c r="AT46" s="312">
        <f t="shared" ref="AT46:AV46" si="82">28+(10+5/8)/12</f>
        <v>28.885416666666668</v>
      </c>
      <c r="AU46" s="312">
        <f>28+(10+5/8)/12</f>
        <v>28.885416666666668</v>
      </c>
      <c r="AV46" s="312">
        <f t="shared" si="82"/>
        <v>28.885416666666668</v>
      </c>
      <c r="AW46" s="17"/>
      <c r="AX46" s="312">
        <f>33+4.13/12</f>
        <v>33.344166666666666</v>
      </c>
      <c r="AY46" s="312">
        <f>33+4.13/12</f>
        <v>33.344166666666666</v>
      </c>
      <c r="AZ46" s="226">
        <f>33+3/12</f>
        <v>33.25</v>
      </c>
      <c r="BA46" s="312">
        <f>33+8.3/12</f>
        <v>33.69166666666667</v>
      </c>
      <c r="BB46" s="363">
        <f t="shared" ref="BB46:BE46" si="83">33+10/12</f>
        <v>33.833333333333336</v>
      </c>
      <c r="BC46" s="363">
        <f t="shared" si="83"/>
        <v>33.833333333333336</v>
      </c>
      <c r="BD46" s="363">
        <f t="shared" si="83"/>
        <v>33.833333333333336</v>
      </c>
      <c r="BE46" s="363">
        <f t="shared" si="83"/>
        <v>33.833333333333336</v>
      </c>
      <c r="BF46" s="363">
        <f>33+10/12</f>
        <v>33.833333333333336</v>
      </c>
      <c r="BG46" s="362">
        <v>27.5</v>
      </c>
      <c r="BH46" s="17"/>
      <c r="BI46" s="321">
        <v>32.1</v>
      </c>
      <c r="BJ46" s="363">
        <f>31+8/75/12</f>
        <v>31.00888888888889</v>
      </c>
      <c r="BK46" s="406">
        <f>39+9/12</f>
        <v>39.75</v>
      </c>
      <c r="BL46" s="48">
        <f>39+2/12</f>
        <v>39.166666666666664</v>
      </c>
      <c r="BM46" s="90">
        <v>33.61</v>
      </c>
      <c r="BN46" s="204">
        <f>39+8/12</f>
        <v>39.666666666666664</v>
      </c>
      <c r="BO46" s="17"/>
      <c r="BP46" s="328">
        <v>39.9</v>
      </c>
      <c r="BQ46" s="17"/>
      <c r="BR46" s="150"/>
      <c r="BS46" s="17"/>
      <c r="BT46" s="17"/>
      <c r="BU46" s="109">
        <v>28</v>
      </c>
      <c r="BV46" s="211">
        <f>29+1.94/12</f>
        <v>29.161666666666665</v>
      </c>
      <c r="BW46" s="109">
        <v>27.8</v>
      </c>
      <c r="BX46" s="17"/>
      <c r="BY46" s="363">
        <f>(347+7/8)/12</f>
        <v>28.989583333333332</v>
      </c>
      <c r="BZ46" s="360">
        <f>(347+7/8)/12</f>
        <v>28.989583333333332</v>
      </c>
    </row>
    <row r="47" spans="1:79" ht="12.5">
      <c r="A47" s="128" t="s">
        <v>226</v>
      </c>
      <c r="B47" s="150" t="s">
        <v>344</v>
      </c>
      <c r="C47" s="159">
        <v>20.9</v>
      </c>
      <c r="D47" s="30">
        <v>23.2</v>
      </c>
      <c r="E47" s="30">
        <v>24.4</v>
      </c>
      <c r="F47" s="13">
        <f t="shared" ref="F47:G47" si="84">16.08*20/12</f>
        <v>26.799999999999997</v>
      </c>
      <c r="G47" s="13">
        <f t="shared" si="84"/>
        <v>26.799999999999997</v>
      </c>
      <c r="H47" s="30">
        <v>27</v>
      </c>
      <c r="I47" s="30">
        <v>27</v>
      </c>
      <c r="J47" s="186"/>
      <c r="K47" s="48"/>
      <c r="L47" s="48"/>
      <c r="M47" s="48"/>
      <c r="N47" s="181">
        <f>27+11.5/12</f>
        <v>27.958333333333332</v>
      </c>
      <c r="O47" s="17">
        <v>31</v>
      </c>
      <c r="P47" s="20"/>
      <c r="Q47" s="20"/>
      <c r="R47" s="30"/>
      <c r="S47" s="30">
        <v>27.8</v>
      </c>
      <c r="T47" s="30">
        <v>29.5</v>
      </c>
      <c r="U47" s="30"/>
      <c r="V47" s="30">
        <v>26.3</v>
      </c>
      <c r="W47" s="30">
        <v>26.3</v>
      </c>
      <c r="X47" s="17"/>
      <c r="Y47" s="17"/>
      <c r="Z47" s="17"/>
      <c r="AA47" s="17"/>
      <c r="AB47" s="17"/>
      <c r="AC47" s="116"/>
      <c r="AD47" s="17"/>
      <c r="AE47" s="150">
        <f>17.2+8.9</f>
        <v>26.1</v>
      </c>
      <c r="AF47" s="17"/>
      <c r="AG47" s="17"/>
      <c r="AH47" s="17"/>
      <c r="AI47" s="17"/>
      <c r="AJ47" s="17"/>
      <c r="AK47" s="17"/>
      <c r="AL47" s="17"/>
      <c r="AM47" s="17"/>
      <c r="AN47" s="17"/>
      <c r="AO47" s="17"/>
      <c r="AP47" s="17"/>
      <c r="AQ47" s="17"/>
      <c r="AR47" s="90">
        <v>26.92</v>
      </c>
      <c r="AS47" s="90">
        <v>26.92</v>
      </c>
      <c r="AT47" s="30">
        <v>25.2</v>
      </c>
      <c r="AU47" s="30">
        <v>25.2</v>
      </c>
      <c r="AV47" s="30">
        <v>25.2</v>
      </c>
      <c r="AW47" s="30">
        <v>25.2</v>
      </c>
      <c r="AX47" s="30"/>
      <c r="AY47" s="30"/>
      <c r="AZ47" s="30"/>
      <c r="BA47" s="388">
        <f>44+8.3/12</f>
        <v>44.69166666666667</v>
      </c>
      <c r="BB47" s="30">
        <v>31.5</v>
      </c>
      <c r="BC47" s="30">
        <v>31.5</v>
      </c>
      <c r="BD47" s="30">
        <v>31.5</v>
      </c>
      <c r="BE47" s="30">
        <v>31.5</v>
      </c>
      <c r="BF47" s="30">
        <v>31.5</v>
      </c>
      <c r="BG47" s="116"/>
      <c r="BH47" s="17"/>
      <c r="BI47" s="159">
        <v>28.6</v>
      </c>
      <c r="BJ47" s="30">
        <v>29.8</v>
      </c>
      <c r="BK47" s="409"/>
      <c r="BL47" s="30">
        <v>34.799999999999997</v>
      </c>
      <c r="BM47" s="30">
        <v>32.5</v>
      </c>
      <c r="BN47" s="142">
        <v>34.1</v>
      </c>
      <c r="BO47" s="17"/>
      <c r="BP47" s="329">
        <v>35.799999999999997</v>
      </c>
      <c r="BQ47" s="17"/>
      <c r="BR47" s="159">
        <v>28</v>
      </c>
      <c r="BS47" s="30">
        <v>22.5</v>
      </c>
      <c r="BT47" s="30">
        <v>24.3</v>
      </c>
      <c r="BU47" s="30">
        <v>27.6</v>
      </c>
      <c r="BW47" s="30">
        <v>28.8</v>
      </c>
      <c r="BX47" s="30">
        <v>27.8</v>
      </c>
      <c r="BY47" s="30">
        <v>29</v>
      </c>
      <c r="BZ47" s="116"/>
    </row>
    <row r="48" spans="1:79">
      <c r="A48" s="128" t="s">
        <v>472</v>
      </c>
      <c r="B48" s="150" t="s">
        <v>344</v>
      </c>
      <c r="C48" s="311">
        <f>17.11*16/12</f>
        <v>22.813333333333333</v>
      </c>
      <c r="D48" s="378">
        <f>16.1*18/12</f>
        <v>24.150000000000002</v>
      </c>
      <c r="E48" s="109">
        <f>16.08*20/12</f>
        <v>26.799999999999997</v>
      </c>
      <c r="F48" s="109"/>
      <c r="G48" s="109"/>
      <c r="H48" s="378">
        <f>18.97*20/12</f>
        <v>31.616666666666664</v>
      </c>
      <c r="I48" s="378">
        <f>18.97*20/12</f>
        <v>31.616666666666664</v>
      </c>
      <c r="J48" s="378">
        <f>18.97*20/12</f>
        <v>31.616666666666664</v>
      </c>
      <c r="K48" s="188">
        <f t="shared" ref="K48:M48" si="85">33+(3+23/32)/12</f>
        <v>33.309895833333336</v>
      </c>
      <c r="L48" s="188">
        <f t="shared" si="85"/>
        <v>33.309895833333336</v>
      </c>
      <c r="M48" s="188">
        <f t="shared" si="85"/>
        <v>33.309895833333336</v>
      </c>
      <c r="N48" s="379">
        <f>33+3.75/12</f>
        <v>33.3125</v>
      </c>
      <c r="O48" s="380">
        <f>20.06*20/12</f>
        <v>33.43333333333333</v>
      </c>
      <c r="P48" s="380">
        <f t="shared" ref="P48:Q48" si="86">20.06*20/12</f>
        <v>33.43333333333333</v>
      </c>
      <c r="Q48" s="380">
        <f t="shared" si="86"/>
        <v>33.43333333333333</v>
      </c>
      <c r="R48" s="17"/>
      <c r="S48" s="17"/>
      <c r="T48" s="109">
        <f>21.12*16/12</f>
        <v>28.16</v>
      </c>
      <c r="U48" s="312"/>
      <c r="V48" s="109">
        <f t="shared" ref="V48:Z48" si="87">18.23*20/12</f>
        <v>30.383333333333336</v>
      </c>
      <c r="W48" s="109">
        <f>18.23*20/12</f>
        <v>30.383333333333336</v>
      </c>
      <c r="X48" s="109">
        <f t="shared" si="87"/>
        <v>30.383333333333336</v>
      </c>
      <c r="Y48" s="17">
        <f t="shared" si="87"/>
        <v>30.383333333333336</v>
      </c>
      <c r="Z48" s="17">
        <f t="shared" si="87"/>
        <v>30.383333333333336</v>
      </c>
      <c r="AA48" s="109">
        <f>25.28*15/12</f>
        <v>31.600000000000005</v>
      </c>
      <c r="AB48" s="109">
        <f t="shared" ref="AB48:AC48" si="88">25.28*15/12</f>
        <v>31.600000000000005</v>
      </c>
      <c r="AC48" s="116">
        <f t="shared" si="88"/>
        <v>31.600000000000005</v>
      </c>
      <c r="AD48" s="17"/>
      <c r="AE48" s="311">
        <f>18.09*16/12</f>
        <v>24.12</v>
      </c>
      <c r="AF48" s="312">
        <f t="shared" ref="AF48:AQ48" si="89">18.09*16/12</f>
        <v>24.12</v>
      </c>
      <c r="AG48" s="312">
        <f t="shared" si="89"/>
        <v>24.12</v>
      </c>
      <c r="AH48" s="312">
        <f t="shared" si="89"/>
        <v>24.12</v>
      </c>
      <c r="AI48" s="312">
        <f t="shared" si="89"/>
        <v>24.12</v>
      </c>
      <c r="AJ48" s="312">
        <f t="shared" si="89"/>
        <v>24.12</v>
      </c>
      <c r="AK48" s="312">
        <f t="shared" si="89"/>
        <v>24.12</v>
      </c>
      <c r="AL48" s="312">
        <v>24.4</v>
      </c>
      <c r="AM48" s="188">
        <f t="shared" si="89"/>
        <v>24.12</v>
      </c>
      <c r="AN48" s="48"/>
      <c r="AO48" s="312">
        <f t="shared" si="89"/>
        <v>24.12</v>
      </c>
      <c r="AP48" s="312">
        <f t="shared" si="89"/>
        <v>24.12</v>
      </c>
      <c r="AQ48" s="312">
        <f t="shared" si="89"/>
        <v>24.12</v>
      </c>
      <c r="AR48" s="312">
        <f>17.29*18/12</f>
        <v>25.934999999999999</v>
      </c>
      <c r="AS48" s="312">
        <f>17.29*18/12</f>
        <v>25.934999999999999</v>
      </c>
      <c r="AT48" s="312">
        <f t="shared" ref="AT48:AW48" si="90">17.29*18/12</f>
        <v>25.934999999999999</v>
      </c>
      <c r="AU48" s="312">
        <f t="shared" si="90"/>
        <v>25.934999999999999</v>
      </c>
      <c r="AV48" s="312">
        <f t="shared" si="90"/>
        <v>25.934999999999999</v>
      </c>
      <c r="AW48" s="17">
        <f t="shared" si="90"/>
        <v>25.934999999999999</v>
      </c>
      <c r="AX48" s="312">
        <f>17.9*20/12</f>
        <v>29.833333333333332</v>
      </c>
      <c r="AY48" s="312">
        <f>17.9*20/12</f>
        <v>29.833333333333332</v>
      </c>
      <c r="AZ48" s="48">
        <f>17.9*20/12</f>
        <v>29.833333333333332</v>
      </c>
      <c r="BA48" s="312">
        <f>17.9*20/12</f>
        <v>29.833333333333332</v>
      </c>
      <c r="BB48" s="90">
        <f>26.76*15/12</f>
        <v>33.450000000000003</v>
      </c>
      <c r="BC48" s="312">
        <f>26.76*15/12</f>
        <v>33.450000000000003</v>
      </c>
      <c r="BD48" s="90">
        <f>26.76*15/12</f>
        <v>33.450000000000003</v>
      </c>
      <c r="BE48" s="90">
        <f>26.76*15/12</f>
        <v>33.450000000000003</v>
      </c>
      <c r="BF48" s="90">
        <f>26.76*15/12</f>
        <v>33.450000000000003</v>
      </c>
      <c r="BG48" s="116">
        <v>27.3</v>
      </c>
      <c r="BH48" s="17"/>
      <c r="BI48" s="407">
        <f>24.43*15/12</f>
        <v>30.537499999999998</v>
      </c>
      <c r="BJ48" s="181">
        <f>18.55*20/12</f>
        <v>30.916666666666668</v>
      </c>
      <c r="BK48" s="406"/>
      <c r="BL48" s="48"/>
      <c r="BM48" s="181">
        <f>20.16*20/12</f>
        <v>33.6</v>
      </c>
      <c r="BN48" s="204"/>
      <c r="BO48" s="48"/>
      <c r="BP48" s="408">
        <f>20.65*22/12</f>
        <v>37.858333333333327</v>
      </c>
      <c r="BQ48" s="17"/>
      <c r="BR48" s="150"/>
      <c r="BS48" s="17"/>
      <c r="BT48" s="17"/>
      <c r="BU48" s="312">
        <f>19.78*16/12</f>
        <v>26.373333333333335</v>
      </c>
      <c r="BW48" s="109">
        <f>20.85*16/12</f>
        <v>27.8</v>
      </c>
      <c r="BX48" s="17"/>
      <c r="BY48" s="363">
        <v>20.5390625</v>
      </c>
      <c r="BZ48" s="360">
        <f>(246+15/32)/12</f>
        <v>20.5390625</v>
      </c>
      <c r="CA48" s="101">
        <v>24.75</v>
      </c>
    </row>
    <row r="49" spans="1:79" ht="12.5">
      <c r="A49" s="127" t="s">
        <v>352</v>
      </c>
      <c r="B49" s="150" t="s">
        <v>344</v>
      </c>
      <c r="C49" s="159"/>
      <c r="D49" s="30"/>
      <c r="E49" s="30"/>
      <c r="F49" s="30"/>
      <c r="G49" s="30"/>
      <c r="H49" s="189">
        <f>65.7/12</f>
        <v>5.4750000000000005</v>
      </c>
      <c r="I49" s="189">
        <f>65.7/12</f>
        <v>5.4750000000000005</v>
      </c>
      <c r="J49" s="30">
        <f>4.8</f>
        <v>4.8</v>
      </c>
      <c r="K49" s="189">
        <f>(69+11/16)/12</f>
        <v>5.807291666666667</v>
      </c>
      <c r="L49" s="189">
        <f t="shared" ref="L49:M49" si="91">(69+11/16)/12</f>
        <v>5.807291666666667</v>
      </c>
      <c r="M49" s="189">
        <f t="shared" si="91"/>
        <v>5.807291666666667</v>
      </c>
      <c r="N49" s="289">
        <f>57.81/12</f>
        <v>4.8174999999999999</v>
      </c>
      <c r="O49" s="17"/>
      <c r="P49" s="20"/>
      <c r="Q49" s="20"/>
      <c r="R49" s="30"/>
      <c r="S49" s="189">
        <f>133.6/12</f>
        <v>11.133333333333333</v>
      </c>
      <c r="T49" s="30"/>
      <c r="U49" s="189">
        <f>70.66/12</f>
        <v>5.8883333333333328</v>
      </c>
      <c r="V49" s="30"/>
      <c r="W49" s="30"/>
      <c r="X49" s="30"/>
      <c r="Y49" s="30"/>
      <c r="Z49" s="30"/>
      <c r="AA49" s="30"/>
      <c r="AB49" s="30"/>
      <c r="AC49" s="142"/>
      <c r="AD49" s="17"/>
      <c r="AE49" s="159"/>
      <c r="AF49" s="30"/>
      <c r="AG49" s="30"/>
      <c r="AH49" s="30"/>
      <c r="AI49" s="30"/>
      <c r="AJ49" s="30"/>
      <c r="AK49" s="30"/>
      <c r="AL49" s="30"/>
      <c r="AM49" s="30"/>
      <c r="AN49" s="30"/>
      <c r="AO49" s="30"/>
      <c r="AP49" s="30"/>
      <c r="AQ49" s="30"/>
      <c r="AR49" s="289">
        <f>17.29*18/12</f>
        <v>25.934999999999999</v>
      </c>
      <c r="AS49" s="289">
        <f>17.29*18/12</f>
        <v>25.934999999999999</v>
      </c>
      <c r="AT49" s="30"/>
      <c r="AU49" s="30"/>
      <c r="AV49" s="30"/>
      <c r="AW49" s="30"/>
      <c r="AX49" s="26"/>
      <c r="AY49" s="26"/>
      <c r="AZ49" s="30"/>
      <c r="BA49" s="30"/>
      <c r="BB49" s="30"/>
      <c r="BC49" s="30"/>
      <c r="BD49" s="30"/>
      <c r="BE49" s="30"/>
      <c r="BF49" s="30"/>
      <c r="BG49" s="142"/>
      <c r="BH49" s="30"/>
      <c r="BI49" s="153"/>
      <c r="BJ49" s="30"/>
      <c r="BK49" s="409"/>
      <c r="BL49" s="30"/>
      <c r="BM49" s="30"/>
      <c r="BN49" s="142"/>
      <c r="BO49" s="17"/>
      <c r="BP49" s="329"/>
      <c r="BQ49" s="30"/>
      <c r="BR49" s="159"/>
      <c r="BS49" s="30"/>
      <c r="BT49" s="30"/>
      <c r="BU49" s="30"/>
      <c r="BW49" s="30"/>
      <c r="BX49" s="30"/>
      <c r="BY49" s="30"/>
      <c r="BZ49" s="142"/>
    </row>
    <row r="50" spans="1:79" ht="12.5">
      <c r="A50" s="127" t="s">
        <v>351</v>
      </c>
      <c r="B50" s="150" t="s">
        <v>344</v>
      </c>
      <c r="C50" s="159"/>
      <c r="D50" s="30"/>
      <c r="E50" s="30"/>
      <c r="F50" s="30"/>
      <c r="G50" s="30"/>
      <c r="H50" s="30">
        <f t="shared" ref="H50:I50" si="92">39.6/12</f>
        <v>3.3000000000000003</v>
      </c>
      <c r="I50" s="30">
        <f t="shared" si="92"/>
        <v>3.3000000000000003</v>
      </c>
      <c r="J50" s="189">
        <f>37/12</f>
        <v>3.0833333333333335</v>
      </c>
      <c r="K50" s="189">
        <f>38.5/12</f>
        <v>3.2083333333333335</v>
      </c>
      <c r="L50" s="189">
        <f t="shared" ref="L50:M50" si="93">38.5/12</f>
        <v>3.2083333333333335</v>
      </c>
      <c r="M50" s="189">
        <f t="shared" si="93"/>
        <v>3.2083333333333335</v>
      </c>
      <c r="N50" s="289">
        <f>38.32/12</f>
        <v>3.1933333333333334</v>
      </c>
      <c r="O50" s="17"/>
      <c r="P50" s="20"/>
      <c r="Q50" s="20"/>
      <c r="R50" s="189">
        <f>35/12</f>
        <v>2.9166666666666665</v>
      </c>
      <c r="S50" s="189">
        <f>35/12</f>
        <v>2.9166666666666665</v>
      </c>
      <c r="T50" s="30"/>
      <c r="U50" s="189">
        <f>34.75/12</f>
        <v>2.8958333333333335</v>
      </c>
      <c r="V50" s="30"/>
      <c r="W50" s="30"/>
      <c r="X50" s="30"/>
      <c r="Y50" s="30"/>
      <c r="Z50" s="30"/>
      <c r="AA50" s="30"/>
      <c r="AB50" s="30"/>
      <c r="AC50" s="142"/>
      <c r="AD50" s="17"/>
      <c r="AE50" s="159"/>
      <c r="AF50" s="30"/>
      <c r="AG50" s="30"/>
      <c r="AH50" s="30"/>
      <c r="AI50" s="30"/>
      <c r="AJ50" s="30"/>
      <c r="AK50" s="30"/>
      <c r="AL50" s="30"/>
      <c r="AM50" s="30"/>
      <c r="AN50" s="30"/>
      <c r="AO50" s="30"/>
      <c r="AP50" s="30"/>
      <c r="AQ50" s="30"/>
      <c r="AR50" s="30"/>
      <c r="AS50" s="30"/>
      <c r="AT50" s="30"/>
      <c r="AU50" s="30"/>
      <c r="AV50" s="30"/>
      <c r="AW50" s="30"/>
      <c r="AX50" s="26"/>
      <c r="AY50" s="26"/>
      <c r="AZ50" s="30"/>
      <c r="BA50" s="30"/>
      <c r="BB50" s="30"/>
      <c r="BC50" s="30"/>
      <c r="BD50" s="30"/>
      <c r="BE50" s="30"/>
      <c r="BF50" s="30"/>
      <c r="BG50" s="142"/>
      <c r="BH50" s="30"/>
      <c r="BI50" s="159"/>
      <c r="BJ50" s="30"/>
      <c r="BK50" s="409"/>
      <c r="BL50" s="30"/>
      <c r="BM50" s="30"/>
      <c r="BN50" s="142"/>
      <c r="BO50" s="17"/>
      <c r="BP50" s="329"/>
      <c r="BQ50" s="30"/>
      <c r="BR50" s="159"/>
      <c r="BS50" s="30"/>
      <c r="BT50" s="30"/>
      <c r="BU50" s="30"/>
      <c r="BW50" s="30"/>
      <c r="BX50" s="30"/>
      <c r="BY50" s="30"/>
      <c r="BZ50" s="142"/>
    </row>
    <row r="51" spans="1:79" ht="12.5" hidden="1">
      <c r="A51" s="127" t="s">
        <v>312</v>
      </c>
      <c r="B51" s="150" t="s">
        <v>375</v>
      </c>
      <c r="C51" s="159"/>
      <c r="D51" s="30"/>
      <c r="E51" s="30"/>
      <c r="F51" s="30"/>
      <c r="G51" s="30"/>
      <c r="H51" s="190">
        <f>H47*H49*H50</f>
        <v>487.8225000000001</v>
      </c>
      <c r="I51" s="190">
        <f>I47*I49*I50</f>
        <v>487.8225000000001</v>
      </c>
      <c r="J51" s="190"/>
      <c r="K51" s="190"/>
      <c r="L51" s="190"/>
      <c r="M51" s="190"/>
      <c r="N51" s="190">
        <f t="shared" ref="N51" si="94">N47*N49*N50</f>
        <v>430.10773819444444</v>
      </c>
      <c r="O51" s="17"/>
      <c r="P51" s="20"/>
      <c r="Q51" s="20"/>
      <c r="R51" s="30"/>
      <c r="S51" s="30"/>
      <c r="T51" s="30"/>
      <c r="U51" s="30"/>
      <c r="V51" s="30"/>
      <c r="W51" s="30"/>
      <c r="X51" s="30"/>
      <c r="Y51" s="30"/>
      <c r="Z51" s="30"/>
      <c r="AA51" s="30"/>
      <c r="AB51" s="30"/>
      <c r="AC51" s="142"/>
      <c r="AD51" s="17"/>
      <c r="AE51" s="159"/>
      <c r="AF51" s="30"/>
      <c r="AG51" s="30"/>
      <c r="AH51" s="30"/>
      <c r="AI51" s="30"/>
      <c r="AJ51" s="30"/>
      <c r="AK51" s="30"/>
      <c r="AL51" s="30"/>
      <c r="AM51" s="30"/>
      <c r="AN51" s="30"/>
      <c r="AO51" s="30"/>
      <c r="AP51" s="30"/>
      <c r="AQ51" s="30"/>
      <c r="AR51" s="30"/>
      <c r="AS51" s="30"/>
      <c r="AT51" s="30"/>
      <c r="AU51" s="30"/>
      <c r="AV51" s="30"/>
      <c r="AW51" s="30"/>
      <c r="AX51" s="26"/>
      <c r="AY51" s="26"/>
      <c r="AZ51" s="30"/>
      <c r="BA51" s="30"/>
      <c r="BB51" s="30"/>
      <c r="BC51" s="30"/>
      <c r="BD51" s="30"/>
      <c r="BE51" s="30"/>
      <c r="BF51" s="30"/>
      <c r="BG51" s="142"/>
      <c r="BH51" s="30"/>
      <c r="BI51" s="159"/>
      <c r="BJ51" s="30"/>
      <c r="BK51" s="409"/>
      <c r="BL51" s="30"/>
      <c r="BM51" s="30"/>
      <c r="BN51" s="142"/>
      <c r="BO51" s="17"/>
      <c r="BP51" s="329"/>
      <c r="BQ51" s="30"/>
      <c r="BR51" s="159"/>
      <c r="BS51" s="30"/>
      <c r="BT51" s="30"/>
      <c r="BU51" s="30"/>
      <c r="BW51" s="30"/>
      <c r="BX51" s="30"/>
      <c r="BY51" s="30"/>
      <c r="BZ51" s="142"/>
    </row>
    <row r="52" spans="1:79" hidden="1">
      <c r="A52" s="127" t="s">
        <v>445</v>
      </c>
      <c r="B52" s="150"/>
      <c r="C52" s="353">
        <f>C46*C20*C20</f>
        <v>438.97193287037044</v>
      </c>
      <c r="D52" s="190">
        <f t="shared" ref="D52:BP52" si="95">D46*D20*D20</f>
        <v>405.28</v>
      </c>
      <c r="E52" s="190">
        <f t="shared" si="95"/>
        <v>462.75472124999999</v>
      </c>
      <c r="F52" s="190"/>
      <c r="G52" s="190">
        <f t="shared" si="95"/>
        <v>463.29937999999999</v>
      </c>
      <c r="H52" s="190"/>
      <c r="I52" s="190"/>
      <c r="J52" s="190"/>
      <c r="K52" s="190"/>
      <c r="L52" s="190"/>
      <c r="M52" s="190"/>
      <c r="N52" s="190"/>
      <c r="O52" s="186">
        <f t="shared" si="95"/>
        <v>676.4296875</v>
      </c>
      <c r="P52" s="186"/>
      <c r="Q52" s="186">
        <f t="shared" si="95"/>
        <v>676.4296875</v>
      </c>
      <c r="R52" s="190"/>
      <c r="S52" s="190"/>
      <c r="T52" s="190"/>
      <c r="U52" s="190"/>
      <c r="V52" s="190"/>
      <c r="W52" s="190"/>
      <c r="X52" s="190"/>
      <c r="Y52" s="190"/>
      <c r="Z52" s="190"/>
      <c r="AA52" s="190"/>
      <c r="AB52" s="190"/>
      <c r="AC52" s="354"/>
      <c r="AD52" s="186"/>
      <c r="AE52" s="353"/>
      <c r="AF52" s="190">
        <f t="shared" si="95"/>
        <v>523.31618333333336</v>
      </c>
      <c r="AG52" s="190">
        <f t="shared" si="95"/>
        <v>523.31618333333336</v>
      </c>
      <c r="AH52" s="190">
        <f t="shared" si="95"/>
        <v>540.43469398148136</v>
      </c>
      <c r="AI52" s="190">
        <f t="shared" si="95"/>
        <v>540.43469398148136</v>
      </c>
      <c r="AJ52" s="190">
        <f t="shared" si="95"/>
        <v>556.25872731481468</v>
      </c>
      <c r="AK52" s="190">
        <f t="shared" si="95"/>
        <v>556.25872731481468</v>
      </c>
      <c r="AL52" s="190">
        <f t="shared" si="95"/>
        <v>556.25872731481468</v>
      </c>
      <c r="AM52" s="190">
        <f t="shared" si="95"/>
        <v>531.29680833333339</v>
      </c>
      <c r="AN52" s="190"/>
      <c r="AO52" s="190">
        <f t="shared" si="95"/>
        <v>548.27828161168986</v>
      </c>
      <c r="AP52" s="190">
        <f t="shared" si="95"/>
        <v>548.27828161168986</v>
      </c>
      <c r="AQ52" s="190">
        <f t="shared" si="95"/>
        <v>548.27828161168986</v>
      </c>
      <c r="AR52" s="190">
        <f t="shared" si="95"/>
        <v>464.15955984837956</v>
      </c>
      <c r="AS52" s="190">
        <f t="shared" si="95"/>
        <v>461.65865287499997</v>
      </c>
      <c r="AT52" s="190">
        <f t="shared" si="95"/>
        <v>465.83272752459487</v>
      </c>
      <c r="AU52" s="190">
        <f t="shared" si="95"/>
        <v>465.83272752459487</v>
      </c>
      <c r="AV52" s="190">
        <f t="shared" si="95"/>
        <v>465.83272752459487</v>
      </c>
      <c r="AW52" s="190"/>
      <c r="AX52" s="387">
        <f>AX46*AX20*AX20</f>
        <v>645.5430666666665</v>
      </c>
      <c r="AY52" s="387">
        <f t="shared" si="95"/>
        <v>645.5430666666665</v>
      </c>
      <c r="AZ52" s="190"/>
      <c r="BA52" s="190">
        <f t="shared" si="95"/>
        <v>652.27066666666667</v>
      </c>
      <c r="BB52" s="190">
        <f t="shared" si="95"/>
        <v>647.59114583333337</v>
      </c>
      <c r="BC52" s="190">
        <f t="shared" si="95"/>
        <v>647.59114583333337</v>
      </c>
      <c r="BD52" s="190">
        <f t="shared" si="95"/>
        <v>647.59114583333337</v>
      </c>
      <c r="BE52" s="190">
        <f t="shared" si="95"/>
        <v>647.59114583333337</v>
      </c>
      <c r="BF52" s="190">
        <f t="shared" si="95"/>
        <v>647.59114583333337</v>
      </c>
      <c r="BG52" s="354">
        <f t="shared" si="95"/>
        <v>532.39999999999986</v>
      </c>
      <c r="BH52" s="190"/>
      <c r="BI52" s="353">
        <f t="shared" si="95"/>
        <v>434.12060062500007</v>
      </c>
      <c r="BJ52" s="190">
        <f t="shared" si="95"/>
        <v>654.24758854320976</v>
      </c>
      <c r="BK52" s="410"/>
      <c r="BL52" s="190">
        <f t="shared" si="95"/>
        <v>796.94834664351845</v>
      </c>
      <c r="BM52" s="190">
        <f t="shared" si="95"/>
        <v>682.6205937777778</v>
      </c>
      <c r="BN52" s="354">
        <f t="shared" si="95"/>
        <v>807.12215532407401</v>
      </c>
      <c r="BO52" s="186">
        <f t="shared" si="95"/>
        <v>0</v>
      </c>
      <c r="BP52" s="355">
        <f t="shared" si="95"/>
        <v>810.37077333333332</v>
      </c>
      <c r="BQ52" s="190"/>
      <c r="BR52" s="353"/>
      <c r="BS52" s="190"/>
      <c r="BT52" s="190"/>
      <c r="BU52" s="190">
        <f t="shared" ref="BU52:BW52" si="96">BU46*BU20*BU20</f>
        <v>393.75</v>
      </c>
      <c r="BW52" s="190">
        <f t="shared" si="96"/>
        <v>404.07734375000001</v>
      </c>
      <c r="BX52" s="190"/>
      <c r="BY52" s="190"/>
      <c r="BZ52" s="354"/>
    </row>
    <row r="53" spans="1:79" ht="12.5">
      <c r="A53" s="127" t="s">
        <v>372</v>
      </c>
      <c r="B53" s="150" t="s">
        <v>377</v>
      </c>
      <c r="C53" s="159"/>
      <c r="D53" s="30"/>
      <c r="E53" s="288">
        <f>SUM(E54:E55)</f>
        <v>163</v>
      </c>
      <c r="F53" s="207">
        <f>SUM(F54:F55)</f>
        <v>163</v>
      </c>
      <c r="G53" s="207">
        <f>SUM(G54:G55)</f>
        <v>163</v>
      </c>
      <c r="H53" s="288">
        <f t="shared" ref="H53" si="97">SUM(H54:H55)</f>
        <v>143</v>
      </c>
      <c r="I53" s="288">
        <f t="shared" ref="I53" si="98">SUM(I54:I55)</f>
        <v>144</v>
      </c>
      <c r="J53" s="288">
        <f t="shared" ref="J53" si="99">SUM(J54:J55)</f>
        <v>145</v>
      </c>
      <c r="K53" s="381">
        <f t="shared" ref="K53" si="100">SUM(K54:K55)</f>
        <v>146</v>
      </c>
      <c r="L53" s="288">
        <f t="shared" ref="L53" si="101">SUM(L54:L55)</f>
        <v>147</v>
      </c>
      <c r="M53" s="288">
        <f t="shared" ref="M53:N53" si="102">SUM(M54:M55)</f>
        <v>148</v>
      </c>
      <c r="N53" s="288">
        <f t="shared" si="102"/>
        <v>154</v>
      </c>
      <c r="O53" s="17"/>
      <c r="P53" s="20"/>
      <c r="Q53" s="20"/>
      <c r="R53" s="30"/>
      <c r="S53" s="288">
        <f t="shared" ref="S53" si="103">SUM(S54:S55)</f>
        <v>269.8</v>
      </c>
      <c r="T53" s="30"/>
      <c r="U53" s="30">
        <f>SUM(U54:U55)</f>
        <v>120</v>
      </c>
      <c r="V53" s="30"/>
      <c r="W53" s="30"/>
      <c r="X53" s="30"/>
      <c r="Y53" s="30"/>
      <c r="Z53" s="30"/>
      <c r="AA53" s="30"/>
      <c r="AB53" s="30"/>
      <c r="AC53" s="142"/>
      <c r="AD53" s="17"/>
      <c r="AE53" s="159"/>
      <c r="AF53" s="30"/>
      <c r="AG53" s="30"/>
      <c r="AH53" s="30"/>
      <c r="AI53" s="30"/>
      <c r="AJ53" s="30"/>
      <c r="AK53" s="30"/>
      <c r="AL53" s="30"/>
      <c r="AM53" s="30"/>
      <c r="AN53" s="30"/>
      <c r="AO53" s="30"/>
      <c r="AP53" s="30"/>
      <c r="AQ53" s="30"/>
      <c r="AR53" s="207">
        <v>147</v>
      </c>
      <c r="AS53" s="207">
        <v>147</v>
      </c>
      <c r="AT53" s="313">
        <v>144</v>
      </c>
      <c r="AU53" s="313">
        <v>144</v>
      </c>
      <c r="AV53" s="313">
        <v>144</v>
      </c>
      <c r="AX53" s="313">
        <v>178</v>
      </c>
      <c r="AY53" s="205">
        <v>237</v>
      </c>
      <c r="AZ53" s="364">
        <v>234</v>
      </c>
      <c r="BA53" s="364">
        <f t="shared" ref="BA53:BE53" si="104">SUM(BA54:BA55)</f>
        <v>250</v>
      </c>
      <c r="BB53" s="364">
        <f t="shared" si="104"/>
        <v>175</v>
      </c>
      <c r="BC53" s="364">
        <f t="shared" si="104"/>
        <v>175</v>
      </c>
      <c r="BD53" s="364">
        <f t="shared" si="104"/>
        <v>175</v>
      </c>
      <c r="BE53" s="364">
        <f t="shared" si="104"/>
        <v>175</v>
      </c>
      <c r="BF53" s="364">
        <f>SUM(BF54:BF55)</f>
        <v>175</v>
      </c>
      <c r="BG53" s="361">
        <f>SUM(BG54:BG55)</f>
        <v>185</v>
      </c>
      <c r="BH53" s="30"/>
      <c r="BI53" s="159"/>
      <c r="BJ53" s="364">
        <f>SUM(BJ54:BJ55)</f>
        <v>260</v>
      </c>
      <c r="BK53" s="409">
        <f>SUM(BK54:BK55)</f>
        <v>286</v>
      </c>
      <c r="BL53" s="30"/>
      <c r="BM53" s="30"/>
      <c r="BN53" s="142"/>
      <c r="BO53" s="17"/>
      <c r="BP53" s="329"/>
      <c r="BQ53" s="30"/>
      <c r="BR53" s="159"/>
      <c r="BS53" s="30"/>
      <c r="BT53" s="30"/>
      <c r="BU53" s="30"/>
      <c r="BW53" s="30"/>
      <c r="BX53" s="30"/>
      <c r="BY53" s="30">
        <v>178</v>
      </c>
      <c r="BZ53" s="142">
        <v>110.4</v>
      </c>
    </row>
    <row r="54" spans="1:79" ht="12.5">
      <c r="A54" s="128" t="s">
        <v>378</v>
      </c>
      <c r="B54" s="150" t="s">
        <v>377</v>
      </c>
      <c r="C54" s="159"/>
      <c r="D54" s="30"/>
      <c r="E54" s="288">
        <f>42+63</f>
        <v>105</v>
      </c>
      <c r="F54" s="207">
        <f>42+63</f>
        <v>105</v>
      </c>
      <c r="G54" s="207">
        <f>42+63</f>
        <v>105</v>
      </c>
      <c r="H54" s="382">
        <f t="shared" ref="H54:L54" si="105">35+50.5</f>
        <v>85.5</v>
      </c>
      <c r="I54" s="382">
        <f t="shared" si="105"/>
        <v>85.5</v>
      </c>
      <c r="J54" s="382">
        <f t="shared" si="105"/>
        <v>85.5</v>
      </c>
      <c r="K54" s="383">
        <f t="shared" si="105"/>
        <v>85.5</v>
      </c>
      <c r="L54" s="382">
        <f t="shared" si="105"/>
        <v>85.5</v>
      </c>
      <c r="M54" s="382">
        <f>35+50.5</f>
        <v>85.5</v>
      </c>
      <c r="N54" s="382">
        <f>34+54</f>
        <v>88</v>
      </c>
      <c r="O54" s="17"/>
      <c r="P54" s="20"/>
      <c r="Q54" s="20"/>
      <c r="R54" s="30"/>
      <c r="S54" s="288">
        <f>92.7+92.1</f>
        <v>184.8</v>
      </c>
      <c r="T54" s="30"/>
      <c r="U54" s="207">
        <v>120</v>
      </c>
      <c r="V54" s="30"/>
      <c r="W54" s="30"/>
      <c r="X54" s="30"/>
      <c r="Y54" s="30"/>
      <c r="Z54" s="30"/>
      <c r="AA54" s="30"/>
      <c r="AB54" s="30"/>
      <c r="AC54" s="142"/>
      <c r="AD54" s="17"/>
      <c r="AE54" s="159"/>
      <c r="AF54" s="30"/>
      <c r="AG54" s="30"/>
      <c r="AH54" s="30"/>
      <c r="AI54" s="30"/>
      <c r="AJ54" s="30"/>
      <c r="AK54" s="30"/>
      <c r="AL54" s="30"/>
      <c r="AM54" s="30"/>
      <c r="AN54" s="30"/>
      <c r="AO54" s="30"/>
      <c r="AP54" s="30"/>
      <c r="AQ54" s="30"/>
      <c r="AR54" s="30"/>
      <c r="AS54" s="30"/>
      <c r="AT54" s="30"/>
      <c r="AU54" s="30"/>
      <c r="AV54" s="30"/>
      <c r="AX54" s="30"/>
      <c r="AY54" s="26"/>
      <c r="AZ54" s="30"/>
      <c r="BA54" s="30">
        <v>250</v>
      </c>
      <c r="BB54" s="30">
        <f t="shared" ref="BB54:BE54" si="106">87.5+87.5</f>
        <v>175</v>
      </c>
      <c r="BC54" s="30">
        <f t="shared" si="106"/>
        <v>175</v>
      </c>
      <c r="BD54" s="30">
        <f t="shared" si="106"/>
        <v>175</v>
      </c>
      <c r="BE54" s="30">
        <f t="shared" si="106"/>
        <v>175</v>
      </c>
      <c r="BF54" s="30">
        <f>87.5+87.5</f>
        <v>175</v>
      </c>
      <c r="BG54" s="142"/>
      <c r="BH54" s="30"/>
      <c r="BI54" s="159"/>
      <c r="BJ54" s="30">
        <f>(75+55)*2</f>
        <v>260</v>
      </c>
      <c r="BK54" s="30">
        <f>68*2</f>
        <v>136</v>
      </c>
      <c r="BL54" s="30"/>
      <c r="BM54" s="30"/>
      <c r="BN54" s="142"/>
      <c r="BO54" s="17"/>
      <c r="BP54" s="329"/>
      <c r="BQ54" s="30"/>
      <c r="BR54" s="159"/>
      <c r="BS54" s="30"/>
      <c r="BT54" s="30"/>
      <c r="BU54" s="30"/>
      <c r="BW54" s="30"/>
      <c r="BX54" s="30"/>
      <c r="BY54" s="30"/>
      <c r="BZ54" s="142"/>
    </row>
    <row r="55" spans="1:79" ht="12.5">
      <c r="A55" s="128" t="s">
        <v>379</v>
      </c>
      <c r="B55" s="150" t="s">
        <v>377</v>
      </c>
      <c r="C55" s="159" t="s">
        <v>384</v>
      </c>
      <c r="D55" s="30"/>
      <c r="E55" s="288">
        <v>58</v>
      </c>
      <c r="F55" s="207">
        <v>58</v>
      </c>
      <c r="G55" s="207">
        <v>58</v>
      </c>
      <c r="H55" s="382">
        <v>57.5</v>
      </c>
      <c r="I55" s="382">
        <v>58.5</v>
      </c>
      <c r="J55" s="382">
        <v>59.5</v>
      </c>
      <c r="K55" s="383">
        <v>60.5</v>
      </c>
      <c r="L55" s="382">
        <v>61.5</v>
      </c>
      <c r="M55" s="382">
        <v>62.5</v>
      </c>
      <c r="N55" s="382">
        <v>66</v>
      </c>
      <c r="O55" s="17"/>
      <c r="P55" s="20"/>
      <c r="Q55" s="20"/>
      <c r="R55" s="30"/>
      <c r="S55" s="288">
        <v>85</v>
      </c>
      <c r="T55" s="30"/>
      <c r="U55" s="30"/>
      <c r="V55" s="30"/>
      <c r="W55" s="30"/>
      <c r="X55" s="30"/>
      <c r="Y55" s="30"/>
      <c r="Z55" s="30"/>
      <c r="AA55" s="30"/>
      <c r="AB55" s="30"/>
      <c r="AC55" s="142"/>
      <c r="AD55" s="17"/>
      <c r="AE55" s="159"/>
      <c r="AF55" s="30"/>
      <c r="AG55" s="30"/>
      <c r="AH55" s="30"/>
      <c r="AI55" s="30"/>
      <c r="AJ55" s="30"/>
      <c r="AK55" s="30"/>
      <c r="AL55" s="30"/>
      <c r="AM55" s="30"/>
      <c r="AN55" s="30"/>
      <c r="AO55" s="30"/>
      <c r="AP55" s="30"/>
      <c r="AQ55" s="30"/>
      <c r="AR55" s="30"/>
      <c r="AS55" s="30"/>
      <c r="AT55" s="30"/>
      <c r="AU55" s="30"/>
      <c r="AV55" s="30"/>
      <c r="AX55" s="30"/>
      <c r="AY55" s="26"/>
      <c r="AZ55" s="30"/>
      <c r="BA55" s="30"/>
      <c r="BB55" s="30"/>
      <c r="BC55" s="30"/>
      <c r="BD55" s="30"/>
      <c r="BE55" s="30"/>
      <c r="BF55" s="30"/>
      <c r="BG55" s="361">
        <v>185</v>
      </c>
      <c r="BH55" s="30"/>
      <c r="BI55" s="159"/>
      <c r="BJ55" s="30"/>
      <c r="BK55" s="30">
        <v>150</v>
      </c>
      <c r="BL55" s="30"/>
      <c r="BM55" s="30"/>
      <c r="BN55" s="142"/>
      <c r="BO55" s="17"/>
      <c r="BP55" s="329"/>
      <c r="BQ55" s="30"/>
      <c r="BR55" s="159"/>
      <c r="BS55" s="30"/>
      <c r="BT55" s="30"/>
      <c r="BU55" s="30"/>
      <c r="BW55" s="30"/>
      <c r="BX55" s="30"/>
      <c r="BY55" s="30"/>
      <c r="BZ55" s="142"/>
    </row>
    <row r="56" spans="1:79" ht="12.5">
      <c r="A56" s="127" t="s">
        <v>373</v>
      </c>
      <c r="B56" s="150" t="s">
        <v>377</v>
      </c>
      <c r="C56" s="159"/>
      <c r="D56" s="30"/>
      <c r="E56" s="30"/>
      <c r="F56" s="30"/>
      <c r="G56" s="30"/>
      <c r="H56" s="383">
        <v>13.3</v>
      </c>
      <c r="I56" s="383">
        <v>13.3</v>
      </c>
      <c r="J56" s="383">
        <v>13.3</v>
      </c>
      <c r="K56" s="383">
        <v>13.3</v>
      </c>
      <c r="L56" s="383"/>
      <c r="M56" s="383">
        <v>13.3</v>
      </c>
      <c r="N56" s="382">
        <v>10</v>
      </c>
      <c r="O56" s="17"/>
      <c r="P56" s="20"/>
      <c r="Q56" s="20"/>
      <c r="R56" s="30"/>
      <c r="S56" s="288">
        <f>13.8</f>
        <v>13.8</v>
      </c>
      <c r="T56" s="30"/>
      <c r="U56" s="207">
        <v>13.8</v>
      </c>
      <c r="V56" s="288">
        <v>11.7</v>
      </c>
      <c r="W56" s="288">
        <v>11.7</v>
      </c>
      <c r="X56" s="30"/>
      <c r="Y56" s="30"/>
      <c r="Z56" s="30"/>
      <c r="AA56" s="30"/>
      <c r="AB56" s="30"/>
      <c r="AC56" s="142"/>
      <c r="AD56" s="17"/>
      <c r="AE56" s="159"/>
      <c r="AF56" s="30"/>
      <c r="AG56" s="30"/>
      <c r="AH56" s="30"/>
      <c r="AI56" s="30"/>
      <c r="AJ56" s="30"/>
      <c r="AK56" s="30"/>
      <c r="AL56" s="30"/>
      <c r="AM56" s="30"/>
      <c r="AN56" s="30"/>
      <c r="AO56" s="30"/>
      <c r="AP56" s="30"/>
      <c r="AQ56" s="30"/>
      <c r="AR56" s="207">
        <v>11</v>
      </c>
      <c r="AS56" s="207">
        <v>11</v>
      </c>
      <c r="AT56" s="313">
        <v>11</v>
      </c>
      <c r="AU56" s="313">
        <v>11</v>
      </c>
      <c r="AV56" s="313">
        <v>11</v>
      </c>
      <c r="AX56" s="288">
        <v>20</v>
      </c>
      <c r="AY56" s="205">
        <v>24.25</v>
      </c>
      <c r="AZ56" s="364">
        <v>23.5</v>
      </c>
      <c r="BA56" s="313">
        <v>23.5</v>
      </c>
      <c r="BB56" s="364">
        <v>19</v>
      </c>
      <c r="BC56" s="364">
        <v>19</v>
      </c>
      <c r="BD56" s="364">
        <v>19</v>
      </c>
      <c r="BE56" s="364">
        <v>19</v>
      </c>
      <c r="BF56" s="364">
        <v>19</v>
      </c>
      <c r="BG56" s="361">
        <v>17</v>
      </c>
      <c r="BH56" s="30"/>
      <c r="BI56" s="159"/>
      <c r="BJ56" s="30"/>
      <c r="BK56" s="313">
        <v>12.5</v>
      </c>
      <c r="BL56" s="30"/>
      <c r="BM56" s="30"/>
      <c r="BN56" s="142"/>
      <c r="BO56" s="17"/>
      <c r="BP56" s="329"/>
      <c r="BQ56" s="30"/>
      <c r="BR56" s="159"/>
      <c r="BS56" s="30"/>
      <c r="BT56" s="30"/>
      <c r="BU56" s="30"/>
      <c r="BW56" s="30"/>
      <c r="BX56" s="30"/>
      <c r="BY56" s="30">
        <v>15.5</v>
      </c>
      <c r="BZ56" s="142">
        <v>12.2</v>
      </c>
    </row>
    <row r="57" spans="1:79" ht="12.5">
      <c r="A57" s="127" t="s">
        <v>374</v>
      </c>
      <c r="B57" s="150" t="s">
        <v>377</v>
      </c>
      <c r="C57" s="159"/>
      <c r="D57" s="30"/>
      <c r="E57" s="30"/>
      <c r="F57" s="30"/>
      <c r="G57" s="30"/>
      <c r="H57" s="190"/>
      <c r="I57" s="190"/>
      <c r="J57" s="190"/>
      <c r="K57" s="190"/>
      <c r="L57" s="190"/>
      <c r="M57" s="190"/>
      <c r="N57" s="190"/>
      <c r="O57" s="17"/>
      <c r="P57" s="20"/>
      <c r="Q57" s="20"/>
      <c r="R57" s="30"/>
      <c r="S57" s="30"/>
      <c r="T57" s="30"/>
      <c r="U57" s="30"/>
      <c r="V57" s="30"/>
      <c r="W57" s="30"/>
      <c r="X57" s="30"/>
      <c r="Y57" s="30"/>
      <c r="Z57" s="30"/>
      <c r="AA57" s="30"/>
      <c r="AB57" s="30"/>
      <c r="AC57" s="142"/>
      <c r="AD57" s="17"/>
      <c r="AE57" s="159"/>
      <c r="AF57" s="30"/>
      <c r="AG57" s="30"/>
      <c r="AH57" s="30"/>
      <c r="AI57" s="30"/>
      <c r="AJ57" s="30"/>
      <c r="AK57" s="30"/>
      <c r="AL57" s="30"/>
      <c r="AM57" s="30"/>
      <c r="AN57" s="30"/>
      <c r="AO57" s="30"/>
      <c r="AP57" s="30"/>
      <c r="AQ57" s="30"/>
      <c r="AR57" s="30"/>
      <c r="AS57" s="30"/>
      <c r="AT57" s="30"/>
      <c r="AU57" s="30"/>
      <c r="AV57" s="30"/>
      <c r="AW57" s="30"/>
      <c r="AX57" s="26"/>
      <c r="AY57" s="205">
        <v>10</v>
      </c>
      <c r="AZ57" s="30"/>
      <c r="BA57" s="313">
        <v>13.5</v>
      </c>
      <c r="BB57" s="30"/>
      <c r="BC57" s="207">
        <v>16</v>
      </c>
      <c r="BD57" s="30"/>
      <c r="BE57" s="30"/>
      <c r="BF57" s="30"/>
      <c r="BG57" s="361">
        <v>16</v>
      </c>
      <c r="BH57" s="30"/>
      <c r="BI57" s="159"/>
      <c r="BJ57" s="30"/>
      <c r="BK57" s="30"/>
      <c r="BL57" s="30"/>
      <c r="BM57" s="30"/>
      <c r="BN57" s="142"/>
      <c r="BO57" s="17"/>
      <c r="BP57" s="329"/>
      <c r="BQ57" s="30"/>
      <c r="BR57" s="159"/>
      <c r="BS57" s="30"/>
      <c r="BT57" s="30"/>
      <c r="BU57" s="30"/>
      <c r="BW57" s="30"/>
      <c r="BX57" s="30"/>
      <c r="BY57" s="30"/>
      <c r="BZ57" s="142"/>
    </row>
    <row r="58" spans="1:79" ht="14.5">
      <c r="A58" s="127" t="s">
        <v>70</v>
      </c>
      <c r="B58" s="150" t="s">
        <v>346</v>
      </c>
      <c r="C58" s="159"/>
      <c r="D58" s="30"/>
      <c r="E58" s="30"/>
      <c r="F58" s="30"/>
      <c r="G58" s="30"/>
      <c r="H58" s="30"/>
      <c r="I58" s="30"/>
      <c r="J58" s="30"/>
      <c r="K58" s="30"/>
      <c r="L58" s="30"/>
      <c r="M58" s="30"/>
      <c r="N58" s="30"/>
      <c r="O58" s="17"/>
      <c r="P58"/>
      <c r="Q58"/>
      <c r="R58" s="30"/>
      <c r="S58" s="30">
        <v>862.12</v>
      </c>
      <c r="T58" s="30"/>
      <c r="U58" s="30"/>
      <c r="V58" s="30"/>
      <c r="W58" s="30"/>
      <c r="X58" s="30"/>
      <c r="Y58" s="30"/>
      <c r="Z58" s="30"/>
      <c r="AA58" s="30"/>
      <c r="AB58" s="30"/>
      <c r="AC58" s="142"/>
      <c r="AD58" s="17"/>
      <c r="AE58" s="159"/>
      <c r="AF58" s="30"/>
      <c r="AG58" s="30"/>
      <c r="AH58" s="30"/>
      <c r="AI58" s="30"/>
      <c r="AJ58" s="30"/>
      <c r="AK58" s="30"/>
      <c r="AL58" s="30"/>
      <c r="AM58" s="30"/>
      <c r="AN58" s="30"/>
      <c r="AO58" s="30"/>
      <c r="AP58" s="30"/>
      <c r="AQ58" s="30"/>
      <c r="AR58" s="30"/>
      <c r="AS58" s="30"/>
      <c r="AT58" s="30"/>
      <c r="AU58" s="30"/>
      <c r="AV58" s="30"/>
      <c r="AW58" s="30"/>
      <c r="AX58" s="26"/>
      <c r="AY58" s="26"/>
      <c r="AZ58" s="30">
        <v>404</v>
      </c>
      <c r="BA58" s="30"/>
      <c r="BB58" s="30"/>
      <c r="BC58" s="30"/>
      <c r="BD58" s="30"/>
      <c r="BE58" s="30">
        <v>458</v>
      </c>
      <c r="BF58" s="30"/>
      <c r="BG58" s="142"/>
      <c r="BH58" s="30"/>
      <c r="BI58" s="159"/>
      <c r="BJ58" s="30">
        <v>447</v>
      </c>
      <c r="BK58" s="30"/>
      <c r="BL58" s="30"/>
      <c r="BM58" s="30">
        <v>652</v>
      </c>
      <c r="BN58" s="142"/>
      <c r="BO58" s="17"/>
      <c r="BP58" s="329">
        <v>930</v>
      </c>
      <c r="BQ58" s="30"/>
      <c r="BR58" s="159"/>
      <c r="BS58" s="30"/>
      <c r="BT58" s="30"/>
      <c r="BU58" s="30"/>
      <c r="BW58" s="30"/>
      <c r="BX58" s="30"/>
      <c r="BY58" s="30"/>
      <c r="BZ58" s="142"/>
      <c r="CA58" s="101"/>
    </row>
    <row r="59" spans="1:79">
      <c r="A59" s="127" t="s">
        <v>64</v>
      </c>
      <c r="B59" s="150" t="s">
        <v>473</v>
      </c>
      <c r="C59" s="201">
        <v>4.8899999999999997</v>
      </c>
      <c r="D59" s="48">
        <f>D147/D17</f>
        <v>5.8936842105263159</v>
      </c>
      <c r="E59" s="48">
        <f>E147/E17</f>
        <v>5.2676190476190472</v>
      </c>
      <c r="F59" s="48">
        <f>F147/F17</f>
        <v>5.1718181818181819</v>
      </c>
      <c r="G59" s="48">
        <f>G147/G17</f>
        <v>5.3809090909090909</v>
      </c>
      <c r="H59" s="48"/>
      <c r="I59" s="48">
        <f>I147/I17</f>
        <v>7.3278260869565219</v>
      </c>
      <c r="J59" s="48"/>
      <c r="K59" s="48"/>
      <c r="L59" s="48"/>
      <c r="M59" s="48"/>
      <c r="N59" s="48"/>
      <c r="O59" s="48">
        <f>O147/O17</f>
        <v>6.6864999999999997</v>
      </c>
      <c r="P59" s="48"/>
      <c r="Q59" s="48"/>
      <c r="R59" s="48"/>
      <c r="S59" s="48">
        <f>S147/S17</f>
        <v>7.6950570342205324</v>
      </c>
      <c r="T59" s="48">
        <f>T147/T17</f>
        <v>7.97</v>
      </c>
      <c r="U59" s="48"/>
      <c r="V59" s="48"/>
      <c r="W59" s="48">
        <f>W147/W17</f>
        <v>6.4391304347826086</v>
      </c>
      <c r="X59" s="48"/>
      <c r="Y59" s="48"/>
      <c r="Z59" s="48"/>
      <c r="AA59" s="48"/>
      <c r="AB59" s="48"/>
      <c r="AC59" s="116"/>
      <c r="AD59" s="17"/>
      <c r="AE59" s="159"/>
      <c r="AF59" s="48"/>
      <c r="AG59" s="48"/>
      <c r="AH59" s="48">
        <f>AH147/AH17</f>
        <v>4.5076666666666663</v>
      </c>
      <c r="AI59" s="48">
        <f>AI147/AI17</f>
        <v>4.5154166666666669</v>
      </c>
      <c r="AJ59" s="48">
        <f>AJ147/AJ17</f>
        <v>5.4321666666666673</v>
      </c>
      <c r="AK59" s="48"/>
      <c r="AL59" s="48">
        <f>AL147/AL17</f>
        <v>6.0241666666666669</v>
      </c>
      <c r="AM59" s="48"/>
      <c r="AN59" s="48">
        <f>AN147/AN17</f>
        <v>5.28</v>
      </c>
      <c r="AO59" s="48">
        <f t="shared" ref="AO59:AQ59" si="107">AO147/AO17</f>
        <v>4.9426363636363631</v>
      </c>
      <c r="AP59" s="48">
        <f t="shared" si="107"/>
        <v>5.0787500000000003</v>
      </c>
      <c r="AQ59" s="48">
        <f t="shared" si="107"/>
        <v>5.5565454545454545</v>
      </c>
      <c r="AR59" s="48"/>
      <c r="AS59" s="48">
        <f>AS147/AS17</f>
        <v>5.7458333333333336</v>
      </c>
      <c r="AT59" s="48"/>
      <c r="AU59" s="48">
        <f>AU147/AU17</f>
        <v>6.565833333333333</v>
      </c>
      <c r="AV59" s="48">
        <f>AV147/AV17</f>
        <v>6.1883333333333335</v>
      </c>
      <c r="AW59" s="48"/>
      <c r="AX59" s="48">
        <f>AX147/AX17</f>
        <v>5.571299999999999</v>
      </c>
      <c r="AY59" s="48">
        <f>AY147/AY17</f>
        <v>5.6716000000000006</v>
      </c>
      <c r="AZ59" s="48">
        <f>AZ147/AZ17</f>
        <v>5.833333333333333</v>
      </c>
      <c r="BA59" s="48">
        <f>BA147/BA17</f>
        <v>5.9070476190476198</v>
      </c>
      <c r="BB59" s="48"/>
      <c r="BC59" s="48">
        <f>BC147/BC17</f>
        <v>5.7528000000000006</v>
      </c>
      <c r="BD59" s="48"/>
      <c r="BE59" s="48">
        <f>BE147/BE17</f>
        <v>6.1315</v>
      </c>
      <c r="BF59" s="48">
        <f>BF147/BF17</f>
        <v>6.2460000000000004</v>
      </c>
      <c r="BG59" s="320">
        <f>BG147/BG17</f>
        <v>4.3690476190476186</v>
      </c>
      <c r="BH59" s="17"/>
      <c r="BI59" s="180">
        <f>BI147/BI17</f>
        <v>9.1430303030303026</v>
      </c>
      <c r="BJ59" s="48">
        <f>BJ147/BJ17</f>
        <v>7.4323076923076927</v>
      </c>
      <c r="BK59" s="48"/>
      <c r="BL59" s="48">
        <f>BL147/BL17</f>
        <v>6.6403703703703707</v>
      </c>
      <c r="BM59" s="48">
        <f>BM147/BM17</f>
        <v>8.1300000000000008</v>
      </c>
      <c r="BN59" s="320">
        <f>BN147/BN17</f>
        <v>6.1307999999999998</v>
      </c>
      <c r="BO59" s="48"/>
      <c r="BP59" s="330">
        <f>BP147/BP17</f>
        <v>8.6515789473684208</v>
      </c>
      <c r="BQ59" s="17"/>
      <c r="BR59" s="319">
        <f t="shared" ref="BR59:BZ59" si="108">BR147/BR17</f>
        <v>13.765714285714285</v>
      </c>
      <c r="BS59" s="189">
        <f t="shared" si="108"/>
        <v>13.901515151515152</v>
      </c>
      <c r="BT59" s="189">
        <f t="shared" si="108"/>
        <v>9.372727272727273</v>
      </c>
      <c r="BU59" s="189">
        <f t="shared" si="108"/>
        <v>11.105</v>
      </c>
      <c r="BV59" s="189">
        <f>BV147/BV17</f>
        <v>21.70888888888889</v>
      </c>
      <c r="BW59" s="189">
        <f t="shared" si="108"/>
        <v>9.36</v>
      </c>
      <c r="BX59" s="189">
        <f t="shared" si="108"/>
        <v>8.7016666666666662</v>
      </c>
      <c r="BY59" s="189">
        <f t="shared" si="108"/>
        <v>8.6866666666666674</v>
      </c>
      <c r="BZ59" s="320">
        <f t="shared" si="108"/>
        <v>8.7750000000000004</v>
      </c>
      <c r="CA59" s="97">
        <v>11.97</v>
      </c>
    </row>
    <row r="60" spans="1:79">
      <c r="A60" s="127" t="s">
        <v>66</v>
      </c>
      <c r="B60" s="150" t="s">
        <v>474</v>
      </c>
      <c r="C60" s="319">
        <f>C147/C33</f>
        <v>19.632107023411372</v>
      </c>
      <c r="D60" s="48">
        <f>D147/D33</f>
        <v>25.45</v>
      </c>
      <c r="E60" s="48">
        <f>E147/E33</f>
        <v>23.4364406779661</v>
      </c>
      <c r="F60" s="48">
        <f>F147/F33</f>
        <v>24.10593220338983</v>
      </c>
      <c r="G60" s="48">
        <f>G147/G33</f>
        <v>25.08050847457627</v>
      </c>
      <c r="H60" s="48"/>
      <c r="I60" s="48">
        <f>I147/I33</f>
        <v>35.707627118644069</v>
      </c>
      <c r="J60" s="48"/>
      <c r="K60" s="48"/>
      <c r="L60" s="48"/>
      <c r="M60" s="48"/>
      <c r="N60" s="48"/>
      <c r="O60" s="48">
        <f>O147/O33</f>
        <v>44.576666666666668</v>
      </c>
      <c r="P60" s="48"/>
      <c r="Q60" s="48"/>
      <c r="R60" s="48"/>
      <c r="S60" s="48">
        <f>S147/S33</f>
        <v>42.877118644067799</v>
      </c>
      <c r="T60" s="182">
        <v>17.5</v>
      </c>
      <c r="U60" s="48"/>
      <c r="V60" s="48"/>
      <c r="W60" s="48">
        <f>W147/W33</f>
        <v>34.729387487102521</v>
      </c>
      <c r="X60" s="17"/>
      <c r="Y60" s="17"/>
      <c r="Z60" s="17"/>
      <c r="AA60" s="17"/>
      <c r="AB60" s="17"/>
      <c r="AC60" s="116"/>
      <c r="AD60" s="17"/>
      <c r="AE60" s="319">
        <f t="shared" ref="AE60:AJ60" si="109">AE147/AE33</f>
        <v>23.932742939205362</v>
      </c>
      <c r="AF60" s="48">
        <f t="shared" si="109"/>
        <v>24.188606988989946</v>
      </c>
      <c r="AG60" s="48">
        <f t="shared" si="109"/>
        <v>24.199138343705126</v>
      </c>
      <c r="AH60" s="48">
        <f t="shared" si="109"/>
        <v>25.893729056965054</v>
      </c>
      <c r="AI60" s="48">
        <f t="shared" si="109"/>
        <v>25.938247965533748</v>
      </c>
      <c r="AJ60" s="48">
        <f t="shared" si="109"/>
        <v>31.204404021062711</v>
      </c>
      <c r="AK60" s="48"/>
      <c r="AL60" s="48">
        <f>AL147/AL33</f>
        <v>34.605074198180944</v>
      </c>
      <c r="AM60" s="48"/>
      <c r="AN60" s="48">
        <f>AN147/AN33</f>
        <v>24.011488750598371</v>
      </c>
      <c r="AO60" s="48">
        <f>AO147/AO33</f>
        <v>26.026328386787934</v>
      </c>
      <c r="AP60" s="48">
        <f>AP147/AP33</f>
        <v>29.174246050741981</v>
      </c>
      <c r="AQ60" s="48">
        <f>AQ147/AQ33</f>
        <v>29.258975586404976</v>
      </c>
      <c r="AR60" s="48"/>
      <c r="AS60" s="48">
        <f>AS147/AS33</f>
        <v>26.51923076923077</v>
      </c>
      <c r="AT60" s="48"/>
      <c r="AU60" s="48">
        <f>AU147/AU33</f>
        <v>30.303846153846155</v>
      </c>
      <c r="AV60" s="48">
        <f>AV147/AV33</f>
        <v>28.561538461538461</v>
      </c>
      <c r="AW60" s="48"/>
      <c r="AX60" s="48">
        <f>AX147/AX33</f>
        <v>35.485987261146491</v>
      </c>
      <c r="AY60" s="48">
        <f>AY147/AY33</f>
        <v>36.124840764331211</v>
      </c>
      <c r="AZ60" s="48">
        <f>AZ147/AZ33</f>
        <v>39.012738853503187</v>
      </c>
      <c r="BA60" s="48">
        <f>BA147/BA33</f>
        <v>39.505732484076439</v>
      </c>
      <c r="BB60" s="48"/>
      <c r="BC60" s="48">
        <f>BC147/BC33</f>
        <v>34.447904191616765</v>
      </c>
      <c r="BD60" s="48"/>
      <c r="BE60" s="48">
        <f>BE147/BE33</f>
        <v>36.715568862275447</v>
      </c>
      <c r="BF60" s="48">
        <f>BF147/BF33</f>
        <v>37.401197604790418</v>
      </c>
      <c r="BG60" s="320">
        <f>BG147/BG33</f>
        <v>37.602459016393439</v>
      </c>
      <c r="BH60" s="17"/>
      <c r="BI60" s="180">
        <f>BI147/BI33</f>
        <v>20.77961432506887</v>
      </c>
      <c r="BJ60" s="48">
        <f>BJ147/BJ33</f>
        <v>29.83940704138357</v>
      </c>
      <c r="BK60" s="48"/>
      <c r="BL60" s="48">
        <f>BL147/BL33</f>
        <v>44.822499999999998</v>
      </c>
      <c r="BM60" s="48">
        <f>BM147/BM33</f>
        <v>36.604265402843602</v>
      </c>
      <c r="BN60" s="320">
        <f>BN147/BN33</f>
        <v>38.317500000000003</v>
      </c>
      <c r="BO60" s="48"/>
      <c r="BP60" s="330">
        <f>BP147/BP33</f>
        <v>33.546938775510206</v>
      </c>
      <c r="BQ60" s="17"/>
      <c r="BR60" s="319">
        <f t="shared" ref="BR60:BZ60" si="110">BR147/BR33</f>
        <v>12.045</v>
      </c>
      <c r="BS60" s="189">
        <f t="shared" si="110"/>
        <v>14.798387096774194</v>
      </c>
      <c r="BT60" s="189">
        <f t="shared" si="110"/>
        <v>18.745454545454546</v>
      </c>
      <c r="BU60" s="189">
        <f t="shared" si="110"/>
        <v>17.911290322580644</v>
      </c>
      <c r="BV60" s="189">
        <f t="shared" ref="BV60" si="111">BV147/BV33</f>
        <v>40.633058813742622</v>
      </c>
      <c r="BW60" s="189">
        <f t="shared" si="110"/>
        <v>17.623430962343097</v>
      </c>
      <c r="BX60" s="189">
        <f t="shared" si="110"/>
        <v>23.204444444444444</v>
      </c>
      <c r="BY60" s="189">
        <f t="shared" si="110"/>
        <v>20.193723363037581</v>
      </c>
      <c r="BZ60" s="320">
        <f t="shared" si="110"/>
        <v>20.750403972726915</v>
      </c>
      <c r="CA60" s="97">
        <v>8.84</v>
      </c>
    </row>
    <row r="61" spans="1:79">
      <c r="A61" s="127" t="s">
        <v>71</v>
      </c>
      <c r="B61" s="150" t="s">
        <v>345</v>
      </c>
      <c r="C61" s="159"/>
      <c r="D61" s="30"/>
      <c r="E61" s="30"/>
      <c r="F61" s="30"/>
      <c r="G61" s="30"/>
      <c r="H61" s="30">
        <v>7400</v>
      </c>
      <c r="I61" s="30">
        <v>7400</v>
      </c>
      <c r="J61" s="30"/>
      <c r="K61" s="30"/>
      <c r="L61" s="30"/>
      <c r="M61" s="30"/>
      <c r="N61" s="30"/>
      <c r="O61" s="30"/>
      <c r="P61" s="30"/>
      <c r="Q61" s="30"/>
      <c r="R61" s="30"/>
      <c r="S61" s="30">
        <v>8000</v>
      </c>
      <c r="T61" s="30"/>
      <c r="U61" s="30">
        <v>7496</v>
      </c>
      <c r="V61" s="30">
        <v>7406</v>
      </c>
      <c r="W61" s="30">
        <v>7406</v>
      </c>
      <c r="X61" s="30"/>
      <c r="Y61" s="30"/>
      <c r="Z61" s="30"/>
      <c r="AA61" s="30"/>
      <c r="AB61" s="30"/>
      <c r="AC61" s="142"/>
      <c r="AD61" s="17"/>
      <c r="AE61" s="159"/>
      <c r="AF61" s="30"/>
      <c r="AG61" s="30"/>
      <c r="AH61" s="30"/>
      <c r="AI61" s="30"/>
      <c r="AJ61" s="30"/>
      <c r="AK61" s="30"/>
      <c r="AL61" s="30">
        <v>6510</v>
      </c>
      <c r="AM61" s="30"/>
      <c r="AN61" s="30"/>
      <c r="AO61" s="30"/>
      <c r="AP61" s="30"/>
      <c r="AQ61" s="30"/>
      <c r="AR61" s="30"/>
      <c r="AS61" s="30"/>
      <c r="AT61" s="30">
        <v>6436</v>
      </c>
      <c r="AU61" s="30">
        <v>6436</v>
      </c>
      <c r="AV61" s="30"/>
      <c r="AW61" s="30"/>
      <c r="AX61" s="26"/>
      <c r="AY61" s="26"/>
      <c r="AZ61" s="30">
        <v>12036</v>
      </c>
      <c r="BA61" s="30"/>
      <c r="BB61" s="30"/>
      <c r="BC61" s="30"/>
      <c r="BD61" s="30"/>
      <c r="BE61" s="30">
        <v>11000</v>
      </c>
      <c r="BF61" s="30">
        <v>1000</v>
      </c>
      <c r="BG61" s="142">
        <v>8551</v>
      </c>
      <c r="BH61" s="30"/>
      <c r="BI61" s="159"/>
      <c r="BJ61" s="30">
        <v>7338</v>
      </c>
      <c r="BK61" s="30"/>
      <c r="BL61" s="30">
        <v>15595</v>
      </c>
      <c r="BM61" s="30">
        <v>17000</v>
      </c>
      <c r="BN61" s="142">
        <v>15600</v>
      </c>
      <c r="BO61" s="17"/>
      <c r="BP61" s="329">
        <v>14500</v>
      </c>
      <c r="BQ61" s="30"/>
      <c r="BR61" s="159">
        <v>2450</v>
      </c>
      <c r="BS61" s="30">
        <v>1825</v>
      </c>
      <c r="BT61" s="30"/>
      <c r="BU61" s="30"/>
      <c r="BW61" s="30"/>
      <c r="BX61" s="30"/>
      <c r="BY61" s="30">
        <v>5246</v>
      </c>
      <c r="BZ61" s="142">
        <v>5280</v>
      </c>
      <c r="CA61" s="101">
        <v>2638</v>
      </c>
    </row>
    <row r="62" spans="1:79">
      <c r="A62" s="127" t="s">
        <v>476</v>
      </c>
      <c r="B62" s="150" t="s">
        <v>475</v>
      </c>
      <c r="C62" s="159"/>
      <c r="D62" s="30"/>
      <c r="E62" s="30"/>
      <c r="F62" s="207">
        <v>12</v>
      </c>
      <c r="G62" s="207">
        <v>11.5</v>
      </c>
      <c r="H62" s="30">
        <v>12</v>
      </c>
      <c r="I62" s="30">
        <v>12</v>
      </c>
      <c r="J62" s="30"/>
      <c r="K62" s="30"/>
      <c r="L62" s="30"/>
      <c r="M62" s="30"/>
      <c r="N62" s="30"/>
      <c r="O62" s="30">
        <v>12</v>
      </c>
      <c r="P62" s="30"/>
      <c r="Q62" s="30"/>
      <c r="R62" s="30"/>
      <c r="S62" s="30">
        <v>12</v>
      </c>
      <c r="T62" s="30"/>
      <c r="U62" s="30">
        <v>12</v>
      </c>
      <c r="V62" s="30">
        <v>12</v>
      </c>
      <c r="W62" s="30">
        <v>12</v>
      </c>
      <c r="X62" s="30"/>
      <c r="Y62" s="30"/>
      <c r="Z62" s="30"/>
      <c r="AA62" s="30"/>
      <c r="AB62" s="30"/>
      <c r="AC62" s="142"/>
      <c r="AD62" s="17"/>
      <c r="AE62" s="159"/>
      <c r="AF62" s="30"/>
      <c r="AG62" s="30"/>
      <c r="AH62" s="30"/>
      <c r="AI62" s="30"/>
      <c r="AJ62" s="30"/>
      <c r="AK62" s="30"/>
      <c r="AL62" s="30">
        <v>11.3</v>
      </c>
      <c r="AM62" s="30"/>
      <c r="AN62" s="30"/>
      <c r="AO62" s="30"/>
      <c r="AP62" s="30"/>
      <c r="AQ62" s="30"/>
      <c r="AR62" s="30"/>
      <c r="AS62" s="30"/>
      <c r="AT62" s="30">
        <v>13.5</v>
      </c>
      <c r="AU62" s="30">
        <v>13.5</v>
      </c>
      <c r="AV62" s="30"/>
      <c r="AW62" s="30"/>
      <c r="AX62" s="26"/>
      <c r="AY62" s="26"/>
      <c r="AZ62" s="30">
        <v>11.25</v>
      </c>
      <c r="BA62" s="30"/>
      <c r="BB62" s="30"/>
      <c r="BC62" s="30"/>
      <c r="BD62" s="30"/>
      <c r="BE62" s="30">
        <v>13.5</v>
      </c>
      <c r="BF62" s="30">
        <v>13.5</v>
      </c>
      <c r="BG62" s="142">
        <v>9.6</v>
      </c>
      <c r="BH62" s="30"/>
      <c r="BI62" s="159"/>
      <c r="BJ62" s="30">
        <v>14</v>
      </c>
      <c r="BK62" s="30">
        <v>12</v>
      </c>
      <c r="BL62" s="30">
        <v>10.5</v>
      </c>
      <c r="BM62" s="30">
        <v>12</v>
      </c>
      <c r="BN62" s="142">
        <v>10.5</v>
      </c>
      <c r="BO62" s="17"/>
      <c r="BP62" s="329">
        <v>6.2</v>
      </c>
      <c r="BQ62" s="30"/>
      <c r="BR62" s="159"/>
      <c r="BS62" s="30"/>
      <c r="BT62" s="30"/>
      <c r="BU62" s="30"/>
      <c r="BV62" s="13">
        <v>5.67</v>
      </c>
      <c r="BW62" s="30"/>
      <c r="BX62" s="30"/>
      <c r="BY62" s="30"/>
      <c r="BZ62" s="142">
        <v>8.5</v>
      </c>
      <c r="CA62" s="101"/>
    </row>
    <row r="63" spans="1:79">
      <c r="A63" s="127" t="s">
        <v>489</v>
      </c>
      <c r="B63" s="150" t="s">
        <v>348</v>
      </c>
      <c r="C63" s="159"/>
      <c r="D63" s="30"/>
      <c r="E63" s="30"/>
      <c r="F63" s="207"/>
      <c r="G63" s="207"/>
      <c r="H63" s="30"/>
      <c r="I63" s="30"/>
      <c r="J63" s="30"/>
      <c r="K63" s="30"/>
      <c r="L63" s="30"/>
      <c r="M63" s="30"/>
      <c r="N63" s="30"/>
      <c r="O63" s="30"/>
      <c r="P63" s="30"/>
      <c r="Q63" s="30"/>
      <c r="R63" s="30"/>
      <c r="S63" s="30"/>
      <c r="T63" s="30"/>
      <c r="U63" s="30"/>
      <c r="V63" s="30"/>
      <c r="W63" s="30"/>
      <c r="X63" s="30"/>
      <c r="Y63" s="30"/>
      <c r="Z63" s="30"/>
      <c r="AA63" s="30"/>
      <c r="AB63" s="30"/>
      <c r="AC63" s="142"/>
      <c r="AD63" s="17"/>
      <c r="AE63" s="159">
        <v>67</v>
      </c>
      <c r="AF63" s="30"/>
      <c r="AG63" s="30"/>
      <c r="AH63" s="30"/>
      <c r="AI63" s="30">
        <v>73</v>
      </c>
      <c r="AJ63" s="30"/>
      <c r="AK63" s="30"/>
      <c r="AL63" s="30"/>
      <c r="AM63" s="30"/>
      <c r="AN63" s="30"/>
      <c r="AO63" s="30"/>
      <c r="AP63" s="30"/>
      <c r="AQ63" s="30"/>
      <c r="AR63" s="30"/>
      <c r="AS63" s="30"/>
      <c r="AT63" s="30"/>
      <c r="AU63" s="30"/>
      <c r="AV63" s="30"/>
      <c r="AW63" s="30"/>
      <c r="AX63" s="26"/>
      <c r="AY63" s="26"/>
      <c r="AZ63" s="30"/>
      <c r="BA63" s="30"/>
      <c r="BB63" s="30"/>
      <c r="BC63" s="30"/>
      <c r="BD63" s="30"/>
      <c r="BE63" s="30"/>
      <c r="BF63" s="30"/>
      <c r="BG63" s="142"/>
      <c r="BH63" s="30"/>
      <c r="BI63" s="159"/>
      <c r="BJ63" s="30"/>
      <c r="BK63" s="30">
        <v>265</v>
      </c>
      <c r="BL63" s="30"/>
      <c r="BM63" s="30"/>
      <c r="BN63" s="142"/>
      <c r="BO63" s="17"/>
      <c r="BP63" s="329"/>
      <c r="BQ63" s="30"/>
      <c r="BR63" s="159"/>
      <c r="BS63" s="30"/>
      <c r="BT63" s="30"/>
      <c r="BU63" s="30"/>
      <c r="BW63" s="30"/>
      <c r="BX63" s="30"/>
      <c r="BY63" s="30"/>
      <c r="BZ63" s="142"/>
      <c r="CA63" s="101"/>
    </row>
    <row r="64" spans="1:79">
      <c r="A64" s="127" t="s">
        <v>350</v>
      </c>
      <c r="B64" s="150" t="s">
        <v>348</v>
      </c>
      <c r="C64" s="159"/>
      <c r="D64" s="30"/>
      <c r="E64" s="30"/>
      <c r="F64" s="207">
        <v>445</v>
      </c>
      <c r="G64" s="207">
        <v>445</v>
      </c>
      <c r="H64" s="30"/>
      <c r="I64" s="313">
        <v>496</v>
      </c>
      <c r="J64" s="30"/>
      <c r="K64" s="30"/>
      <c r="L64" s="30"/>
      <c r="M64" s="30"/>
      <c r="N64" s="30"/>
      <c r="O64" s="30"/>
      <c r="P64" s="30"/>
      <c r="Q64" s="30"/>
      <c r="R64" s="30"/>
      <c r="S64" s="30">
        <v>537</v>
      </c>
      <c r="T64" s="30"/>
      <c r="U64" s="30"/>
      <c r="V64" s="30"/>
      <c r="W64" s="313">
        <v>530</v>
      </c>
      <c r="X64" s="30"/>
      <c r="Y64" s="30"/>
      <c r="Z64" s="30"/>
      <c r="AA64" s="30"/>
      <c r="AB64" s="30"/>
      <c r="AC64" s="142"/>
      <c r="AD64" s="17"/>
      <c r="AE64" s="159"/>
      <c r="AF64" s="30"/>
      <c r="AG64" s="30"/>
      <c r="AH64" s="30"/>
      <c r="AI64" s="30"/>
      <c r="AJ64" s="30"/>
      <c r="AK64" s="30"/>
      <c r="AL64" s="30"/>
      <c r="AM64" s="30"/>
      <c r="AN64" s="30"/>
      <c r="AO64" s="30"/>
      <c r="AP64" s="30"/>
      <c r="AQ64" s="30"/>
      <c r="AR64" s="30"/>
      <c r="AS64" s="30"/>
      <c r="AT64" s="30">
        <v>470</v>
      </c>
      <c r="AU64" s="30">
        <v>470</v>
      </c>
      <c r="AV64" s="30"/>
      <c r="AW64" s="30"/>
      <c r="AX64" s="26"/>
      <c r="AY64" s="26"/>
      <c r="AZ64" s="30">
        <v>555</v>
      </c>
      <c r="BA64" s="30"/>
      <c r="BB64" s="30"/>
      <c r="BC64" s="30"/>
      <c r="BD64" s="30"/>
      <c r="BE64" s="30">
        <v>506</v>
      </c>
      <c r="BF64" s="30">
        <v>606</v>
      </c>
      <c r="BG64" s="142">
        <v>477</v>
      </c>
      <c r="BH64" s="30"/>
      <c r="BI64" s="159"/>
      <c r="BJ64" s="30">
        <v>425</v>
      </c>
      <c r="BK64" s="313">
        <v>450.5</v>
      </c>
      <c r="BL64" s="30">
        <v>500</v>
      </c>
      <c r="BM64" s="30">
        <v>540</v>
      </c>
      <c r="BN64" s="142">
        <v>500</v>
      </c>
      <c r="BO64" s="17"/>
      <c r="BP64" s="329"/>
      <c r="BQ64" s="30"/>
      <c r="BR64" s="159">
        <v>132</v>
      </c>
      <c r="BS64" s="30"/>
      <c r="BT64" s="30">
        <v>175</v>
      </c>
      <c r="BU64" s="30">
        <v>170</v>
      </c>
      <c r="BW64" s="30">
        <v>180</v>
      </c>
      <c r="BX64" s="30">
        <v>207</v>
      </c>
      <c r="BY64" s="30">
        <v>210</v>
      </c>
      <c r="BZ64" s="142">
        <v>251</v>
      </c>
      <c r="CA64" s="102">
        <v>125</v>
      </c>
    </row>
    <row r="65" spans="1:79">
      <c r="A65" s="127" t="s">
        <v>385</v>
      </c>
      <c r="B65" s="150" t="s">
        <v>348</v>
      </c>
      <c r="C65" s="159"/>
      <c r="D65" s="30"/>
      <c r="E65" s="30">
        <v>403</v>
      </c>
      <c r="F65" s="30"/>
      <c r="G65" s="30"/>
      <c r="H65" s="30"/>
      <c r="I65" s="30"/>
      <c r="J65" s="30"/>
      <c r="K65" s="30"/>
      <c r="L65" s="30"/>
      <c r="M65" s="30"/>
      <c r="N65" s="30"/>
      <c r="O65" s="30"/>
      <c r="P65" s="30"/>
      <c r="Q65" s="30"/>
      <c r="R65" s="30"/>
      <c r="S65" s="30"/>
      <c r="T65" s="30"/>
      <c r="U65" s="30"/>
      <c r="V65" s="30"/>
      <c r="W65" s="30"/>
      <c r="X65" s="30"/>
      <c r="Y65" s="30"/>
      <c r="Z65" s="30"/>
      <c r="AA65" s="30"/>
      <c r="AB65" s="30"/>
      <c r="AC65" s="142"/>
      <c r="AD65" s="17"/>
      <c r="AE65" s="159"/>
      <c r="AF65" s="30"/>
      <c r="AG65" s="30"/>
      <c r="AH65" s="30"/>
      <c r="AI65" s="30"/>
      <c r="AJ65" s="30"/>
      <c r="AK65" s="30"/>
      <c r="AL65" s="30"/>
      <c r="AM65" s="30"/>
      <c r="AN65" s="30"/>
      <c r="AO65" s="30"/>
      <c r="AP65" s="30"/>
      <c r="AQ65" s="30"/>
      <c r="AR65" s="30"/>
      <c r="AS65" s="30"/>
      <c r="AT65" s="30"/>
      <c r="AU65" s="30"/>
      <c r="AV65" s="30"/>
      <c r="AW65" s="30"/>
      <c r="AX65" s="26"/>
      <c r="AY65" s="26"/>
      <c r="AZ65" s="30"/>
      <c r="BA65" s="30"/>
      <c r="BB65" s="30"/>
      <c r="BC65" s="30"/>
      <c r="BD65" s="30"/>
      <c r="BE65" s="30"/>
      <c r="BF65" s="30"/>
      <c r="BG65" s="142"/>
      <c r="BH65" s="30"/>
      <c r="BI65" s="159"/>
      <c r="BJ65" s="30"/>
      <c r="BK65" s="30"/>
      <c r="BL65" s="30"/>
      <c r="BM65" s="30"/>
      <c r="BN65" s="142"/>
      <c r="BO65" s="17"/>
      <c r="BP65" s="329"/>
      <c r="BQ65" s="30"/>
      <c r="BR65" s="159"/>
      <c r="BS65" s="30"/>
      <c r="BT65" s="30"/>
      <c r="BU65" s="30"/>
      <c r="BV65" s="13">
        <v>250</v>
      </c>
      <c r="BW65" s="30"/>
      <c r="BX65" s="30"/>
      <c r="BY65" s="30"/>
      <c r="BZ65" s="142"/>
    </row>
    <row r="66" spans="1:79" ht="10.5" thickBot="1">
      <c r="A66" s="129"/>
      <c r="B66" s="154"/>
      <c r="C66" s="154"/>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55"/>
      <c r="AE66" s="154"/>
      <c r="AF66" s="122"/>
      <c r="AG66" s="122"/>
      <c r="AH66" s="122"/>
      <c r="AI66" s="122"/>
      <c r="AJ66" s="122"/>
      <c r="AK66" s="122"/>
      <c r="AL66" s="122"/>
      <c r="AM66" s="122"/>
      <c r="AN66" s="122"/>
      <c r="AO66" s="122"/>
      <c r="AP66" s="122"/>
      <c r="AQ66" s="122"/>
      <c r="AR66" s="122"/>
      <c r="AS66" s="122"/>
      <c r="AT66" s="122"/>
      <c r="AU66" s="122"/>
      <c r="AV66" s="122"/>
      <c r="AW66" s="122"/>
      <c r="AX66" s="196"/>
      <c r="AY66" s="196"/>
      <c r="AZ66" s="122"/>
      <c r="BA66" s="122"/>
      <c r="BB66" s="122"/>
      <c r="BC66" s="122"/>
      <c r="BD66" s="122"/>
      <c r="BE66" s="122"/>
      <c r="BF66" s="122"/>
      <c r="BG66" s="155"/>
      <c r="BI66" s="154"/>
      <c r="BJ66" s="122"/>
      <c r="BK66" s="122"/>
      <c r="BL66" s="122"/>
      <c r="BM66" s="122"/>
      <c r="BN66" s="155"/>
      <c r="BP66" s="168"/>
      <c r="BR66" s="153"/>
      <c r="BZ66" s="117"/>
    </row>
    <row r="67" spans="1:79" ht="11" thickTop="1" thickBot="1">
      <c r="A67" s="130" t="s">
        <v>43</v>
      </c>
      <c r="B67" s="365"/>
      <c r="C67" s="365">
        <f t="shared" ref="C67:M67" si="112">C68+C74+C83+C90+C86+C89+C91</f>
        <v>998</v>
      </c>
      <c r="D67" s="366">
        <f t="shared" si="112"/>
        <v>2043</v>
      </c>
      <c r="E67" s="366">
        <f t="shared" si="112"/>
        <v>1923</v>
      </c>
      <c r="F67" s="366">
        <f t="shared" si="112"/>
        <v>2041</v>
      </c>
      <c r="G67" s="366">
        <f t="shared" si="112"/>
        <v>2062</v>
      </c>
      <c r="H67" s="366">
        <f t="shared" si="112"/>
        <v>2744</v>
      </c>
      <c r="I67" s="366">
        <f>I68+I74+I83+I90+I86+I89+I91</f>
        <v>2550</v>
      </c>
      <c r="J67" s="366">
        <f t="shared" si="112"/>
        <v>2605</v>
      </c>
      <c r="K67" s="366">
        <f t="shared" si="112"/>
        <v>2578</v>
      </c>
      <c r="L67" s="366">
        <f t="shared" si="112"/>
        <v>2614</v>
      </c>
      <c r="M67" s="366">
        <f t="shared" si="112"/>
        <v>2580</v>
      </c>
      <c r="N67" s="366">
        <f>N68+N74+N83+N85+N86+N89+N91</f>
        <v>2863</v>
      </c>
      <c r="O67" s="366">
        <f t="shared" ref="O67:Z67" si="113">O68+O74+O83+O90+O86+O89+O91</f>
        <v>4613</v>
      </c>
      <c r="P67" s="366">
        <f t="shared" si="113"/>
        <v>4655.6000000000004</v>
      </c>
      <c r="Q67" s="366">
        <f t="shared" si="113"/>
        <v>4631.3999999999996</v>
      </c>
      <c r="R67" s="366">
        <f t="shared" si="113"/>
        <v>2813</v>
      </c>
      <c r="S67" s="366">
        <f t="shared" si="113"/>
        <v>2693</v>
      </c>
      <c r="T67" s="366">
        <f t="shared" si="113"/>
        <v>1902</v>
      </c>
      <c r="U67" s="366">
        <f>U68+U74+U83+U90+U86+U89+U91</f>
        <v>2185.5</v>
      </c>
      <c r="V67" s="366">
        <f t="shared" si="113"/>
        <v>1567.1999999999998</v>
      </c>
      <c r="W67" s="366">
        <f t="shared" si="113"/>
        <v>2157</v>
      </c>
      <c r="X67" s="366">
        <f>X68+X74+X83+X90+X86+X89+X91</f>
        <v>1565</v>
      </c>
      <c r="Y67" s="366"/>
      <c r="Z67" s="366">
        <f t="shared" si="113"/>
        <v>1558.8</v>
      </c>
      <c r="AA67" s="366">
        <f>AA68+AA74+AA83+AA90+AA86+AA89+AA91</f>
        <v>2411</v>
      </c>
      <c r="AB67" s="366">
        <f>AB68+AB74+AB83+AB90+AB86+AB89+AB91</f>
        <v>2547.4</v>
      </c>
      <c r="AC67" s="367">
        <f>AC68+AC74+AC83+AC90+AC86+AC89+AC91</f>
        <v>2613</v>
      </c>
      <c r="AD67" s="76"/>
      <c r="AE67" s="146">
        <f>AE68+AE74+AE81+AE90+AE89+AE91</f>
        <v>1757.84</v>
      </c>
      <c r="AF67" s="110">
        <f>AF68+AF74+AF82+AF85+AF89+AF91+AF90</f>
        <v>1806.8000000000002</v>
      </c>
      <c r="AG67" s="110">
        <f>AG68+AG74+AG82+AG85+AG89+AG91+AG90</f>
        <v>1803.5</v>
      </c>
      <c r="AH67" s="110"/>
      <c r="AI67" s="110">
        <f>AI68+AI74+AI82+AI85+AI89+AI91+AI90</f>
        <v>1812.3000000000002</v>
      </c>
      <c r="AJ67" s="110">
        <f>AJ68+AJ74+AJ82+AJ85+AJ89+AJ91+AJ90</f>
        <v>2038.6999999999998</v>
      </c>
      <c r="AK67" s="110">
        <f>AK68+AK74+AK83+AK90+AK86+AK89+AK91</f>
        <v>1954</v>
      </c>
      <c r="AL67" s="110">
        <f>AL68+AL74+AL83+AL90+AL86+AL89+AL91</f>
        <v>2057</v>
      </c>
      <c r="AM67" s="110">
        <f>AM68+AM74+AM83+AM90+AM86+AM89+AM91</f>
        <v>1782.1999999999998</v>
      </c>
      <c r="AN67" s="110">
        <f>AN68+AN74+AN83+AN90+AN86+AN89+AN91</f>
        <v>1802.5</v>
      </c>
      <c r="AO67" s="110">
        <f>AO68+AO74+AO82+AO85+AO89+AO91+AO90</f>
        <v>1719.1</v>
      </c>
      <c r="AP67" s="110">
        <f>AP68+AP74+AP82+AP85+AP89+AP91+AP90</f>
        <v>1953.7</v>
      </c>
      <c r="AQ67" s="110">
        <f>AQ68+AQ74+AQ82+AQ85+AQ89+AQ91+AQ90</f>
        <v>1887.8</v>
      </c>
      <c r="AR67" s="110">
        <f t="shared" ref="AR67:BG67" si="114">AR68+AR74+AR83+AR90+AR86+AR89+AR91</f>
        <v>2207</v>
      </c>
      <c r="AS67" s="110">
        <f t="shared" si="114"/>
        <v>2200</v>
      </c>
      <c r="AT67" s="110">
        <f>AT68+AT74+AT83+AT90+AT86+AT89+AT91</f>
        <v>2532</v>
      </c>
      <c r="AU67" s="110">
        <f t="shared" si="114"/>
        <v>2484</v>
      </c>
      <c r="AV67" s="110">
        <f t="shared" si="114"/>
        <v>2561</v>
      </c>
      <c r="AW67" s="110">
        <f t="shared" si="114"/>
        <v>2469</v>
      </c>
      <c r="AX67" s="271">
        <f t="shared" si="114"/>
        <v>4067.0999999999995</v>
      </c>
      <c r="AY67" s="271">
        <f t="shared" si="114"/>
        <v>4141.7000000000007</v>
      </c>
      <c r="AZ67" s="110">
        <f t="shared" si="114"/>
        <v>4238</v>
      </c>
      <c r="BA67" s="110">
        <f t="shared" si="114"/>
        <v>4232.3</v>
      </c>
      <c r="BB67" s="110">
        <f t="shared" si="114"/>
        <v>4094.7000000000003</v>
      </c>
      <c r="BC67" s="110">
        <f t="shared" si="114"/>
        <v>4094.2</v>
      </c>
      <c r="BD67" s="110">
        <f t="shared" si="114"/>
        <v>4181.5999999999995</v>
      </c>
      <c r="BE67" s="110">
        <f t="shared" si="114"/>
        <v>4142</v>
      </c>
      <c r="BF67" s="110">
        <f t="shared" si="114"/>
        <v>4189</v>
      </c>
      <c r="BG67" s="112">
        <f t="shared" si="114"/>
        <v>2886</v>
      </c>
      <c r="BH67" s="17"/>
      <c r="BI67" s="146">
        <f>BI68+BI74+BI83+BI90+BI86+BI89+BI91</f>
        <v>2403</v>
      </c>
      <c r="BJ67" s="110">
        <f>BJ68+BJ74+BJ83+BJ90+BJ86+BJ89+BJ91</f>
        <v>2832</v>
      </c>
      <c r="BK67" s="110"/>
      <c r="BL67" s="110">
        <f>BL68+BL74+BL83+BL90+BL86+BL89+BL91</f>
        <v>5641</v>
      </c>
      <c r="BM67" s="110">
        <f>BM68+BM74+BM83+BM90+BM86+BM89+BM91</f>
        <v>5697</v>
      </c>
      <c r="BN67" s="112">
        <f>BN68+BN74+BN83+BN90+BN86+BN89+BN91</f>
        <v>4746</v>
      </c>
      <c r="BO67" s="76"/>
      <c r="BP67" s="163">
        <f>BP68+BP74+BP83+BP90+BP86+BP89+BP91</f>
        <v>5353</v>
      </c>
      <c r="BQ67" s="76"/>
      <c r="BR67" s="146">
        <f t="shared" ref="BR67:BZ67" si="115">BR68+BR74+BR83+BR90+BR86+BR89+BR91</f>
        <v>1030</v>
      </c>
      <c r="BS67" s="110">
        <f t="shared" si="115"/>
        <v>695</v>
      </c>
      <c r="BT67" s="110">
        <f t="shared" si="115"/>
        <v>1434</v>
      </c>
      <c r="BU67" s="110">
        <f t="shared" si="115"/>
        <v>1621</v>
      </c>
      <c r="BV67" s="110">
        <f>BV68+BV74+BV83+BV90+BV86+BV89+BV91</f>
        <v>1923.61</v>
      </c>
      <c r="BW67" s="110">
        <f t="shared" si="115"/>
        <v>1630</v>
      </c>
      <c r="BX67" s="110">
        <f t="shared" si="115"/>
        <v>1950</v>
      </c>
      <c r="BY67" s="110">
        <f t="shared" si="115"/>
        <v>1995</v>
      </c>
      <c r="BZ67" s="112">
        <f t="shared" si="115"/>
        <v>1960</v>
      </c>
      <c r="CA67" s="103">
        <f>CA68+CA74+CA83+CA90+CA86+CA89+CA91</f>
        <v>1051</v>
      </c>
    </row>
    <row r="68" spans="1:79" ht="10.5" thickTop="1">
      <c r="A68" s="128" t="s">
        <v>340</v>
      </c>
      <c r="B68" s="150"/>
      <c r="C68" s="150">
        <v>411</v>
      </c>
      <c r="D68" s="17">
        <v>785</v>
      </c>
      <c r="E68" s="17">
        <v>814</v>
      </c>
      <c r="F68" s="17">
        <v>842</v>
      </c>
      <c r="G68" s="17">
        <v>835</v>
      </c>
      <c r="H68" s="17">
        <v>1126</v>
      </c>
      <c r="I68" s="17">
        <v>1105</v>
      </c>
      <c r="J68" s="17">
        <v>1132</v>
      </c>
      <c r="K68" s="17">
        <v>1120</v>
      </c>
      <c r="L68" s="17">
        <v>1126</v>
      </c>
      <c r="M68" s="17">
        <v>1122</v>
      </c>
      <c r="N68" s="17">
        <v>1131</v>
      </c>
      <c r="O68" s="17">
        <v>1755</v>
      </c>
      <c r="P68" s="17">
        <v>1459.6</v>
      </c>
      <c r="Q68" s="17">
        <v>1447.4</v>
      </c>
      <c r="R68" s="17">
        <v>1066</v>
      </c>
      <c r="S68" s="17">
        <v>1027</v>
      </c>
      <c r="T68" s="17">
        <v>900</v>
      </c>
      <c r="U68" s="109">
        <f>SUM(U69:U73)</f>
        <v>934.6</v>
      </c>
      <c r="V68" s="17">
        <v>934.6</v>
      </c>
      <c r="W68" s="17">
        <v>924</v>
      </c>
      <c r="X68" s="17">
        <v>934.2</v>
      </c>
      <c r="Y68" s="17"/>
      <c r="Z68" s="17">
        <v>930</v>
      </c>
      <c r="AA68" s="17">
        <v>1027</v>
      </c>
      <c r="AB68" s="17">
        <v>1139.5999999999999</v>
      </c>
      <c r="AC68" s="116">
        <v>1152</v>
      </c>
      <c r="AD68" s="17"/>
      <c r="AE68" s="335">
        <v>698.52</v>
      </c>
      <c r="AF68" s="333">
        <v>739.2</v>
      </c>
      <c r="AG68" s="333">
        <v>732.8</v>
      </c>
      <c r="AH68" s="148"/>
      <c r="AI68" s="333">
        <v>723</v>
      </c>
      <c r="AJ68" s="333">
        <v>870.9</v>
      </c>
      <c r="AK68" s="333">
        <v>811</v>
      </c>
      <c r="AL68" s="148">
        <v>845</v>
      </c>
      <c r="AM68" s="333">
        <v>738</v>
      </c>
      <c r="AN68" s="148">
        <v>758.3</v>
      </c>
      <c r="AO68" s="333">
        <v>701.5</v>
      </c>
      <c r="AP68" s="333">
        <v>866.9</v>
      </c>
      <c r="AQ68" s="333">
        <v>843.5</v>
      </c>
      <c r="AR68" s="333">
        <v>893</v>
      </c>
      <c r="AS68" s="148">
        <f>SUM(AS69:AS73)</f>
        <v>882</v>
      </c>
      <c r="AT68" s="333">
        <v>1181</v>
      </c>
      <c r="AU68" s="148">
        <v>1119</v>
      </c>
      <c r="AV68" s="148">
        <f>SUM(AV69:AV73)</f>
        <v>1181</v>
      </c>
      <c r="AW68" s="333">
        <v>1154</v>
      </c>
      <c r="AX68" s="148">
        <f>SUM(AX69:AX73)</f>
        <v>2121.6999999999998</v>
      </c>
      <c r="AY68" s="148">
        <f>SUM(AY69:AY73)</f>
        <v>2144.9</v>
      </c>
      <c r="AZ68" s="148">
        <v>2180</v>
      </c>
      <c r="BA68" s="148">
        <f>SUM(BA69:BA73)</f>
        <v>2185.5</v>
      </c>
      <c r="BB68" s="148">
        <v>2024.5</v>
      </c>
      <c r="BC68" s="148">
        <f>SUM(BC69:BC73)</f>
        <v>2007.1</v>
      </c>
      <c r="BD68" s="148">
        <v>2039.8</v>
      </c>
      <c r="BE68" s="148">
        <v>2020</v>
      </c>
      <c r="BF68" s="148">
        <v>2042</v>
      </c>
      <c r="BG68" s="149">
        <v>1142</v>
      </c>
      <c r="BH68" s="17"/>
      <c r="BI68" s="147">
        <v>1045</v>
      </c>
      <c r="BJ68" s="148">
        <v>1302</v>
      </c>
      <c r="BK68" s="148">
        <f>SUM(BK69:BK73)</f>
        <v>2172.6</v>
      </c>
      <c r="BL68" s="148">
        <v>2589</v>
      </c>
      <c r="BM68" s="148">
        <v>3018</v>
      </c>
      <c r="BN68" s="149">
        <v>2011</v>
      </c>
      <c r="BO68" s="17"/>
      <c r="BP68" s="164">
        <v>2478</v>
      </c>
      <c r="BQ68" s="17"/>
      <c r="BR68" s="147">
        <v>498</v>
      </c>
      <c r="BS68" s="148">
        <v>292</v>
      </c>
      <c r="BT68" s="148">
        <v>610</v>
      </c>
      <c r="BU68" s="148">
        <v>663</v>
      </c>
      <c r="BV68" s="391">
        <v>737.75</v>
      </c>
      <c r="BW68" s="148">
        <v>710</v>
      </c>
      <c r="BX68" s="148">
        <v>716</v>
      </c>
      <c r="BY68" s="148">
        <v>743</v>
      </c>
      <c r="BZ68" s="149">
        <v>755</v>
      </c>
      <c r="CA68" s="97">
        <v>444</v>
      </c>
    </row>
    <row r="69" spans="1:79">
      <c r="A69" s="131" t="s">
        <v>41</v>
      </c>
      <c r="B69" s="151"/>
      <c r="C69" s="151"/>
      <c r="D69" s="85"/>
      <c r="E69" s="85"/>
      <c r="F69" s="85"/>
      <c r="G69" s="85"/>
      <c r="H69" s="85"/>
      <c r="I69" s="85"/>
      <c r="J69" s="85"/>
      <c r="K69" s="85"/>
      <c r="L69" s="85"/>
      <c r="M69" s="85"/>
      <c r="N69" s="85"/>
      <c r="O69" s="85"/>
      <c r="P69" s="85"/>
      <c r="Q69" s="85"/>
      <c r="R69" s="85"/>
      <c r="S69" s="85"/>
      <c r="T69" s="85"/>
      <c r="U69" s="109">
        <f>176.9+675.7+20</f>
        <v>872.6</v>
      </c>
      <c r="V69" s="85"/>
      <c r="W69" s="85"/>
      <c r="X69" s="85"/>
      <c r="Y69" s="85"/>
      <c r="Z69" s="85"/>
      <c r="AA69" s="85"/>
      <c r="AB69" s="85"/>
      <c r="AC69" s="118"/>
      <c r="AD69" s="85"/>
      <c r="AE69" s="151"/>
      <c r="AF69" s="85"/>
      <c r="AG69" s="85"/>
      <c r="AH69" s="85"/>
      <c r="AI69" s="85"/>
      <c r="AJ69" s="85"/>
      <c r="AK69" s="85"/>
      <c r="AL69" s="85"/>
      <c r="AM69" s="85"/>
      <c r="AN69" s="85">
        <v>679.2</v>
      </c>
      <c r="AO69" s="85"/>
      <c r="AP69" s="85"/>
      <c r="AQ69" s="85"/>
      <c r="AR69" s="85"/>
      <c r="AS69" s="85">
        <v>805</v>
      </c>
      <c r="AT69" s="85"/>
      <c r="AU69" s="85"/>
      <c r="AV69" s="85">
        <v>1030</v>
      </c>
      <c r="AW69" s="85"/>
      <c r="AX69" s="272">
        <f>1088+872.2+6.6</f>
        <v>1966.8</v>
      </c>
      <c r="AY69" s="272">
        <f>1094.8+871+3.9</f>
        <v>1969.7</v>
      </c>
      <c r="AZ69" s="85"/>
      <c r="BA69" s="85">
        <f>1146.2+844.1+6.6</f>
        <v>1996.9</v>
      </c>
      <c r="BB69" s="85"/>
      <c r="BC69" s="85">
        <v>1894.1</v>
      </c>
      <c r="BD69" s="85"/>
      <c r="BE69" s="85"/>
      <c r="BF69" s="85"/>
      <c r="BG69" s="118"/>
      <c r="BH69" s="85"/>
      <c r="BI69" s="151"/>
      <c r="BJ69" s="85"/>
      <c r="BK69" s="85">
        <f>227.3+1031.6+660.1</f>
        <v>1919</v>
      </c>
      <c r="BL69" s="85"/>
      <c r="BM69" s="85"/>
      <c r="BN69" s="118"/>
      <c r="BO69" s="85"/>
      <c r="BP69" s="166"/>
      <c r="BQ69" s="85"/>
      <c r="BR69" s="151"/>
      <c r="BS69" s="85"/>
      <c r="BT69" s="85"/>
      <c r="BU69" s="85"/>
      <c r="BV69" s="85">
        <f>BV68-BV70-BV71</f>
        <v>665.88</v>
      </c>
      <c r="BW69" s="85"/>
      <c r="BX69" s="85"/>
      <c r="BY69" s="85"/>
      <c r="BZ69" s="118"/>
    </row>
    <row r="70" spans="1:79">
      <c r="A70" s="131" t="s">
        <v>341</v>
      </c>
      <c r="B70" s="151"/>
      <c r="C70" s="151"/>
      <c r="D70" s="85"/>
      <c r="E70" s="85"/>
      <c r="F70" s="85"/>
      <c r="G70" s="85"/>
      <c r="H70" s="85"/>
      <c r="I70" s="85"/>
      <c r="J70" s="85"/>
      <c r="K70" s="85"/>
      <c r="L70" s="85"/>
      <c r="M70" s="85"/>
      <c r="N70" s="85"/>
      <c r="O70" s="85"/>
      <c r="P70" s="85"/>
      <c r="Q70" s="85"/>
      <c r="R70" s="85"/>
      <c r="S70" s="85"/>
      <c r="T70" s="85"/>
      <c r="U70" s="109">
        <v>36</v>
      </c>
      <c r="V70" s="85"/>
      <c r="W70" s="85"/>
      <c r="X70" s="85"/>
      <c r="Y70" s="85"/>
      <c r="Z70" s="85"/>
      <c r="AA70" s="85"/>
      <c r="AB70" s="85"/>
      <c r="AC70" s="118"/>
      <c r="AD70" s="85"/>
      <c r="AE70" s="151"/>
      <c r="AF70" s="85"/>
      <c r="AG70" s="85"/>
      <c r="AH70" s="85"/>
      <c r="AI70" s="85"/>
      <c r="AJ70" s="85"/>
      <c r="AK70" s="85"/>
      <c r="AL70" s="85"/>
      <c r="AM70" s="85"/>
      <c r="AN70" s="85">
        <v>28.8</v>
      </c>
      <c r="AO70" s="85"/>
      <c r="AP70" s="85"/>
      <c r="AQ70" s="85"/>
      <c r="AR70" s="85"/>
      <c r="AS70" s="85">
        <v>38</v>
      </c>
      <c r="AT70" s="85"/>
      <c r="AU70" s="85"/>
      <c r="AV70" s="85">
        <v>38</v>
      </c>
      <c r="AW70" s="85"/>
      <c r="AX70" s="272">
        <v>57.6</v>
      </c>
      <c r="AY70" s="272">
        <v>72.099999999999994</v>
      </c>
      <c r="AZ70" s="85"/>
      <c r="BA70" s="85">
        <v>74.099999999999994</v>
      </c>
      <c r="BB70" s="85"/>
      <c r="BC70" s="85">
        <v>42.3</v>
      </c>
      <c r="BD70" s="85"/>
      <c r="BE70" s="85"/>
      <c r="BF70" s="85"/>
      <c r="BG70" s="118"/>
      <c r="BH70" s="85"/>
      <c r="BI70" s="151"/>
      <c r="BJ70" s="85"/>
      <c r="BK70" s="85">
        <v>67.3</v>
      </c>
      <c r="BL70" s="85"/>
      <c r="BM70" s="85"/>
      <c r="BN70" s="118"/>
      <c r="BO70" s="85"/>
      <c r="BP70" s="166"/>
      <c r="BQ70" s="85"/>
      <c r="BR70" s="151"/>
      <c r="BS70" s="85"/>
      <c r="BT70" s="85"/>
      <c r="BU70" s="85"/>
      <c r="BV70" s="85">
        <v>28.54</v>
      </c>
      <c r="BW70" s="85"/>
      <c r="BX70" s="85"/>
      <c r="BY70" s="85"/>
      <c r="BZ70" s="118"/>
    </row>
    <row r="71" spans="1:79">
      <c r="A71" s="131" t="s">
        <v>342</v>
      </c>
      <c r="B71" s="151"/>
      <c r="C71" s="151"/>
      <c r="D71" s="85"/>
      <c r="E71" s="85"/>
      <c r="F71" s="85"/>
      <c r="G71" s="85"/>
      <c r="H71" s="85"/>
      <c r="I71" s="85"/>
      <c r="J71" s="85"/>
      <c r="K71" s="85"/>
      <c r="L71" s="85"/>
      <c r="M71" s="85"/>
      <c r="N71" s="85"/>
      <c r="O71" s="85"/>
      <c r="P71" s="85"/>
      <c r="Q71" s="85"/>
      <c r="R71" s="85"/>
      <c r="S71" s="85"/>
      <c r="T71" s="85"/>
      <c r="U71" s="109">
        <v>26</v>
      </c>
      <c r="V71" s="85"/>
      <c r="W71" s="85"/>
      <c r="X71" s="85"/>
      <c r="Y71" s="85"/>
      <c r="Z71" s="85"/>
      <c r="AA71" s="85"/>
      <c r="AB71" s="85"/>
      <c r="AC71" s="118"/>
      <c r="AD71" s="85"/>
      <c r="AE71" s="151"/>
      <c r="AF71" s="85"/>
      <c r="AG71" s="85"/>
      <c r="AH71" s="85"/>
      <c r="AI71" s="85"/>
      <c r="AJ71" s="85"/>
      <c r="AK71" s="85"/>
      <c r="AL71" s="85"/>
      <c r="AM71" s="85"/>
      <c r="AN71" s="85">
        <v>18</v>
      </c>
      <c r="AO71" s="85"/>
      <c r="AP71" s="85"/>
      <c r="AQ71" s="85"/>
      <c r="AR71" s="85"/>
      <c r="AS71" s="85">
        <v>39</v>
      </c>
      <c r="AT71" s="85"/>
      <c r="AU71" s="85"/>
      <c r="AV71" s="85">
        <v>43</v>
      </c>
      <c r="AW71" s="85"/>
      <c r="AX71" s="272">
        <v>97.3</v>
      </c>
      <c r="AY71" s="272">
        <v>103.1</v>
      </c>
      <c r="AZ71" s="85"/>
      <c r="BA71" s="85">
        <v>114.5</v>
      </c>
      <c r="BB71" s="85"/>
      <c r="BC71" s="85">
        <v>70.7</v>
      </c>
      <c r="BD71" s="85"/>
      <c r="BE71" s="85"/>
      <c r="BF71" s="85"/>
      <c r="BG71" s="118"/>
      <c r="BH71" s="85"/>
      <c r="BI71" s="151"/>
      <c r="BJ71" s="85"/>
      <c r="BK71" s="85">
        <f>59.8+33</f>
        <v>92.8</v>
      </c>
      <c r="BL71" s="85"/>
      <c r="BM71" s="85"/>
      <c r="BN71" s="118"/>
      <c r="BO71" s="85"/>
      <c r="BP71" s="166"/>
      <c r="BQ71" s="85"/>
      <c r="BR71" s="151"/>
      <c r="BS71" s="85"/>
      <c r="BT71" s="85"/>
      <c r="BU71" s="85"/>
      <c r="BV71" s="85">
        <v>43.33</v>
      </c>
      <c r="BW71" s="85"/>
      <c r="BX71" s="85"/>
      <c r="BY71" s="85"/>
      <c r="BZ71" s="118"/>
    </row>
    <row r="72" spans="1:79">
      <c r="A72" s="131" t="s">
        <v>493</v>
      </c>
      <c r="B72" s="151"/>
      <c r="C72" s="151"/>
      <c r="D72" s="85"/>
      <c r="E72" s="85"/>
      <c r="F72" s="85"/>
      <c r="G72" s="85"/>
      <c r="H72" s="85"/>
      <c r="I72" s="85"/>
      <c r="J72" s="85"/>
      <c r="K72" s="85"/>
      <c r="L72" s="85"/>
      <c r="M72" s="85"/>
      <c r="N72" s="85"/>
      <c r="O72" s="85"/>
      <c r="P72" s="85"/>
      <c r="Q72" s="85"/>
      <c r="R72" s="85"/>
      <c r="S72" s="85"/>
      <c r="T72" s="85"/>
      <c r="U72" s="109"/>
      <c r="V72" s="85"/>
      <c r="W72" s="85"/>
      <c r="X72" s="85"/>
      <c r="Y72" s="85"/>
      <c r="Z72" s="85"/>
      <c r="AA72" s="85"/>
      <c r="AB72" s="85"/>
      <c r="AC72" s="118"/>
      <c r="AD72" s="85"/>
      <c r="AE72" s="151"/>
      <c r="AF72" s="85"/>
      <c r="AG72" s="85"/>
      <c r="AH72" s="85"/>
      <c r="AI72" s="85"/>
      <c r="AJ72" s="85"/>
      <c r="AK72" s="85"/>
      <c r="AL72" s="85"/>
      <c r="AM72" s="85"/>
      <c r="AN72" s="85"/>
      <c r="AO72" s="85"/>
      <c r="AP72" s="85"/>
      <c r="AQ72" s="85"/>
      <c r="AR72" s="85"/>
      <c r="AS72" s="85"/>
      <c r="AT72" s="85"/>
      <c r="AU72" s="85"/>
      <c r="AV72" s="85"/>
      <c r="AW72" s="85"/>
      <c r="AX72" s="272"/>
      <c r="AY72" s="272"/>
      <c r="AZ72" s="85"/>
      <c r="BA72" s="85"/>
      <c r="BB72" s="85"/>
      <c r="BC72" s="85"/>
      <c r="BD72" s="85"/>
      <c r="BE72" s="85"/>
      <c r="BF72" s="85"/>
      <c r="BG72" s="118"/>
      <c r="BH72" s="85"/>
      <c r="BI72" s="151"/>
      <c r="BJ72" s="85"/>
      <c r="BK72" s="85">
        <v>93.5</v>
      </c>
      <c r="BL72" s="85"/>
      <c r="BM72" s="85"/>
      <c r="BN72" s="118"/>
      <c r="BO72" s="85"/>
      <c r="BP72" s="166"/>
      <c r="BQ72" s="85"/>
      <c r="BR72" s="151"/>
      <c r="BS72" s="85"/>
      <c r="BT72" s="85"/>
      <c r="BU72" s="85"/>
      <c r="BV72" s="85"/>
      <c r="BW72" s="85"/>
      <c r="BX72" s="85"/>
      <c r="BY72" s="85"/>
      <c r="BZ72" s="118"/>
    </row>
    <row r="73" spans="1:79">
      <c r="A73" s="131" t="s">
        <v>371</v>
      </c>
      <c r="B73" s="151"/>
      <c r="C73" s="151"/>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118"/>
      <c r="AD73" s="85"/>
      <c r="AE73" s="151"/>
      <c r="AF73" s="85"/>
      <c r="AG73" s="85"/>
      <c r="AH73" s="85"/>
      <c r="AI73" s="85"/>
      <c r="AJ73" s="85"/>
      <c r="AK73" s="85"/>
      <c r="AL73" s="85"/>
      <c r="AM73" s="85"/>
      <c r="AN73" s="85"/>
      <c r="AO73" s="85"/>
      <c r="AP73" s="85"/>
      <c r="AQ73" s="85"/>
      <c r="AR73" s="85"/>
      <c r="AS73" s="85"/>
      <c r="AT73" s="85"/>
      <c r="AU73" s="85"/>
      <c r="AV73" s="85">
        <v>70</v>
      </c>
      <c r="AW73" s="85"/>
      <c r="AX73" s="272"/>
      <c r="AY73" s="272"/>
      <c r="AZ73" s="85"/>
      <c r="BA73" s="85"/>
      <c r="BB73" s="85"/>
      <c r="BC73" s="85"/>
      <c r="BD73" s="85"/>
      <c r="BE73" s="85"/>
      <c r="BF73" s="85"/>
      <c r="BG73" s="118"/>
      <c r="BH73" s="85"/>
      <c r="BI73" s="151"/>
      <c r="BJ73" s="85"/>
      <c r="BK73" s="85"/>
      <c r="BL73" s="85"/>
      <c r="BM73" s="85"/>
      <c r="BN73" s="118"/>
      <c r="BO73" s="85"/>
      <c r="BP73" s="166"/>
      <c r="BQ73" s="85"/>
      <c r="BR73" s="151"/>
      <c r="BS73" s="85"/>
      <c r="BT73" s="85"/>
      <c r="BU73" s="85"/>
      <c r="BV73" s="85"/>
      <c r="BW73" s="85"/>
      <c r="BX73" s="85"/>
      <c r="BY73" s="85"/>
      <c r="BZ73" s="118"/>
    </row>
    <row r="74" spans="1:79">
      <c r="A74" s="128" t="s">
        <v>152</v>
      </c>
      <c r="B74" s="150"/>
      <c r="C74" s="150">
        <f>C75+C78</f>
        <v>67</v>
      </c>
      <c r="D74" s="17">
        <f t="shared" ref="D74:E74" si="116">D75+D78</f>
        <v>125</v>
      </c>
      <c r="E74" s="17">
        <f t="shared" si="116"/>
        <v>107</v>
      </c>
      <c r="F74" s="17">
        <v>112</v>
      </c>
      <c r="G74" s="17">
        <v>117</v>
      </c>
      <c r="H74" s="17">
        <v>129</v>
      </c>
      <c r="I74" s="17">
        <f t="shared" ref="I74" si="117">I75+I78</f>
        <v>129</v>
      </c>
      <c r="J74" s="17">
        <v>154</v>
      </c>
      <c r="K74" s="17">
        <v>129</v>
      </c>
      <c r="L74" s="17">
        <v>152</v>
      </c>
      <c r="M74" s="17">
        <v>131</v>
      </c>
      <c r="N74" s="17">
        <v>150</v>
      </c>
      <c r="O74" s="17">
        <f t="shared" ref="O74" si="118">O75+O78</f>
        <v>252</v>
      </c>
      <c r="P74" s="17">
        <v>250.5</v>
      </c>
      <c r="Q74" s="17">
        <v>250.5</v>
      </c>
      <c r="R74" s="17">
        <v>183</v>
      </c>
      <c r="S74" s="17">
        <f t="shared" ref="S74" si="119">S75+S78</f>
        <v>188</v>
      </c>
      <c r="T74" s="17">
        <f>T75+T78</f>
        <v>125</v>
      </c>
      <c r="U74" s="17">
        <f>U75+U78</f>
        <v>116</v>
      </c>
      <c r="V74" s="17">
        <v>116</v>
      </c>
      <c r="W74" s="17">
        <f t="shared" ref="W74" si="120">W75+W78</f>
        <v>114</v>
      </c>
      <c r="X74" s="17">
        <v>116</v>
      </c>
      <c r="Y74" s="17"/>
      <c r="Z74" s="17">
        <v>114</v>
      </c>
      <c r="AA74" s="17">
        <v>141</v>
      </c>
      <c r="AB74" s="17">
        <v>159.9</v>
      </c>
      <c r="AC74" s="116">
        <v>178</v>
      </c>
      <c r="AD74" s="17"/>
      <c r="AE74" s="185">
        <v>104.17</v>
      </c>
      <c r="AF74" s="109">
        <v>106.4</v>
      </c>
      <c r="AG74" s="109">
        <v>107</v>
      </c>
      <c r="AH74" s="17"/>
      <c r="AI74" s="109">
        <v>107</v>
      </c>
      <c r="AJ74" s="109">
        <v>107</v>
      </c>
      <c r="AK74" s="109">
        <v>105</v>
      </c>
      <c r="AL74" s="17">
        <f t="shared" ref="AL74" si="121">AL75+AL78</f>
        <v>105</v>
      </c>
      <c r="AM74" s="109">
        <v>107</v>
      </c>
      <c r="AN74" s="17">
        <v>107</v>
      </c>
      <c r="AO74" s="109">
        <v>107</v>
      </c>
      <c r="AP74" s="109">
        <v>107</v>
      </c>
      <c r="AQ74" s="109">
        <v>107</v>
      </c>
      <c r="AR74" s="109">
        <v>144</v>
      </c>
      <c r="AS74" s="17">
        <f t="shared" ref="AS74" si="122">AS75+AS78</f>
        <v>147</v>
      </c>
      <c r="AT74" s="109">
        <v>148</v>
      </c>
      <c r="AU74" s="17">
        <f t="shared" ref="AU74" si="123">AU75+AU78</f>
        <v>147</v>
      </c>
      <c r="AV74" s="17">
        <f t="shared" ref="AV74" si="124">AV75+AV78</f>
        <v>148</v>
      </c>
      <c r="AW74" s="109">
        <v>150</v>
      </c>
      <c r="AX74" s="17">
        <f t="shared" ref="AX74:AY74" si="125">AX75+AX78</f>
        <v>164.2</v>
      </c>
      <c r="AY74" s="17">
        <f t="shared" si="125"/>
        <v>172.6</v>
      </c>
      <c r="AZ74" s="17">
        <f t="shared" ref="AZ74" si="126">AZ75+AZ78</f>
        <v>175</v>
      </c>
      <c r="BA74" s="17">
        <f t="shared" ref="BA74" si="127">BA75+BA78</f>
        <v>179.8</v>
      </c>
      <c r="BB74" s="17">
        <v>271.39999999999998</v>
      </c>
      <c r="BC74" s="17">
        <f t="shared" ref="BC74" si="128">BC75+BC78</f>
        <v>271.39999999999998</v>
      </c>
      <c r="BD74" s="17">
        <v>280.8</v>
      </c>
      <c r="BE74" s="17">
        <f t="shared" ref="BE74" si="129">BE75+BE78</f>
        <v>277</v>
      </c>
      <c r="BF74" s="17">
        <f t="shared" ref="BF74" si="130">BF75+BF78</f>
        <v>280</v>
      </c>
      <c r="BG74" s="116">
        <f t="shared" ref="BG74" si="131">BG75+BG78</f>
        <v>182</v>
      </c>
      <c r="BH74" s="17"/>
      <c r="BI74" s="150">
        <f t="shared" ref="BI74" si="132">BI75+BI78</f>
        <v>150</v>
      </c>
      <c r="BJ74" s="17">
        <f t="shared" ref="BJ74" si="133">BJ75+BJ78</f>
        <v>214</v>
      </c>
      <c r="BK74" s="17">
        <f>BK75+BK78</f>
        <v>381.4</v>
      </c>
      <c r="BL74" s="17">
        <f t="shared" ref="BL74" si="134">BL75+BL78</f>
        <v>484</v>
      </c>
      <c r="BM74" s="17">
        <f t="shared" ref="BM74" si="135">BM75+BM78</f>
        <v>390</v>
      </c>
      <c r="BN74" s="116">
        <f t="shared" ref="BN74:BP74" si="136">BN75+BN78</f>
        <v>504</v>
      </c>
      <c r="BO74" s="17"/>
      <c r="BP74" s="165">
        <f t="shared" si="136"/>
        <v>278</v>
      </c>
      <c r="BQ74" s="17"/>
      <c r="BR74" s="150">
        <f t="shared" ref="BR74" si="137">BR75+BR78</f>
        <v>79</v>
      </c>
      <c r="BS74" s="17">
        <f t="shared" ref="BS74" si="138">BS75+BS78</f>
        <v>37</v>
      </c>
      <c r="BT74" s="17">
        <f t="shared" ref="BT74" si="139">BT75+BT78</f>
        <v>71</v>
      </c>
      <c r="BU74" s="17">
        <f t="shared" ref="BU74" si="140">BU75+BU78</f>
        <v>96</v>
      </c>
      <c r="BV74" s="17">
        <v>128.03</v>
      </c>
      <c r="BW74" s="17">
        <f t="shared" ref="BW74" si="141">BW75+BW78</f>
        <v>107</v>
      </c>
      <c r="BX74" s="17">
        <f t="shared" ref="BX74" si="142">BX75+BX78</f>
        <v>112</v>
      </c>
      <c r="BY74" s="17">
        <f t="shared" ref="BY74" si="143">BY75+BY78</f>
        <v>119</v>
      </c>
      <c r="BZ74" s="116">
        <f t="shared" ref="BZ74" si="144">BZ75+BZ78</f>
        <v>119</v>
      </c>
      <c r="CA74" s="97">
        <f>SUM(CA75:CA78)</f>
        <v>72</v>
      </c>
    </row>
    <row r="75" spans="1:79">
      <c r="A75" s="131" t="s">
        <v>40</v>
      </c>
      <c r="B75" s="151"/>
      <c r="C75" s="151">
        <v>46</v>
      </c>
      <c r="D75" s="85">
        <v>86</v>
      </c>
      <c r="E75" s="85">
        <v>74</v>
      </c>
      <c r="F75" s="85"/>
      <c r="G75" s="85"/>
      <c r="H75" s="85"/>
      <c r="I75" s="85">
        <v>91</v>
      </c>
      <c r="J75" s="85"/>
      <c r="K75" s="85"/>
      <c r="L75" s="85"/>
      <c r="M75" s="85"/>
      <c r="N75" s="85"/>
      <c r="O75" s="85">
        <v>172</v>
      </c>
      <c r="P75" s="85"/>
      <c r="Q75" s="85"/>
      <c r="R75" s="85"/>
      <c r="S75" s="85">
        <v>121</v>
      </c>
      <c r="T75" s="85">
        <v>86</v>
      </c>
      <c r="U75" s="109">
        <f>SUM(U76:U77)</f>
        <v>79</v>
      </c>
      <c r="V75" s="85"/>
      <c r="W75" s="85">
        <v>78</v>
      </c>
      <c r="X75" s="85"/>
      <c r="Y75" s="85"/>
      <c r="Z75" s="85"/>
      <c r="AA75" s="85"/>
      <c r="AB75" s="85"/>
      <c r="AC75" s="118"/>
      <c r="AD75" s="85"/>
      <c r="AE75" s="151"/>
      <c r="AF75" s="85"/>
      <c r="AG75" s="85"/>
      <c r="AH75" s="85"/>
      <c r="AI75" s="85"/>
      <c r="AJ75" s="85"/>
      <c r="AK75" s="85"/>
      <c r="AL75" s="85">
        <v>69</v>
      </c>
      <c r="AM75" s="85"/>
      <c r="AN75" s="85">
        <f>SUM(AN76:AN77)</f>
        <v>65.900000000000006</v>
      </c>
      <c r="AO75" s="85"/>
      <c r="AP75" s="85"/>
      <c r="AQ75" s="85"/>
      <c r="AR75" s="85"/>
      <c r="AS75" s="272">
        <f>SUM(AS76:AS77)</f>
        <v>106</v>
      </c>
      <c r="AT75" s="85"/>
      <c r="AU75" s="85">
        <v>112</v>
      </c>
      <c r="AV75" s="272">
        <f>SUM(AV76:AV77)</f>
        <v>112</v>
      </c>
      <c r="AW75" s="85"/>
      <c r="AX75" s="272">
        <f>SUM(AX76:AX77)</f>
        <v>122.69999999999999</v>
      </c>
      <c r="AY75" s="272">
        <f>SUM(AY76:AY77)</f>
        <v>127.7</v>
      </c>
      <c r="AZ75" s="85">
        <v>131</v>
      </c>
      <c r="BA75" s="272">
        <f>SUM(BA76:BA77)</f>
        <v>134.80000000000001</v>
      </c>
      <c r="BB75" s="85"/>
      <c r="BC75" s="272">
        <f>SUM(BC76:BC77)</f>
        <v>201.8</v>
      </c>
      <c r="BD75" s="85"/>
      <c r="BE75" s="85">
        <v>207</v>
      </c>
      <c r="BF75" s="85">
        <v>207</v>
      </c>
      <c r="BG75" s="118">
        <v>133</v>
      </c>
      <c r="BH75" s="85"/>
      <c r="BI75" s="151">
        <v>105</v>
      </c>
      <c r="BJ75" s="85">
        <v>163</v>
      </c>
      <c r="BK75" s="85">
        <f>SUM(BK76:BK77)</f>
        <v>249.2</v>
      </c>
      <c r="BL75" s="85">
        <v>342</v>
      </c>
      <c r="BM75" s="85">
        <v>275</v>
      </c>
      <c r="BN75" s="118">
        <v>367</v>
      </c>
      <c r="BO75" s="85"/>
      <c r="BP75" s="166">
        <v>194</v>
      </c>
      <c r="BQ75" s="85"/>
      <c r="BR75" s="151">
        <v>54</v>
      </c>
      <c r="BS75" s="85">
        <v>27</v>
      </c>
      <c r="BT75" s="85">
        <v>58</v>
      </c>
      <c r="BU75" s="85">
        <v>70</v>
      </c>
      <c r="BV75" s="85">
        <f>SUM(BV76:BV77)</f>
        <v>85.54</v>
      </c>
      <c r="BW75" s="85">
        <v>82</v>
      </c>
      <c r="BX75" s="85">
        <v>81</v>
      </c>
      <c r="BY75" s="85">
        <v>87</v>
      </c>
      <c r="BZ75" s="118">
        <v>86</v>
      </c>
      <c r="CA75" s="104">
        <v>52</v>
      </c>
    </row>
    <row r="76" spans="1:79">
      <c r="A76" s="275" t="s">
        <v>356</v>
      </c>
      <c r="B76" s="151"/>
      <c r="C76" s="151"/>
      <c r="D76" s="85"/>
      <c r="E76" s="85"/>
      <c r="F76" s="85"/>
      <c r="G76" s="85"/>
      <c r="H76" s="85"/>
      <c r="I76" s="85"/>
      <c r="J76" s="85"/>
      <c r="K76" s="85"/>
      <c r="L76" s="85"/>
      <c r="M76" s="85"/>
      <c r="N76" s="85"/>
      <c r="O76" s="85"/>
      <c r="P76" s="85"/>
      <c r="Q76" s="85"/>
      <c r="R76" s="85"/>
      <c r="S76" s="85"/>
      <c r="T76" s="85"/>
      <c r="U76" s="109">
        <v>46</v>
      </c>
      <c r="V76" s="85"/>
      <c r="W76" s="85"/>
      <c r="X76" s="85"/>
      <c r="Y76" s="85"/>
      <c r="Z76" s="85"/>
      <c r="AA76" s="85"/>
      <c r="AB76" s="85"/>
      <c r="AC76" s="118"/>
      <c r="AD76" s="85"/>
      <c r="AE76" s="151"/>
      <c r="AF76" s="85"/>
      <c r="AG76" s="85"/>
      <c r="AH76" s="85"/>
      <c r="AI76" s="85"/>
      <c r="AJ76" s="85"/>
      <c r="AK76" s="85"/>
      <c r="AL76" s="85"/>
      <c r="AM76" s="85"/>
      <c r="AN76" s="85">
        <v>32.6</v>
      </c>
      <c r="AO76" s="85"/>
      <c r="AP76" s="85"/>
      <c r="AQ76" s="85"/>
      <c r="AR76" s="85"/>
      <c r="AS76" s="85">
        <v>64</v>
      </c>
      <c r="AT76" s="85"/>
      <c r="AU76" s="85"/>
      <c r="AV76" s="85">
        <v>65</v>
      </c>
      <c r="AW76" s="85"/>
      <c r="AX76" s="272">
        <v>67.599999999999994</v>
      </c>
      <c r="AY76" s="272">
        <v>67.2</v>
      </c>
      <c r="AZ76" s="85"/>
      <c r="BA76" s="272">
        <v>78</v>
      </c>
      <c r="BB76" s="85"/>
      <c r="BC76" s="272">
        <v>112.8</v>
      </c>
      <c r="BD76" s="85"/>
      <c r="BE76" s="85"/>
      <c r="BF76" s="85"/>
      <c r="BG76" s="118"/>
      <c r="BH76" s="85"/>
      <c r="BI76" s="151"/>
      <c r="BJ76" s="85"/>
      <c r="BK76" s="85">
        <v>138.69999999999999</v>
      </c>
      <c r="BL76" s="85"/>
      <c r="BM76" s="85"/>
      <c r="BN76" s="118"/>
      <c r="BO76" s="85"/>
      <c r="BP76" s="166"/>
      <c r="BQ76" s="85"/>
      <c r="BR76" s="151"/>
      <c r="BS76" s="85"/>
      <c r="BT76" s="85"/>
      <c r="BU76" s="85"/>
      <c r="BV76" s="85">
        <f>53+1.31</f>
        <v>54.31</v>
      </c>
      <c r="BW76" s="85"/>
      <c r="BX76" s="85"/>
      <c r="BY76" s="85"/>
      <c r="BZ76" s="118"/>
    </row>
    <row r="77" spans="1:79">
      <c r="A77" s="275" t="s">
        <v>357</v>
      </c>
      <c r="B77" s="151"/>
      <c r="C77" s="151"/>
      <c r="D77" s="85"/>
      <c r="E77" s="85"/>
      <c r="F77" s="85"/>
      <c r="G77" s="85"/>
      <c r="H77" s="85"/>
      <c r="I77" s="85"/>
      <c r="J77" s="85"/>
      <c r="K77" s="85"/>
      <c r="L77" s="85"/>
      <c r="M77" s="85"/>
      <c r="N77" s="85"/>
      <c r="O77" s="85"/>
      <c r="P77" s="85"/>
      <c r="Q77" s="85"/>
      <c r="R77" s="85"/>
      <c r="S77" s="85"/>
      <c r="T77" s="85"/>
      <c r="U77" s="109">
        <v>33</v>
      </c>
      <c r="V77" s="85"/>
      <c r="W77" s="85"/>
      <c r="X77" s="85"/>
      <c r="Y77" s="85"/>
      <c r="Z77" s="85"/>
      <c r="AA77" s="85"/>
      <c r="AB77" s="85"/>
      <c r="AC77" s="118"/>
      <c r="AD77" s="85"/>
      <c r="AE77" s="151"/>
      <c r="AF77" s="85"/>
      <c r="AG77" s="85"/>
      <c r="AH77" s="85"/>
      <c r="AI77" s="85"/>
      <c r="AJ77" s="85"/>
      <c r="AK77" s="85"/>
      <c r="AL77" s="85"/>
      <c r="AM77" s="85"/>
      <c r="AN77" s="85">
        <v>33.299999999999997</v>
      </c>
      <c r="AO77" s="85"/>
      <c r="AP77" s="85"/>
      <c r="AQ77" s="85"/>
      <c r="AR77" s="85"/>
      <c r="AS77" s="85">
        <v>42</v>
      </c>
      <c r="AT77" s="85"/>
      <c r="AU77" s="85"/>
      <c r="AV77" s="85">
        <v>47</v>
      </c>
      <c r="AW77" s="85"/>
      <c r="AX77" s="272">
        <v>55.1</v>
      </c>
      <c r="AY77" s="272">
        <v>60.5</v>
      </c>
      <c r="AZ77" s="85"/>
      <c r="BA77" s="272">
        <v>56.8</v>
      </c>
      <c r="BB77" s="85"/>
      <c r="BC77" s="272">
        <v>89</v>
      </c>
      <c r="BD77" s="85"/>
      <c r="BE77" s="85"/>
      <c r="BF77" s="85"/>
      <c r="BG77" s="118"/>
      <c r="BH77" s="85"/>
      <c r="BI77" s="151"/>
      <c r="BJ77" s="85"/>
      <c r="BK77" s="85">
        <v>110.5</v>
      </c>
      <c r="BL77" s="85"/>
      <c r="BM77" s="85"/>
      <c r="BN77" s="118"/>
      <c r="BO77" s="85"/>
      <c r="BP77" s="166"/>
      <c r="BQ77" s="85"/>
      <c r="BR77" s="151"/>
      <c r="BS77" s="85"/>
      <c r="BT77" s="85"/>
      <c r="BU77" s="85"/>
      <c r="BV77" s="85">
        <v>31.23</v>
      </c>
      <c r="BW77" s="85"/>
      <c r="BX77" s="85"/>
      <c r="BY77" s="85"/>
      <c r="BZ77" s="118"/>
    </row>
    <row r="78" spans="1:79">
      <c r="A78" s="131" t="s">
        <v>39</v>
      </c>
      <c r="B78" s="151"/>
      <c r="C78" s="151">
        <v>21</v>
      </c>
      <c r="D78" s="85">
        <v>39</v>
      </c>
      <c r="E78" s="85">
        <v>33</v>
      </c>
      <c r="F78" s="85"/>
      <c r="G78" s="85"/>
      <c r="H78" s="85"/>
      <c r="I78" s="85">
        <v>38</v>
      </c>
      <c r="J78" s="85"/>
      <c r="K78" s="85"/>
      <c r="L78" s="85"/>
      <c r="M78" s="85"/>
      <c r="N78" s="85"/>
      <c r="O78" s="85">
        <v>80</v>
      </c>
      <c r="P78" s="85"/>
      <c r="Q78" s="85"/>
      <c r="R78" s="85"/>
      <c r="S78" s="85">
        <v>67</v>
      </c>
      <c r="T78" s="85">
        <v>39</v>
      </c>
      <c r="U78" s="109">
        <f>SUM(U79:U80)</f>
        <v>37</v>
      </c>
      <c r="V78" s="85"/>
      <c r="W78" s="85">
        <v>36</v>
      </c>
      <c r="X78" s="85"/>
      <c r="Y78" s="85"/>
      <c r="Z78" s="85"/>
      <c r="AA78" s="85"/>
      <c r="AB78" s="85"/>
      <c r="AC78" s="118"/>
      <c r="AD78" s="85"/>
      <c r="AE78" s="151"/>
      <c r="AF78" s="85"/>
      <c r="AG78" s="85"/>
      <c r="AH78" s="85"/>
      <c r="AI78" s="85"/>
      <c r="AJ78" s="85"/>
      <c r="AK78" s="85"/>
      <c r="AL78" s="85">
        <v>36</v>
      </c>
      <c r="AM78" s="85"/>
      <c r="AN78" s="85">
        <f>SUM(AN79:AN80)</f>
        <v>39.200000000000003</v>
      </c>
      <c r="AO78" s="85"/>
      <c r="AP78" s="85"/>
      <c r="AQ78" s="85"/>
      <c r="AR78" s="85"/>
      <c r="AS78" s="272">
        <f>SUM(AS79:AS80)</f>
        <v>41</v>
      </c>
      <c r="AT78" s="85"/>
      <c r="AU78" s="85">
        <v>35</v>
      </c>
      <c r="AV78" s="272">
        <f>SUM(AV79:AV80)</f>
        <v>36</v>
      </c>
      <c r="AW78" s="85"/>
      <c r="AX78" s="272">
        <f>SUM(AX79:AX80)</f>
        <v>41.5</v>
      </c>
      <c r="AY78" s="272">
        <f>SUM(AY79:AY80)</f>
        <v>44.9</v>
      </c>
      <c r="AZ78" s="85">
        <v>44</v>
      </c>
      <c r="BA78" s="272">
        <f>SUM(BA79:BA80)</f>
        <v>45</v>
      </c>
      <c r="BB78" s="85"/>
      <c r="BC78" s="272">
        <f>SUM(BC79:BC80)</f>
        <v>69.599999999999994</v>
      </c>
      <c r="BD78" s="85"/>
      <c r="BE78" s="85">
        <v>70</v>
      </c>
      <c r="BF78" s="85">
        <v>73</v>
      </c>
      <c r="BG78" s="118">
        <v>49</v>
      </c>
      <c r="BH78" s="85"/>
      <c r="BI78" s="151">
        <v>45</v>
      </c>
      <c r="BJ78" s="85">
        <v>51</v>
      </c>
      <c r="BK78" s="85">
        <f>SUM(BK79:BK80)</f>
        <v>132.19999999999999</v>
      </c>
      <c r="BL78" s="85">
        <v>142</v>
      </c>
      <c r="BM78" s="85">
        <v>115</v>
      </c>
      <c r="BN78" s="118">
        <v>137</v>
      </c>
      <c r="BO78" s="85"/>
      <c r="BP78" s="166">
        <v>84</v>
      </c>
      <c r="BQ78" s="85"/>
      <c r="BR78" s="151">
        <v>25</v>
      </c>
      <c r="BS78" s="85">
        <v>10</v>
      </c>
      <c r="BT78" s="85">
        <v>13</v>
      </c>
      <c r="BU78" s="85">
        <v>26</v>
      </c>
      <c r="BV78" s="85">
        <f>SUM(BV79:BV80)</f>
        <v>42.49</v>
      </c>
      <c r="BW78" s="85">
        <v>25</v>
      </c>
      <c r="BX78" s="85">
        <v>31</v>
      </c>
      <c r="BY78" s="85">
        <v>32</v>
      </c>
      <c r="BZ78" s="118">
        <v>33</v>
      </c>
      <c r="CA78" s="104">
        <v>20</v>
      </c>
    </row>
    <row r="79" spans="1:79">
      <c r="A79" s="275" t="s">
        <v>358</v>
      </c>
      <c r="B79" s="151"/>
      <c r="C79" s="151"/>
      <c r="D79" s="85"/>
      <c r="E79" s="85"/>
      <c r="F79" s="85"/>
      <c r="G79" s="85"/>
      <c r="H79" s="85"/>
      <c r="I79" s="85"/>
      <c r="J79" s="85"/>
      <c r="K79" s="85"/>
      <c r="L79" s="85"/>
      <c r="M79" s="85"/>
      <c r="N79" s="85"/>
      <c r="O79" s="85"/>
      <c r="P79" s="85"/>
      <c r="Q79" s="85"/>
      <c r="R79" s="85"/>
      <c r="S79" s="85"/>
      <c r="T79" s="85"/>
      <c r="U79" s="109">
        <v>14.3</v>
      </c>
      <c r="V79" s="85"/>
      <c r="W79" s="85"/>
      <c r="X79" s="85"/>
      <c r="Y79" s="85"/>
      <c r="Z79" s="85"/>
      <c r="AA79" s="85"/>
      <c r="AB79" s="85"/>
      <c r="AC79" s="118"/>
      <c r="AD79" s="85"/>
      <c r="AE79" s="151"/>
      <c r="AF79" s="85"/>
      <c r="AG79" s="85"/>
      <c r="AH79" s="85"/>
      <c r="AI79" s="85"/>
      <c r="AJ79" s="85"/>
      <c r="AK79" s="85"/>
      <c r="AL79" s="85"/>
      <c r="AM79" s="85"/>
      <c r="AN79" s="85">
        <v>21.6</v>
      </c>
      <c r="AO79" s="85"/>
      <c r="AP79" s="85"/>
      <c r="AQ79" s="85"/>
      <c r="AR79" s="85"/>
      <c r="AS79" s="85">
        <v>18</v>
      </c>
      <c r="AT79" s="85"/>
      <c r="AU79" s="85"/>
      <c r="AV79" s="85">
        <v>13</v>
      </c>
      <c r="AW79" s="85"/>
      <c r="AX79" s="272">
        <v>13.9</v>
      </c>
      <c r="AY79" s="272">
        <v>13.9</v>
      </c>
      <c r="AZ79" s="85"/>
      <c r="BA79" s="272">
        <v>13.6</v>
      </c>
      <c r="BB79" s="85"/>
      <c r="BC79" s="85">
        <v>24.2</v>
      </c>
      <c r="BD79" s="85"/>
      <c r="BE79" s="85"/>
      <c r="BF79" s="85"/>
      <c r="BG79" s="118"/>
      <c r="BH79" s="85"/>
      <c r="BI79" s="151"/>
      <c r="BJ79" s="85"/>
      <c r="BK79" s="85">
        <v>55</v>
      </c>
      <c r="BL79" s="85"/>
      <c r="BM79" s="85"/>
      <c r="BN79" s="118"/>
      <c r="BO79" s="85"/>
      <c r="BP79" s="166"/>
      <c r="BQ79" s="85"/>
      <c r="BR79" s="151"/>
      <c r="BS79" s="85"/>
      <c r="BT79" s="85"/>
      <c r="BU79" s="85"/>
      <c r="BV79" s="85">
        <f>21.36+1.6</f>
        <v>22.96</v>
      </c>
      <c r="BW79" s="85"/>
      <c r="BX79" s="85"/>
      <c r="BY79" s="85"/>
      <c r="BZ79" s="118"/>
    </row>
    <row r="80" spans="1:79">
      <c r="A80" s="275" t="s">
        <v>359</v>
      </c>
      <c r="B80" s="151"/>
      <c r="C80" s="151"/>
      <c r="D80" s="85"/>
      <c r="E80" s="85"/>
      <c r="F80" s="85"/>
      <c r="G80" s="85"/>
      <c r="H80" s="85"/>
      <c r="I80" s="85"/>
      <c r="J80" s="85"/>
      <c r="K80" s="85"/>
      <c r="L80" s="85"/>
      <c r="M80" s="85"/>
      <c r="N80" s="85"/>
      <c r="O80" s="85"/>
      <c r="P80" s="85"/>
      <c r="Q80" s="85"/>
      <c r="R80" s="85"/>
      <c r="S80" s="85"/>
      <c r="T80" s="85"/>
      <c r="U80" s="109">
        <v>22.7</v>
      </c>
      <c r="V80" s="85"/>
      <c r="W80" s="85"/>
      <c r="X80" s="85"/>
      <c r="Y80" s="85"/>
      <c r="Z80" s="85"/>
      <c r="AA80" s="85"/>
      <c r="AB80" s="85"/>
      <c r="AC80" s="118"/>
      <c r="AD80" s="85"/>
      <c r="AE80" s="151"/>
      <c r="AF80" s="85"/>
      <c r="AG80" s="85"/>
      <c r="AH80" s="85"/>
      <c r="AI80" s="85"/>
      <c r="AJ80" s="85"/>
      <c r="AK80" s="85"/>
      <c r="AL80" s="85"/>
      <c r="AM80" s="85"/>
      <c r="AN80" s="85">
        <v>17.600000000000001</v>
      </c>
      <c r="AO80" s="85"/>
      <c r="AP80" s="85"/>
      <c r="AQ80" s="85"/>
      <c r="AR80" s="85"/>
      <c r="AS80" s="85">
        <v>23</v>
      </c>
      <c r="AT80" s="85"/>
      <c r="AU80" s="85"/>
      <c r="AV80" s="85">
        <v>23</v>
      </c>
      <c r="AW80" s="85"/>
      <c r="AX80" s="272">
        <v>27.6</v>
      </c>
      <c r="AY80" s="272">
        <v>31</v>
      </c>
      <c r="AZ80" s="85"/>
      <c r="BA80" s="85">
        <v>31.4</v>
      </c>
      <c r="BB80" s="85"/>
      <c r="BC80" s="85">
        <v>45.4</v>
      </c>
      <c r="BD80" s="85"/>
      <c r="BE80" s="85"/>
      <c r="BF80" s="85"/>
      <c r="BG80" s="118"/>
      <c r="BH80" s="85"/>
      <c r="BI80" s="151"/>
      <c r="BJ80" s="85"/>
      <c r="BK80" s="85">
        <v>77.2</v>
      </c>
      <c r="BL80" s="85"/>
      <c r="BM80" s="85"/>
      <c r="BN80" s="118"/>
      <c r="BO80" s="85"/>
      <c r="BP80" s="166"/>
      <c r="BQ80" s="85"/>
      <c r="BR80" s="151"/>
      <c r="BS80" s="85"/>
      <c r="BT80" s="85"/>
      <c r="BU80" s="85"/>
      <c r="BV80" s="85">
        <v>19.53</v>
      </c>
      <c r="BW80" s="85"/>
      <c r="BX80" s="85"/>
      <c r="BY80" s="85"/>
      <c r="BZ80" s="118"/>
    </row>
    <row r="81" spans="1:84">
      <c r="A81" s="128" t="s">
        <v>229</v>
      </c>
      <c r="B81" s="150"/>
      <c r="C81" s="150"/>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16"/>
      <c r="AD81" s="17"/>
      <c r="AE81" s="185">
        <v>955.15</v>
      </c>
      <c r="AF81" s="3"/>
      <c r="AG81" s="3"/>
      <c r="AH81" s="3"/>
      <c r="AI81" s="3"/>
      <c r="AJ81" s="3"/>
      <c r="AK81" s="17"/>
      <c r="AL81" s="17"/>
      <c r="AM81" s="3"/>
      <c r="AN81" s="3"/>
      <c r="AO81" s="3"/>
      <c r="AP81" s="3"/>
      <c r="AQ81" s="3"/>
      <c r="AR81" s="17"/>
      <c r="AS81" s="17"/>
      <c r="AT81" s="17"/>
      <c r="AU81" s="17"/>
      <c r="AV81" s="17"/>
      <c r="AW81" s="17"/>
      <c r="AX81" s="26"/>
      <c r="AY81" s="26"/>
      <c r="AZ81" s="17"/>
      <c r="BA81" s="17"/>
      <c r="BB81" s="17"/>
      <c r="BC81" s="17"/>
      <c r="BD81" s="17"/>
      <c r="BE81" s="17"/>
      <c r="BF81" s="17"/>
      <c r="BG81" s="116"/>
      <c r="BH81" s="17"/>
      <c r="BI81" s="150"/>
      <c r="BJ81" s="17"/>
      <c r="BK81" s="17"/>
      <c r="BL81" s="17"/>
      <c r="BM81" s="17"/>
      <c r="BN81" s="116"/>
      <c r="BO81" s="17"/>
      <c r="BP81" s="165"/>
      <c r="BQ81" s="17"/>
      <c r="BR81" s="150"/>
      <c r="BS81" s="17"/>
      <c r="BT81" s="17"/>
      <c r="BU81" s="17"/>
      <c r="BV81" s="17"/>
      <c r="BW81" s="17"/>
      <c r="BX81" s="17"/>
      <c r="BY81" s="17"/>
      <c r="BZ81" s="116"/>
      <c r="CA81" s="97"/>
    </row>
    <row r="82" spans="1:84">
      <c r="A82" s="128" t="s">
        <v>289</v>
      </c>
      <c r="B82" s="150"/>
      <c r="C82" s="150">
        <f>C83+C86</f>
        <v>520</v>
      </c>
      <c r="D82" s="17">
        <f t="shared" ref="D82:AC82" si="145">D83+D86</f>
        <v>1133</v>
      </c>
      <c r="E82" s="17">
        <f t="shared" si="145"/>
        <v>1002</v>
      </c>
      <c r="F82" s="17">
        <f t="shared" si="145"/>
        <v>1087</v>
      </c>
      <c r="G82" s="17">
        <f t="shared" si="145"/>
        <v>1110</v>
      </c>
      <c r="H82" s="17">
        <f t="shared" si="145"/>
        <v>1489</v>
      </c>
      <c r="I82" s="17">
        <f>I83+I86</f>
        <v>1316</v>
      </c>
      <c r="J82" s="17">
        <f t="shared" si="145"/>
        <v>1319</v>
      </c>
      <c r="K82" s="17">
        <f t="shared" si="145"/>
        <v>1329</v>
      </c>
      <c r="L82" s="17">
        <f t="shared" si="145"/>
        <v>1336</v>
      </c>
      <c r="M82" s="17">
        <f t="shared" si="145"/>
        <v>1327</v>
      </c>
      <c r="N82" s="17">
        <f t="shared" si="145"/>
        <v>1247</v>
      </c>
      <c r="O82" s="17">
        <f t="shared" si="145"/>
        <v>2606</v>
      </c>
      <c r="P82" s="17">
        <f t="shared" si="145"/>
        <v>2945.5</v>
      </c>
      <c r="Q82" s="17">
        <f t="shared" si="145"/>
        <v>2933.5</v>
      </c>
      <c r="R82" s="17">
        <f>R83+R86</f>
        <v>1564</v>
      </c>
      <c r="S82" s="17">
        <f t="shared" si="145"/>
        <v>1478</v>
      </c>
      <c r="T82" s="17">
        <f>T83+T86</f>
        <v>877</v>
      </c>
      <c r="U82" s="17"/>
      <c r="V82" s="17">
        <f>V83+V86</f>
        <v>516.6</v>
      </c>
      <c r="W82" s="17">
        <f t="shared" si="145"/>
        <v>1119</v>
      </c>
      <c r="X82" s="17">
        <f>X83+X86</f>
        <v>514.79999999999995</v>
      </c>
      <c r="Y82" s="17"/>
      <c r="Z82" s="17">
        <f t="shared" si="145"/>
        <v>514.79999999999995</v>
      </c>
      <c r="AA82" s="17">
        <f t="shared" si="145"/>
        <v>1243</v>
      </c>
      <c r="AB82" s="17">
        <f t="shared" si="145"/>
        <v>1247.9000000000001</v>
      </c>
      <c r="AC82" s="116">
        <f t="shared" si="145"/>
        <v>1283</v>
      </c>
      <c r="AD82" s="17"/>
      <c r="AE82" s="150"/>
      <c r="AF82" s="203">
        <v>818.3</v>
      </c>
      <c r="AG82" s="203">
        <v>820.3</v>
      </c>
      <c r="AI82" s="203">
        <v>846.9</v>
      </c>
      <c r="AJ82" s="203">
        <v>895.7</v>
      </c>
      <c r="AK82" s="17">
        <f>AK83+AK86</f>
        <v>1038</v>
      </c>
      <c r="AL82" s="17">
        <f>AL83+AL86</f>
        <v>1084</v>
      </c>
      <c r="AM82" s="13">
        <f t="shared" ref="AM82:AN82" si="146">AM83+AM86</f>
        <v>937.2</v>
      </c>
      <c r="AN82" s="13">
        <f t="shared" si="146"/>
        <v>937.2</v>
      </c>
      <c r="AO82" s="203">
        <v>783</v>
      </c>
      <c r="AP82" s="203">
        <v>816.4</v>
      </c>
      <c r="AQ82" s="203">
        <v>809.7</v>
      </c>
      <c r="AR82" s="17">
        <f t="shared" ref="AR82" si="147">AR83+AR86</f>
        <v>1170</v>
      </c>
      <c r="AS82" s="17">
        <f t="shared" ref="AS82:AT82" si="148">AS83+AS86</f>
        <v>1144</v>
      </c>
      <c r="AT82" s="17">
        <f t="shared" si="148"/>
        <v>1203</v>
      </c>
      <c r="AU82" s="17">
        <f t="shared" ref="AU82" si="149">AU83+AU86</f>
        <v>1195</v>
      </c>
      <c r="AV82" s="17">
        <f>AV83+AV86</f>
        <v>1203</v>
      </c>
      <c r="AW82" s="17">
        <f t="shared" ref="AW82" si="150">AW83+AW86</f>
        <v>1165</v>
      </c>
      <c r="AX82" s="26"/>
      <c r="AY82" s="26"/>
      <c r="AZ82" s="17">
        <f t="shared" ref="AZ82:BA82" si="151">AZ83+AZ86</f>
        <v>1840</v>
      </c>
      <c r="BA82" s="17">
        <f t="shared" si="151"/>
        <v>1825.3</v>
      </c>
      <c r="BB82" s="17">
        <f>BB83+BB86</f>
        <v>1761.3999999999999</v>
      </c>
      <c r="BC82" s="17">
        <f t="shared" ref="BC82" si="152">BC83+BC86</f>
        <v>1780</v>
      </c>
      <c r="BD82" s="17">
        <f t="shared" ref="BD82" si="153">BD83+BD86</f>
        <v>1825.3</v>
      </c>
      <c r="BE82" s="17">
        <f t="shared" ref="BE82" si="154">BE83+BE86</f>
        <v>1809</v>
      </c>
      <c r="BF82" s="17">
        <f t="shared" ref="BF82" si="155">BF83+BF86</f>
        <v>1831</v>
      </c>
      <c r="BG82" s="116">
        <f t="shared" ref="BG82" si="156">BG83+BG86</f>
        <v>1533</v>
      </c>
      <c r="BH82" s="17"/>
      <c r="BI82" s="150">
        <f t="shared" ref="BI82" si="157">BI83+BI86</f>
        <v>1208</v>
      </c>
      <c r="BK82" s="17">
        <f>BJ83+BJ86</f>
        <v>1288</v>
      </c>
      <c r="BL82" s="17">
        <f t="shared" ref="BL82" si="158">BL83+BL86</f>
        <v>2421</v>
      </c>
      <c r="BM82" s="17">
        <f t="shared" ref="BM82" si="159">BM83+BM86</f>
        <v>2257</v>
      </c>
      <c r="BN82" s="116">
        <f t="shared" ref="BN82" si="160">BN83+BN86</f>
        <v>2162</v>
      </c>
      <c r="BO82" s="17"/>
      <c r="BP82" s="165">
        <f t="shared" ref="BP82" si="161">BP83+BP86</f>
        <v>2544</v>
      </c>
      <c r="BQ82" s="17"/>
      <c r="BR82" s="150">
        <f t="shared" ref="BR82" si="162">BR83+BR86</f>
        <v>453</v>
      </c>
      <c r="BS82" s="17">
        <f t="shared" ref="BS82" si="163">BS83+BS86</f>
        <v>366</v>
      </c>
      <c r="BT82" s="17">
        <f t="shared" ref="BT82" si="164">BT83+BT86</f>
        <v>753</v>
      </c>
      <c r="BU82" s="17">
        <f t="shared" ref="BU82" si="165">BU83+BU86</f>
        <v>862</v>
      </c>
      <c r="BV82" s="17">
        <f t="shared" ref="BV82" si="166">BV83+BV86</f>
        <v>1057.83</v>
      </c>
      <c r="BW82" s="17">
        <f t="shared" ref="BW82" si="167">BW83+BW86</f>
        <v>813</v>
      </c>
      <c r="BX82" s="17">
        <f t="shared" ref="BX82" si="168">BX83+BX86</f>
        <v>1122</v>
      </c>
      <c r="BY82" s="17">
        <f t="shared" ref="BY82" si="169">BY83+BY86</f>
        <v>1133</v>
      </c>
      <c r="BZ82" s="116">
        <f t="shared" ref="BZ82:CA82" si="170">BZ83+BZ86</f>
        <v>1086</v>
      </c>
      <c r="CA82" s="116">
        <f t="shared" si="170"/>
        <v>535</v>
      </c>
    </row>
    <row r="83" spans="1:84">
      <c r="A83" s="128" t="s">
        <v>42</v>
      </c>
      <c r="B83" s="150"/>
      <c r="C83" s="150">
        <v>261</v>
      </c>
      <c r="D83" s="17">
        <v>669</v>
      </c>
      <c r="E83" s="17">
        <v>470</v>
      </c>
      <c r="F83" s="17">
        <v>515</v>
      </c>
      <c r="G83" s="17">
        <v>543</v>
      </c>
      <c r="H83" s="17">
        <v>794</v>
      </c>
      <c r="I83" s="17">
        <v>792</v>
      </c>
      <c r="J83" s="17">
        <v>767</v>
      </c>
      <c r="K83" s="17">
        <v>784</v>
      </c>
      <c r="L83" s="17">
        <v>787</v>
      </c>
      <c r="M83" s="17">
        <v>779</v>
      </c>
      <c r="N83" s="17">
        <v>759</v>
      </c>
      <c r="O83" s="17">
        <v>1539</v>
      </c>
      <c r="P83" s="17">
        <f>SUM(P84:P85)</f>
        <v>1822.5</v>
      </c>
      <c r="Q83" s="17">
        <f>SUM(Q84:Q85)</f>
        <v>1808.5</v>
      </c>
      <c r="R83" s="13">
        <f>SUM(R84:R85)</f>
        <v>783</v>
      </c>
      <c r="S83" s="17">
        <v>725</v>
      </c>
      <c r="T83" s="17">
        <v>534</v>
      </c>
      <c r="U83" s="109">
        <v>618.29999999999995</v>
      </c>
      <c r="V83" s="17"/>
      <c r="W83" s="17">
        <v>608</v>
      </c>
      <c r="X83" s="17"/>
      <c r="Y83" s="17"/>
      <c r="Z83" s="17"/>
      <c r="AA83" s="13">
        <f>SUM(AA84:AA85)</f>
        <v>602</v>
      </c>
      <c r="AB83" s="13">
        <f>SUM(AB84:AB85)</f>
        <v>628.70000000000005</v>
      </c>
      <c r="AC83" s="117">
        <f>SUM(AC84:AC85)</f>
        <v>676</v>
      </c>
      <c r="AD83" s="17"/>
      <c r="AE83" s="150"/>
      <c r="AH83" s="17"/>
      <c r="AK83" s="17">
        <f>SUM(AK84:AK85)</f>
        <v>587</v>
      </c>
      <c r="AL83" s="17">
        <v>656</v>
      </c>
      <c r="AM83" s="13">
        <f>SUM(AM84:AM85)</f>
        <v>553.6</v>
      </c>
      <c r="AN83" s="13">
        <f>SUM(AN84:AN85)</f>
        <v>553.6</v>
      </c>
      <c r="AR83" s="17">
        <f>SUM(AR84:AR85)</f>
        <v>819</v>
      </c>
      <c r="AS83" s="17">
        <f>SUM(AS84:AS85)</f>
        <v>793</v>
      </c>
      <c r="AT83" s="17">
        <f>SUM(AT84:AT85)</f>
        <v>852</v>
      </c>
      <c r="AU83" s="17">
        <v>842</v>
      </c>
      <c r="AV83" s="17">
        <f>SUM(AV84:AV85)</f>
        <v>852</v>
      </c>
      <c r="AW83" s="17">
        <f>SUM(AW84:AW85)</f>
        <v>723</v>
      </c>
      <c r="AX83" s="26">
        <f>SUM(AX84:AX85)</f>
        <v>1064.9000000000001</v>
      </c>
      <c r="AY83" s="26">
        <f>SUM(AY84:AY85)</f>
        <v>1080.3</v>
      </c>
      <c r="AZ83" s="17">
        <v>1139</v>
      </c>
      <c r="BA83" s="17">
        <f>SUM(BA84:BA85)</f>
        <v>1121.2</v>
      </c>
      <c r="BB83" s="17">
        <f>SUM(BB84:BB85)</f>
        <v>1027.5999999999999</v>
      </c>
      <c r="BC83" s="17">
        <f>SUM(BC84:BC85)</f>
        <v>1040.8</v>
      </c>
      <c r="BD83" s="17">
        <f>SUM(BD84:BD85)</f>
        <v>1074.0999999999999</v>
      </c>
      <c r="BE83" s="17">
        <v>1070</v>
      </c>
      <c r="BF83" s="17">
        <v>1082</v>
      </c>
      <c r="BG83" s="116">
        <v>908</v>
      </c>
      <c r="BH83" s="17"/>
      <c r="BI83" s="150">
        <v>623</v>
      </c>
      <c r="BJ83" s="17">
        <v>836</v>
      </c>
      <c r="BK83" s="17">
        <f>SUM(BK84:BK85)</f>
        <v>1552.3</v>
      </c>
      <c r="BL83" s="17">
        <v>1510</v>
      </c>
      <c r="BM83" s="17">
        <v>1374</v>
      </c>
      <c r="BN83" s="116">
        <v>1218</v>
      </c>
      <c r="BO83" s="17"/>
      <c r="BP83" s="165">
        <v>1577</v>
      </c>
      <c r="BQ83" s="17"/>
      <c r="BR83" s="150">
        <v>302</v>
      </c>
      <c r="BS83" s="17">
        <v>220</v>
      </c>
      <c r="BT83" s="17">
        <v>433</v>
      </c>
      <c r="BU83" s="17">
        <v>532</v>
      </c>
      <c r="BV83" s="17">
        <v>671</v>
      </c>
      <c r="BW83" s="17">
        <v>539</v>
      </c>
      <c r="BX83" s="17">
        <v>659</v>
      </c>
      <c r="BY83" s="17">
        <v>671</v>
      </c>
      <c r="BZ83" s="116">
        <v>641</v>
      </c>
      <c r="CA83" s="97">
        <v>274</v>
      </c>
    </row>
    <row r="84" spans="1:84">
      <c r="A84" s="131" t="s">
        <v>226</v>
      </c>
      <c r="B84" s="151"/>
      <c r="C84" s="151"/>
      <c r="D84" s="85"/>
      <c r="E84" s="85"/>
      <c r="F84" s="85"/>
      <c r="G84" s="85"/>
      <c r="H84" s="85">
        <v>449</v>
      </c>
      <c r="I84" s="85"/>
      <c r="J84" s="85">
        <v>418</v>
      </c>
      <c r="K84" s="85">
        <v>435</v>
      </c>
      <c r="L84" s="85">
        <v>437</v>
      </c>
      <c r="M84" s="85">
        <v>434</v>
      </c>
      <c r="N84" s="85">
        <v>424</v>
      </c>
      <c r="O84" s="85"/>
      <c r="P84" s="85">
        <v>1443.5</v>
      </c>
      <c r="Q84" s="85">
        <v>1425.5</v>
      </c>
      <c r="R84" s="85">
        <v>509</v>
      </c>
      <c r="S84" s="85"/>
      <c r="T84" s="85"/>
      <c r="U84" s="85"/>
      <c r="V84" s="85"/>
      <c r="W84" s="85"/>
      <c r="X84" s="85"/>
      <c r="Y84" s="85"/>
      <c r="Z84" s="85"/>
      <c r="AA84" s="85">
        <v>598</v>
      </c>
      <c r="AB84" s="85">
        <v>628.70000000000005</v>
      </c>
      <c r="AC84" s="118">
        <v>676</v>
      </c>
      <c r="AD84" s="85"/>
      <c r="AE84" s="152"/>
      <c r="AF84" s="87"/>
      <c r="AG84" s="87"/>
      <c r="AH84" s="87"/>
      <c r="AI84" s="87"/>
      <c r="AJ84" s="87"/>
      <c r="AK84" s="203">
        <v>350</v>
      </c>
      <c r="AL84" s="87"/>
      <c r="AM84" s="203">
        <v>410.2</v>
      </c>
      <c r="AN84" s="87">
        <v>410.2</v>
      </c>
      <c r="AO84" s="87"/>
      <c r="AP84" s="87"/>
      <c r="AQ84" s="87"/>
      <c r="AR84" s="203">
        <v>525</v>
      </c>
      <c r="AS84" s="87">
        <v>495</v>
      </c>
      <c r="AT84" s="203">
        <v>517</v>
      </c>
      <c r="AU84" s="87"/>
      <c r="AV84" s="87">
        <v>517</v>
      </c>
      <c r="AW84" s="203">
        <v>470</v>
      </c>
      <c r="AX84" s="290">
        <v>757.5</v>
      </c>
      <c r="AY84" s="290">
        <v>772.1</v>
      </c>
      <c r="AZ84" s="87"/>
      <c r="BA84" s="87">
        <v>761.5</v>
      </c>
      <c r="BB84" s="87">
        <v>616</v>
      </c>
      <c r="BC84" s="87">
        <v>635.9</v>
      </c>
      <c r="BD84" s="87">
        <v>647.9</v>
      </c>
      <c r="BE84" s="87"/>
      <c r="BF84" s="87"/>
      <c r="BG84" s="115"/>
      <c r="BH84" s="87"/>
      <c r="BI84" s="152"/>
      <c r="BJ84" s="87"/>
      <c r="BK84" s="87">
        <v>1169.0999999999999</v>
      </c>
      <c r="BL84" s="87"/>
      <c r="BM84" s="87"/>
      <c r="BN84" s="115"/>
      <c r="BO84" s="85"/>
      <c r="BP84" s="167"/>
      <c r="BQ84" s="87"/>
      <c r="BR84" s="152"/>
      <c r="BS84" s="87"/>
      <c r="BT84" s="87"/>
      <c r="BU84" s="87"/>
      <c r="BV84" s="87">
        <v>512.98</v>
      </c>
      <c r="BW84" s="87"/>
      <c r="BX84" s="87"/>
      <c r="BY84" s="87"/>
      <c r="BZ84" s="115"/>
      <c r="CA84" s="105"/>
    </row>
    <row r="85" spans="1:84">
      <c r="A85" s="131" t="s">
        <v>218</v>
      </c>
      <c r="B85" s="151"/>
      <c r="C85" s="151"/>
      <c r="D85" s="85"/>
      <c r="E85" s="85"/>
      <c r="F85" s="85"/>
      <c r="G85" s="85"/>
      <c r="H85" s="85">
        <v>345</v>
      </c>
      <c r="I85" s="85"/>
      <c r="J85" s="85">
        <v>349</v>
      </c>
      <c r="K85" s="85">
        <v>349</v>
      </c>
      <c r="L85" s="85">
        <v>350</v>
      </c>
      <c r="M85" s="85">
        <v>345</v>
      </c>
      <c r="N85" s="85">
        <v>335</v>
      </c>
      <c r="O85" s="85"/>
      <c r="P85" s="85">
        <v>379</v>
      </c>
      <c r="Q85" s="85">
        <v>383</v>
      </c>
      <c r="R85" s="85">
        <v>274</v>
      </c>
      <c r="S85" s="85"/>
      <c r="T85" s="85"/>
      <c r="U85" s="85"/>
      <c r="V85" s="85"/>
      <c r="W85" s="85"/>
      <c r="X85" s="85"/>
      <c r="Y85" s="85"/>
      <c r="Z85" s="85"/>
      <c r="AA85" s="85">
        <v>4</v>
      </c>
      <c r="AB85" s="85"/>
      <c r="AC85" s="118"/>
      <c r="AD85" s="85"/>
      <c r="AE85" s="151"/>
      <c r="AF85" s="109">
        <v>142.9</v>
      </c>
      <c r="AG85" s="109">
        <v>143.4</v>
      </c>
      <c r="AH85" s="85"/>
      <c r="AI85" s="109">
        <v>135.4</v>
      </c>
      <c r="AJ85" s="109">
        <v>165.1</v>
      </c>
      <c r="AK85" s="109">
        <v>237</v>
      </c>
      <c r="AL85" s="85"/>
      <c r="AM85" s="109">
        <v>143.4</v>
      </c>
      <c r="AN85" s="85">
        <v>143.4</v>
      </c>
      <c r="AO85" s="109">
        <v>127.6</v>
      </c>
      <c r="AP85" s="109">
        <v>163.4</v>
      </c>
      <c r="AQ85" s="109">
        <v>127.6</v>
      </c>
      <c r="AR85" s="109">
        <v>294</v>
      </c>
      <c r="AS85" s="85">
        <v>298</v>
      </c>
      <c r="AT85" s="109">
        <v>335</v>
      </c>
      <c r="AU85" s="85"/>
      <c r="AV85" s="85">
        <v>335</v>
      </c>
      <c r="AW85" s="109">
        <v>253</v>
      </c>
      <c r="AX85" s="272">
        <v>307.39999999999998</v>
      </c>
      <c r="AY85" s="272">
        <v>308.2</v>
      </c>
      <c r="AZ85" s="85"/>
      <c r="BA85" s="85">
        <v>359.7</v>
      </c>
      <c r="BB85" s="85">
        <v>411.6</v>
      </c>
      <c r="BC85" s="85">
        <v>404.9</v>
      </c>
      <c r="BD85" s="85">
        <v>426.2</v>
      </c>
      <c r="BE85" s="85"/>
      <c r="BF85" s="85"/>
      <c r="BG85" s="118"/>
      <c r="BH85" s="85"/>
      <c r="BI85" s="151"/>
      <c r="BJ85" s="85"/>
      <c r="BK85" s="85">
        <v>383.2</v>
      </c>
      <c r="BL85" s="85"/>
      <c r="BM85" s="85"/>
      <c r="BN85" s="118"/>
      <c r="BO85" s="85"/>
      <c r="BP85" s="166"/>
      <c r="BQ85" s="85"/>
      <c r="BR85" s="151"/>
      <c r="BS85" s="85"/>
      <c r="BT85" s="85"/>
      <c r="BU85" s="85"/>
      <c r="BV85" s="85">
        <v>98.41</v>
      </c>
      <c r="BW85" s="85"/>
      <c r="BX85" s="85"/>
      <c r="BY85" s="85"/>
      <c r="BZ85" s="118"/>
      <c r="CA85" s="104"/>
    </row>
    <row r="86" spans="1:84">
      <c r="A86" s="128" t="s">
        <v>153</v>
      </c>
      <c r="B86" s="150"/>
      <c r="C86" s="150">
        <f>SUM(C87:C88)</f>
        <v>259</v>
      </c>
      <c r="D86" s="17">
        <f>SUM(D87:D88)</f>
        <v>464</v>
      </c>
      <c r="E86" s="17">
        <f>SUM(E87:E88)</f>
        <v>532</v>
      </c>
      <c r="F86" s="13">
        <v>572</v>
      </c>
      <c r="G86" s="13">
        <v>567</v>
      </c>
      <c r="H86" s="17">
        <v>695</v>
      </c>
      <c r="I86" s="17">
        <f>SUM(I87:I88)</f>
        <v>524</v>
      </c>
      <c r="J86" s="17">
        <v>552</v>
      </c>
      <c r="K86" s="17">
        <v>545</v>
      </c>
      <c r="L86" s="17">
        <v>549</v>
      </c>
      <c r="M86" s="17">
        <v>548</v>
      </c>
      <c r="N86" s="17">
        <v>488</v>
      </c>
      <c r="O86" s="17">
        <f>SUM(O87:O88)</f>
        <v>1067</v>
      </c>
      <c r="P86" s="17">
        <v>1123</v>
      </c>
      <c r="Q86" s="17">
        <v>1125</v>
      </c>
      <c r="R86" s="17">
        <v>781</v>
      </c>
      <c r="S86" s="17">
        <f>SUM(S87:S88)</f>
        <v>753</v>
      </c>
      <c r="T86" s="17">
        <f>SUM(T87:T88)</f>
        <v>343</v>
      </c>
      <c r="U86" s="17">
        <f>SUM(U87:U88)</f>
        <v>516.6</v>
      </c>
      <c r="V86" s="17">
        <v>516.6</v>
      </c>
      <c r="W86" s="17">
        <f>SUM(W87:W88)</f>
        <v>511</v>
      </c>
      <c r="X86" s="17">
        <v>514.79999999999995</v>
      </c>
      <c r="Y86" s="17"/>
      <c r="Z86" s="17">
        <v>514.79999999999995</v>
      </c>
      <c r="AA86" s="17">
        <v>641</v>
      </c>
      <c r="AB86" s="17">
        <v>619.20000000000005</v>
      </c>
      <c r="AC86" s="116">
        <v>607</v>
      </c>
      <c r="AD86" s="17"/>
      <c r="AE86" s="153"/>
      <c r="AK86" s="203">
        <v>451</v>
      </c>
      <c r="AL86" s="13">
        <f>SUM(AL87:AL88)</f>
        <v>428</v>
      </c>
      <c r="AM86" s="203">
        <v>383.6</v>
      </c>
      <c r="AN86" s="13">
        <v>383.6</v>
      </c>
      <c r="AR86" s="203">
        <v>351</v>
      </c>
      <c r="AS86" s="13">
        <f>SUM(AS87:AS88)</f>
        <v>351</v>
      </c>
      <c r="AT86" s="203">
        <v>351</v>
      </c>
      <c r="AU86" s="13">
        <f>SUM(AU87:AU88)</f>
        <v>353</v>
      </c>
      <c r="AV86" s="13">
        <f>SUM(AV87:AV88)</f>
        <v>351</v>
      </c>
      <c r="AW86" s="203">
        <v>442</v>
      </c>
      <c r="AX86" s="36">
        <f>SUM(AX87:AX88)</f>
        <v>676.1</v>
      </c>
      <c r="AY86" s="36">
        <f>SUM(AY87:AY88)</f>
        <v>704.1</v>
      </c>
      <c r="AZ86" s="13">
        <f>SUM(AZ87:AZ88)</f>
        <v>701</v>
      </c>
      <c r="BA86" s="13">
        <f>SUM(BA87:BA88)</f>
        <v>704.09999999999991</v>
      </c>
      <c r="BB86" s="13">
        <v>733.8</v>
      </c>
      <c r="BC86" s="13">
        <f>SUM(BC87:BC88)</f>
        <v>739.2</v>
      </c>
      <c r="BD86" s="13">
        <v>751.2</v>
      </c>
      <c r="BE86" s="13">
        <f>SUM(BE87:BE88)</f>
        <v>739</v>
      </c>
      <c r="BF86" s="13">
        <f>SUM(BF87:BF88)</f>
        <v>749</v>
      </c>
      <c r="BG86" s="117">
        <f>SUM(BG87:BG88)</f>
        <v>625</v>
      </c>
      <c r="BI86" s="153">
        <f>SUM(BI87:BI88)</f>
        <v>585</v>
      </c>
      <c r="BJ86" s="13">
        <f>SUM(BJ87:BJ88)</f>
        <v>452</v>
      </c>
      <c r="BK86" s="13">
        <f>SUM(BK87:BK88)</f>
        <v>1044.7</v>
      </c>
      <c r="BL86" s="13">
        <f>SUM(BL87:BL88)</f>
        <v>911</v>
      </c>
      <c r="BM86" s="13">
        <f>SUM(BM87:BM88)</f>
        <v>883</v>
      </c>
      <c r="BN86" s="117">
        <f>SUM(BN87:BN88)</f>
        <v>944</v>
      </c>
      <c r="BO86" s="17"/>
      <c r="BP86" s="168">
        <f>SUM(BP87:BP88)</f>
        <v>967</v>
      </c>
      <c r="BR86" s="153">
        <f t="shared" ref="BR86:BZ86" si="171">SUM(BR87:BR88)</f>
        <v>151</v>
      </c>
      <c r="BS86" s="13">
        <f t="shared" si="171"/>
        <v>146</v>
      </c>
      <c r="BT86" s="13">
        <f t="shared" si="171"/>
        <v>320</v>
      </c>
      <c r="BU86" s="13">
        <f t="shared" si="171"/>
        <v>330</v>
      </c>
      <c r="BV86" s="391">
        <f>SUM(BV87:BV88)</f>
        <v>386.83</v>
      </c>
      <c r="BW86" s="13">
        <f t="shared" si="171"/>
        <v>274</v>
      </c>
      <c r="BX86" s="13">
        <f t="shared" si="171"/>
        <v>463</v>
      </c>
      <c r="BY86" s="13">
        <f t="shared" si="171"/>
        <v>462</v>
      </c>
      <c r="BZ86" s="117">
        <f t="shared" si="171"/>
        <v>445</v>
      </c>
      <c r="CA86" s="98">
        <f t="shared" ref="CA86" si="172">SUM(CA87:CA88)</f>
        <v>261</v>
      </c>
    </row>
    <row r="87" spans="1:84">
      <c r="A87" s="131" t="s">
        <v>45</v>
      </c>
      <c r="B87" s="151"/>
      <c r="C87" s="151">
        <v>237</v>
      </c>
      <c r="D87" s="85">
        <v>399</v>
      </c>
      <c r="E87" s="85">
        <v>488</v>
      </c>
      <c r="F87" s="85"/>
      <c r="G87" s="85"/>
      <c r="H87" s="85"/>
      <c r="I87" s="85">
        <v>476</v>
      </c>
      <c r="J87" s="85"/>
      <c r="K87" s="85"/>
      <c r="L87" s="85"/>
      <c r="M87" s="85"/>
      <c r="N87" s="85"/>
      <c r="O87" s="85">
        <v>953</v>
      </c>
      <c r="P87" s="85"/>
      <c r="Q87" s="85"/>
      <c r="R87" s="85"/>
      <c r="S87" s="85">
        <v>661</v>
      </c>
      <c r="T87" s="85">
        <v>316</v>
      </c>
      <c r="U87" s="109">
        <v>391.5</v>
      </c>
      <c r="V87" s="85"/>
      <c r="W87" s="85">
        <v>386</v>
      </c>
      <c r="X87" s="85"/>
      <c r="Y87" s="85"/>
      <c r="Z87" s="85"/>
      <c r="AA87" s="87"/>
      <c r="AB87" s="87"/>
      <c r="AC87" s="115"/>
      <c r="AD87" s="85"/>
      <c r="AE87" s="152"/>
      <c r="AF87" s="87"/>
      <c r="AG87" s="87"/>
      <c r="AH87" s="87"/>
      <c r="AI87" s="87"/>
      <c r="AJ87" s="87"/>
      <c r="AK87" s="87"/>
      <c r="AL87" s="87">
        <v>384</v>
      </c>
      <c r="AM87" s="87"/>
      <c r="AN87" s="87">
        <f>323.8+24.9</f>
        <v>348.7</v>
      </c>
      <c r="AO87" s="87"/>
      <c r="AP87" s="87"/>
      <c r="AQ87" s="87"/>
      <c r="AR87" s="87"/>
      <c r="AS87" s="290">
        <f>286+33</f>
        <v>319</v>
      </c>
      <c r="AT87" s="87"/>
      <c r="AU87" s="87">
        <v>322</v>
      </c>
      <c r="AV87" s="290">
        <f>286+33</f>
        <v>319</v>
      </c>
      <c r="AW87" s="87"/>
      <c r="AX87" s="290">
        <v>581.1</v>
      </c>
      <c r="AY87" s="290">
        <v>598.9</v>
      </c>
      <c r="AZ87" s="87">
        <v>595</v>
      </c>
      <c r="BA87" s="87">
        <v>594.29999999999995</v>
      </c>
      <c r="BB87" s="87"/>
      <c r="BC87" s="87">
        <v>667.1</v>
      </c>
      <c r="BD87" s="87"/>
      <c r="BE87" s="87">
        <v>667</v>
      </c>
      <c r="BF87" s="87">
        <v>673</v>
      </c>
      <c r="BG87" s="115">
        <v>569</v>
      </c>
      <c r="BH87" s="87"/>
      <c r="BI87" s="152">
        <v>545</v>
      </c>
      <c r="BJ87" s="87">
        <v>414</v>
      </c>
      <c r="BK87" s="87">
        <v>955.4</v>
      </c>
      <c r="BL87" s="87">
        <v>800</v>
      </c>
      <c r="BM87" s="87">
        <v>808</v>
      </c>
      <c r="BN87" s="115">
        <v>845</v>
      </c>
      <c r="BO87" s="85"/>
      <c r="BP87" s="167">
        <v>858</v>
      </c>
      <c r="BQ87" s="87"/>
      <c r="BR87" s="152">
        <v>136</v>
      </c>
      <c r="BS87" s="87">
        <v>126</v>
      </c>
      <c r="BT87" s="87">
        <v>298</v>
      </c>
      <c r="BU87" s="87">
        <v>299</v>
      </c>
      <c r="BV87" s="87">
        <v>341.81</v>
      </c>
      <c r="BW87" s="87">
        <v>236</v>
      </c>
      <c r="BX87" s="87">
        <v>427</v>
      </c>
      <c r="BY87" s="87">
        <v>425</v>
      </c>
      <c r="BZ87" s="115">
        <v>403</v>
      </c>
      <c r="CA87" s="105">
        <v>233</v>
      </c>
    </row>
    <row r="88" spans="1:84">
      <c r="A88" s="131" t="s">
        <v>46</v>
      </c>
      <c r="B88" s="151"/>
      <c r="C88" s="151">
        <v>22</v>
      </c>
      <c r="D88" s="85">
        <v>65</v>
      </c>
      <c r="E88" s="85">
        <v>44</v>
      </c>
      <c r="F88" s="87"/>
      <c r="G88" s="87"/>
      <c r="H88" s="85"/>
      <c r="I88" s="85">
        <v>48</v>
      </c>
      <c r="J88" s="85"/>
      <c r="K88" s="85"/>
      <c r="L88" s="85"/>
      <c r="M88" s="85"/>
      <c r="N88" s="85"/>
      <c r="O88" s="85">
        <v>114</v>
      </c>
      <c r="P88" s="85"/>
      <c r="Q88" s="85"/>
      <c r="R88" s="85"/>
      <c r="S88" s="85">
        <v>92</v>
      </c>
      <c r="T88" s="85">
        <v>27</v>
      </c>
      <c r="U88" s="109">
        <v>125.1</v>
      </c>
      <c r="V88" s="85"/>
      <c r="W88" s="85">
        <v>125</v>
      </c>
      <c r="X88" s="85"/>
      <c r="Y88" s="85"/>
      <c r="Z88" s="85"/>
      <c r="AA88" s="87"/>
      <c r="AB88" s="87"/>
      <c r="AC88" s="115"/>
      <c r="AD88" s="85"/>
      <c r="AE88" s="152"/>
      <c r="AF88" s="87"/>
      <c r="AG88" s="87"/>
      <c r="AH88" s="87"/>
      <c r="AI88" s="87"/>
      <c r="AJ88" s="87"/>
      <c r="AK88" s="87"/>
      <c r="AL88" s="87">
        <v>44</v>
      </c>
      <c r="AM88" s="87"/>
      <c r="AN88" s="87">
        <v>34.9</v>
      </c>
      <c r="AO88" s="87"/>
      <c r="AP88" s="87"/>
      <c r="AQ88" s="87"/>
      <c r="AR88" s="87"/>
      <c r="AS88" s="87">
        <v>32</v>
      </c>
      <c r="AT88" s="87"/>
      <c r="AU88" s="87">
        <v>31</v>
      </c>
      <c r="AV88" s="87">
        <v>32</v>
      </c>
      <c r="AW88" s="87"/>
      <c r="AX88" s="290">
        <v>95</v>
      </c>
      <c r="AY88" s="290">
        <v>105.2</v>
      </c>
      <c r="AZ88" s="87">
        <v>106</v>
      </c>
      <c r="BA88" s="87">
        <v>109.8</v>
      </c>
      <c r="BB88" s="87"/>
      <c r="BC88" s="87">
        <v>72.099999999999994</v>
      </c>
      <c r="BD88" s="87"/>
      <c r="BE88" s="87">
        <v>72</v>
      </c>
      <c r="BF88" s="87">
        <v>76</v>
      </c>
      <c r="BG88" s="115">
        <v>56</v>
      </c>
      <c r="BH88" s="87"/>
      <c r="BI88" s="152">
        <v>40</v>
      </c>
      <c r="BJ88" s="87">
        <v>38</v>
      </c>
      <c r="BK88" s="87">
        <v>89.3</v>
      </c>
      <c r="BL88" s="87">
        <v>111</v>
      </c>
      <c r="BM88" s="87">
        <v>75</v>
      </c>
      <c r="BN88" s="115">
        <v>99</v>
      </c>
      <c r="BO88" s="85"/>
      <c r="BP88" s="167">
        <v>109</v>
      </c>
      <c r="BQ88" s="87"/>
      <c r="BR88" s="152">
        <v>15</v>
      </c>
      <c r="BS88" s="87">
        <v>20</v>
      </c>
      <c r="BT88" s="87">
        <v>22</v>
      </c>
      <c r="BU88" s="87">
        <v>31</v>
      </c>
      <c r="BV88" s="87">
        <v>45.02</v>
      </c>
      <c r="BW88" s="87">
        <v>38</v>
      </c>
      <c r="BX88" s="87">
        <v>36</v>
      </c>
      <c r="BY88" s="87">
        <v>37</v>
      </c>
      <c r="BZ88" s="115">
        <v>42</v>
      </c>
      <c r="CA88" s="105">
        <v>28</v>
      </c>
    </row>
    <row r="89" spans="1:84">
      <c r="A89" s="128" t="s">
        <v>176</v>
      </c>
      <c r="B89" s="150"/>
      <c r="C89" s="150"/>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16"/>
      <c r="AD89" s="17"/>
      <c r="AE89" s="153"/>
      <c r="AL89" s="13">
        <v>23</v>
      </c>
      <c r="AS89" s="13">
        <v>27</v>
      </c>
      <c r="AU89" s="13">
        <v>23</v>
      </c>
      <c r="AV89" s="13">
        <v>29</v>
      </c>
      <c r="AX89" s="36">
        <v>40.200000000000003</v>
      </c>
      <c r="AY89" s="36">
        <v>39.799999999999997</v>
      </c>
      <c r="AZ89" s="13">
        <v>43</v>
      </c>
      <c r="BA89" s="13">
        <v>41.7</v>
      </c>
      <c r="BB89" s="13">
        <v>37.4</v>
      </c>
      <c r="BC89" s="13">
        <v>35.700000000000003</v>
      </c>
      <c r="BD89" s="13">
        <v>35.700000000000003</v>
      </c>
      <c r="BE89" s="13">
        <v>36</v>
      </c>
      <c r="BF89" s="13">
        <v>36</v>
      </c>
      <c r="BG89" s="117">
        <v>29</v>
      </c>
      <c r="BI89" s="153"/>
      <c r="BJ89" s="13">
        <v>28</v>
      </c>
      <c r="BL89" s="13">
        <v>147</v>
      </c>
      <c r="BM89" s="13">
        <v>32</v>
      </c>
      <c r="BN89" s="117">
        <v>69</v>
      </c>
      <c r="BP89" s="168">
        <v>53</v>
      </c>
      <c r="BR89" s="153"/>
      <c r="BZ89" s="117"/>
      <c r="CA89" s="98"/>
      <c r="CC89" s="3">
        <v>32</v>
      </c>
      <c r="CF89" s="3">
        <v>46</v>
      </c>
    </row>
    <row r="90" spans="1:84">
      <c r="A90" s="128" t="s">
        <v>44</v>
      </c>
      <c r="B90" s="150"/>
      <c r="C90" s="150"/>
      <c r="D90" s="17"/>
      <c r="E90" s="17"/>
      <c r="F90" s="17"/>
      <c r="G90" s="17"/>
      <c r="I90" s="17"/>
      <c r="O90" s="17"/>
      <c r="P90" s="17"/>
      <c r="Q90" s="17"/>
      <c r="R90" s="17"/>
      <c r="S90" s="17"/>
      <c r="T90" s="17"/>
      <c r="U90" s="17"/>
      <c r="V90" s="17"/>
      <c r="W90" s="17"/>
      <c r="X90" s="17"/>
      <c r="Y90" s="17"/>
      <c r="Z90" s="17"/>
      <c r="AA90" s="17"/>
      <c r="AB90" s="17"/>
      <c r="AC90" s="116"/>
      <c r="AD90" s="17"/>
      <c r="AE90" s="153"/>
      <c r="AX90" s="36"/>
      <c r="AY90" s="36"/>
      <c r="BG90" s="117"/>
      <c r="BI90" s="153"/>
      <c r="BN90" s="117"/>
      <c r="BO90" s="17"/>
      <c r="BP90" s="168"/>
      <c r="BR90" s="153"/>
      <c r="BZ90" s="117"/>
      <c r="CA90" s="98"/>
    </row>
    <row r="91" spans="1:84" ht="10.5" thickBot="1">
      <c r="A91" s="128" t="s">
        <v>177</v>
      </c>
      <c r="B91" s="150"/>
      <c r="C91" s="150"/>
      <c r="D91" s="17"/>
      <c r="E91" s="17"/>
      <c r="F91" s="17"/>
      <c r="G91" s="17"/>
      <c r="H91" s="17"/>
      <c r="I91" s="17"/>
      <c r="J91" s="17"/>
      <c r="K91" s="17"/>
      <c r="L91" s="17"/>
      <c r="M91" s="17"/>
      <c r="N91" s="17"/>
      <c r="O91" s="17"/>
      <c r="P91" s="17"/>
      <c r="Q91" s="17"/>
      <c r="R91" s="17"/>
      <c r="S91" s="17"/>
      <c r="T91" s="17"/>
      <c r="U91" s="17"/>
      <c r="V91" s="17"/>
      <c r="W91" s="17"/>
      <c r="X91" s="17"/>
      <c r="Y91" s="17"/>
      <c r="Z91" s="17"/>
      <c r="AC91" s="117"/>
      <c r="AD91" s="17"/>
      <c r="AE91" s="154"/>
      <c r="AF91" s="122"/>
      <c r="AG91" s="122"/>
      <c r="AH91" s="122"/>
      <c r="AI91" s="122"/>
      <c r="AJ91" s="122"/>
      <c r="AK91" s="122"/>
      <c r="AL91" s="122"/>
      <c r="AM91" s="122"/>
      <c r="AN91" s="122"/>
      <c r="AO91" s="122"/>
      <c r="AP91" s="122"/>
      <c r="AQ91" s="122"/>
      <c r="AR91" s="122"/>
      <c r="AS91" s="122"/>
      <c r="AT91" s="122"/>
      <c r="AU91" s="122"/>
      <c r="AV91" s="122"/>
      <c r="AW91" s="122"/>
      <c r="AX91" s="196"/>
      <c r="AY91" s="196"/>
      <c r="AZ91" s="122"/>
      <c r="BA91" s="122"/>
      <c r="BB91" s="122"/>
      <c r="BC91" s="122"/>
      <c r="BD91" s="122"/>
      <c r="BE91" s="122"/>
      <c r="BF91" s="122"/>
      <c r="BG91" s="155"/>
      <c r="BI91" s="154"/>
      <c r="BJ91" s="122"/>
      <c r="BK91" s="122"/>
      <c r="BL91" s="122"/>
      <c r="BM91" s="122"/>
      <c r="BN91" s="155"/>
      <c r="BO91" s="122"/>
      <c r="BP91" s="169"/>
      <c r="BR91" s="154"/>
      <c r="BS91" s="122"/>
      <c r="BT91" s="122"/>
      <c r="BU91" s="122"/>
      <c r="BW91" s="122"/>
      <c r="BX91" s="122"/>
      <c r="BY91" s="122"/>
      <c r="BZ91" s="155"/>
      <c r="CA91" s="98"/>
    </row>
    <row r="92" spans="1:84" ht="10.5" thickBot="1">
      <c r="A92" s="132" t="s">
        <v>154</v>
      </c>
      <c r="B92" s="146"/>
      <c r="C92" s="110">
        <f t="shared" ref="C92" si="173">C93+C96+C97+C98+SUM(C102:C103)+SUM(C106:C107)+C110</f>
        <v>1012</v>
      </c>
      <c r="D92" s="110">
        <f t="shared" ref="D92" si="174">D93+D96+D97+D98+SUM(D102:D103)+SUM(D106:D107)+D110</f>
        <v>1828</v>
      </c>
      <c r="E92" s="110">
        <f t="shared" ref="E92" si="175">E93+E96+E97+E98+SUM(E102:E103)+SUM(E106:E107)+E110</f>
        <v>2004</v>
      </c>
      <c r="F92" s="111">
        <v>1985</v>
      </c>
      <c r="G92" s="111">
        <v>2170</v>
      </c>
      <c r="H92" s="110">
        <f t="shared" ref="H92:AR92" si="176">H93+H96+H97+H98+SUM(H102:H103)+SUM(H106:H107)+H110</f>
        <v>2645</v>
      </c>
      <c r="I92" s="110">
        <f>I93+I96+I97+I98+SUM(I102:I103)+SUM(I106:I107)+I110</f>
        <v>2641</v>
      </c>
      <c r="J92" s="110">
        <f t="shared" si="176"/>
        <v>2867</v>
      </c>
      <c r="K92" s="110">
        <f t="shared" si="176"/>
        <v>2731</v>
      </c>
      <c r="L92" s="110">
        <f t="shared" si="176"/>
        <v>2786</v>
      </c>
      <c r="M92" s="110">
        <f t="shared" si="176"/>
        <v>2756</v>
      </c>
      <c r="N92" s="110">
        <f t="shared" si="176"/>
        <v>1923</v>
      </c>
      <c r="O92" s="110">
        <f t="shared" si="176"/>
        <v>4037</v>
      </c>
      <c r="P92" s="110">
        <f t="shared" si="176"/>
        <v>4324.3</v>
      </c>
      <c r="Q92" s="110">
        <f t="shared" si="176"/>
        <v>4593.6000000000004</v>
      </c>
      <c r="R92" s="110">
        <f t="shared" si="176"/>
        <v>3292</v>
      </c>
      <c r="S92" s="110">
        <f t="shared" si="176"/>
        <v>3391</v>
      </c>
      <c r="T92" s="110">
        <f t="shared" si="176"/>
        <v>1917</v>
      </c>
      <c r="U92" s="110">
        <f>U93+U96+U97+U98+SUM(U102:U103)+SUM(U106:U107)+U110</f>
        <v>2663.3999999999996</v>
      </c>
      <c r="V92" s="110">
        <f t="shared" si="176"/>
        <v>2663.3999999999996</v>
      </c>
      <c r="W92" s="110">
        <f t="shared" si="176"/>
        <v>2565</v>
      </c>
      <c r="X92" s="110">
        <f>X93+X96+X97+X98+SUM(X102:X103)+SUM(X106:X107)+X110</f>
        <v>2709.6</v>
      </c>
      <c r="Y92" s="110"/>
      <c r="Z92" s="110">
        <f t="shared" si="176"/>
        <v>2647.2000000000003</v>
      </c>
      <c r="AA92" s="110">
        <f t="shared" si="176"/>
        <v>3038</v>
      </c>
      <c r="AB92" s="110">
        <f t="shared" si="176"/>
        <v>3158.5999999999995</v>
      </c>
      <c r="AC92" s="112">
        <f t="shared" si="176"/>
        <v>3207</v>
      </c>
      <c r="AD92" s="165"/>
      <c r="AE92" s="337">
        <v>1540.5</v>
      </c>
      <c r="AF92" s="338">
        <v>1552.8</v>
      </c>
      <c r="AG92" s="338">
        <v>1555.3</v>
      </c>
      <c r="AH92" s="110"/>
      <c r="AI92" s="338">
        <v>1893.6</v>
      </c>
      <c r="AJ92" s="338">
        <v>2087.9</v>
      </c>
      <c r="AK92" s="110">
        <f t="shared" si="176"/>
        <v>2138</v>
      </c>
      <c r="AL92" s="110">
        <f t="shared" si="176"/>
        <v>2130</v>
      </c>
      <c r="AM92" s="110">
        <f t="shared" si="176"/>
        <v>1555.3999999999999</v>
      </c>
      <c r="AN92" s="110">
        <f t="shared" si="176"/>
        <v>1555.8999999999999</v>
      </c>
      <c r="AO92" s="338">
        <v>1838.9</v>
      </c>
      <c r="AP92" s="338">
        <v>1819.8</v>
      </c>
      <c r="AQ92" s="338">
        <v>1896.4</v>
      </c>
      <c r="AR92" s="110">
        <f t="shared" si="176"/>
        <v>2450</v>
      </c>
      <c r="AS92" s="110">
        <f>AS93+AS96+AS97+AS98+SUM(AS102:AS103)+SUM(AS106:AS107)+AS110</f>
        <v>2432</v>
      </c>
      <c r="AT92" s="110">
        <f>AT93+AT96+AT97+AT98+SUM(AT102:AT103)+SUM(AT106:AT107)+AT110</f>
        <v>2493</v>
      </c>
      <c r="AU92" s="110">
        <f t="shared" ref="AU92:BZ92" si="177">AU93+AU96+AU97+AU98+SUM(AU102:AU103)+SUM(AU106:AU107)+AU110</f>
        <v>2553</v>
      </c>
      <c r="AV92" s="110">
        <f t="shared" si="177"/>
        <v>2493</v>
      </c>
      <c r="AW92" s="110">
        <f t="shared" si="177"/>
        <v>2176</v>
      </c>
      <c r="AX92" s="110">
        <f t="shared" si="177"/>
        <v>3767.7</v>
      </c>
      <c r="AY92" s="110">
        <f t="shared" si="177"/>
        <v>3747.7</v>
      </c>
      <c r="AZ92" s="110">
        <f t="shared" si="177"/>
        <v>4018</v>
      </c>
      <c r="BA92" s="110">
        <f t="shared" si="177"/>
        <v>4024.9</v>
      </c>
      <c r="BB92" s="110">
        <f t="shared" si="177"/>
        <v>3964.5</v>
      </c>
      <c r="BC92" s="110">
        <f t="shared" si="177"/>
        <v>3964.0000000000005</v>
      </c>
      <c r="BD92" s="110">
        <f t="shared" si="177"/>
        <v>3986.1000000000004</v>
      </c>
      <c r="BE92" s="110">
        <f t="shared" si="177"/>
        <v>3975</v>
      </c>
      <c r="BF92" s="110">
        <f t="shared" si="177"/>
        <v>3969</v>
      </c>
      <c r="BG92" s="110">
        <f t="shared" si="177"/>
        <v>3419</v>
      </c>
      <c r="BH92" s="17"/>
      <c r="BI92" s="110">
        <f t="shared" si="177"/>
        <v>1730</v>
      </c>
      <c r="BJ92" s="110">
        <f t="shared" si="177"/>
        <v>2288</v>
      </c>
      <c r="BK92" s="110">
        <f t="shared" si="177"/>
        <v>3470.5</v>
      </c>
      <c r="BL92" s="110">
        <f t="shared" si="177"/>
        <v>4173</v>
      </c>
      <c r="BM92" s="110">
        <f t="shared" si="177"/>
        <v>3360</v>
      </c>
      <c r="BN92" s="110">
        <f t="shared" si="177"/>
        <v>3996</v>
      </c>
      <c r="BO92" s="110"/>
      <c r="BP92" s="110">
        <f t="shared" si="177"/>
        <v>3214</v>
      </c>
      <c r="BQ92" s="110"/>
      <c r="BR92" s="110">
        <f t="shared" si="177"/>
        <v>535</v>
      </c>
      <c r="BS92" s="110">
        <f t="shared" si="177"/>
        <v>451</v>
      </c>
      <c r="BT92" s="110">
        <f t="shared" si="177"/>
        <v>895</v>
      </c>
      <c r="BU92" s="110">
        <f t="shared" si="177"/>
        <v>1082</v>
      </c>
      <c r="BV92" s="392">
        <f>BV93+BV96+BV97+BV98+SUM(BV102:BV103)+SUM(BV106:BV107)+BV110</f>
        <v>1047.01</v>
      </c>
      <c r="BW92" s="110">
        <f t="shared" si="177"/>
        <v>1018</v>
      </c>
      <c r="BX92" s="110">
        <f t="shared" si="177"/>
        <v>1303</v>
      </c>
      <c r="BY92" s="110">
        <f t="shared" si="177"/>
        <v>1333</v>
      </c>
      <c r="BZ92" s="110">
        <f t="shared" si="177"/>
        <v>1386</v>
      </c>
      <c r="CA92" s="103">
        <f>CA93+CA96+CA97+CA98+SUM(CA102:CA112)</f>
        <v>714</v>
      </c>
    </row>
    <row r="93" spans="1:84">
      <c r="A93" s="133" t="s">
        <v>335</v>
      </c>
      <c r="B93" s="144"/>
      <c r="C93" s="144">
        <f>SUM(C94:C95)</f>
        <v>770</v>
      </c>
      <c r="D93" s="113">
        <f>SUM(D94:D95)</f>
        <v>1384</v>
      </c>
      <c r="E93" s="113">
        <f>SUM(E94:E95)</f>
        <v>1458</v>
      </c>
      <c r="F93" s="113"/>
      <c r="G93" s="113"/>
      <c r="H93" s="113">
        <f t="shared" ref="H93:N93" si="178">SUM(H94:H95)</f>
        <v>1413</v>
      </c>
      <c r="I93" s="113">
        <f>SUM(I94:I95)</f>
        <v>1416</v>
      </c>
      <c r="J93" s="113">
        <f t="shared" si="178"/>
        <v>1632</v>
      </c>
      <c r="K93" s="113">
        <f t="shared" si="178"/>
        <v>1397</v>
      </c>
      <c r="L93" s="113">
        <f t="shared" si="178"/>
        <v>1583</v>
      </c>
      <c r="M93" s="113">
        <f t="shared" si="178"/>
        <v>1418</v>
      </c>
      <c r="N93" s="113">
        <f t="shared" si="178"/>
        <v>1432</v>
      </c>
      <c r="O93" s="113">
        <f>SUM(O94:O95)</f>
        <v>2680</v>
      </c>
      <c r="P93" s="113">
        <f>SUM(P94:P95)</f>
        <v>3219</v>
      </c>
      <c r="Q93" s="113">
        <f>SUM(Q94:Q95)</f>
        <v>3260.2</v>
      </c>
      <c r="R93" s="113">
        <v>1670</v>
      </c>
      <c r="S93" s="113">
        <f t="shared" ref="S93:Z93" si="179">SUM(S94:S95)</f>
        <v>1780</v>
      </c>
      <c r="T93" s="113">
        <f t="shared" si="179"/>
        <v>1247</v>
      </c>
      <c r="U93" s="113">
        <f>SUM(U94:U95)</f>
        <v>1524.1</v>
      </c>
      <c r="V93" s="113">
        <f t="shared" si="179"/>
        <v>1524.1</v>
      </c>
      <c r="W93" s="113">
        <f t="shared" si="179"/>
        <v>1514</v>
      </c>
      <c r="X93" s="113">
        <f>SUM(X94:X95)</f>
        <v>1554.2</v>
      </c>
      <c r="Y93" s="113"/>
      <c r="Z93" s="113">
        <f t="shared" si="179"/>
        <v>1516.2</v>
      </c>
      <c r="AA93" s="113">
        <v>1681</v>
      </c>
      <c r="AB93" s="113">
        <f>SUM(AB94:AB95)</f>
        <v>1725.3</v>
      </c>
      <c r="AC93" s="114">
        <f>SUM(AC94:AC95)</f>
        <v>1824</v>
      </c>
      <c r="AE93" s="153"/>
      <c r="AH93" s="17"/>
      <c r="AK93" s="109">
        <v>1370</v>
      </c>
      <c r="AL93" s="13">
        <f>SUM(AL94:AL95)</f>
        <v>1381</v>
      </c>
      <c r="AM93" s="13">
        <f>SUM(AM94:AM95)</f>
        <v>1186.2</v>
      </c>
      <c r="AN93" s="13">
        <f>SUM(AN94:AN95)</f>
        <v>1186.2</v>
      </c>
      <c r="AR93" s="13">
        <f>SUM(AR94:AR95)</f>
        <v>1807</v>
      </c>
      <c r="AS93" s="13">
        <f t="shared" ref="AS93:BG93" si="180">SUM(AS94:AS95)</f>
        <v>1782</v>
      </c>
      <c r="AT93" s="13">
        <f>SUM(AT94:AT95)</f>
        <v>1810</v>
      </c>
      <c r="AU93" s="13">
        <f t="shared" si="180"/>
        <v>1789</v>
      </c>
      <c r="AV93" s="13">
        <f t="shared" ref="AV93" si="181">SUM(AV94:AV95)</f>
        <v>1810</v>
      </c>
      <c r="AW93" s="203">
        <v>1401</v>
      </c>
      <c r="AX93" s="36">
        <f t="shared" si="180"/>
        <v>2738.1</v>
      </c>
      <c r="AY93" s="36">
        <f t="shared" ref="AY93" si="182">SUM(AY94:AY95)</f>
        <v>2735.5</v>
      </c>
      <c r="AZ93" s="13">
        <f t="shared" si="180"/>
        <v>2825</v>
      </c>
      <c r="BA93" s="13">
        <f t="shared" ref="BA93" si="183">SUM(BA94:BA95)</f>
        <v>2822.5</v>
      </c>
      <c r="BB93" s="13">
        <f>SUM(BB94:BB95)</f>
        <v>2783</v>
      </c>
      <c r="BC93" s="13">
        <f>SUM(BC94:BC95)</f>
        <v>2762.3</v>
      </c>
      <c r="BD93" s="13">
        <f>SUM(BD94:BD95)</f>
        <v>2773</v>
      </c>
      <c r="BE93" s="13">
        <f t="shared" si="180"/>
        <v>2763</v>
      </c>
      <c r="BF93" s="13">
        <f t="shared" si="180"/>
        <v>2791</v>
      </c>
      <c r="BG93" s="117">
        <f t="shared" si="180"/>
        <v>2452</v>
      </c>
      <c r="BH93" s="17"/>
      <c r="BI93" s="144">
        <f>SUM(BI94:BI95)</f>
        <v>1198</v>
      </c>
      <c r="BJ93" s="113">
        <f>SUM(BJ94:BJ95)</f>
        <v>1396</v>
      </c>
      <c r="BK93" s="113">
        <f>SUM(BK94:BK95)</f>
        <v>2180</v>
      </c>
      <c r="BL93" s="113">
        <f>SUM(BL94:BL95)</f>
        <v>3072</v>
      </c>
      <c r="BM93" s="113">
        <f>SUM(BM94:BM95)</f>
        <v>2158</v>
      </c>
      <c r="BN93" s="114">
        <f>SUM(BN94:BN95)</f>
        <v>2921</v>
      </c>
      <c r="BP93" s="161">
        <f>SUM(BP94:BP95)</f>
        <v>2133</v>
      </c>
      <c r="BQ93" s="17"/>
      <c r="BR93" s="144">
        <f t="shared" ref="BR93:BZ93" si="184">SUM(BR94:BR95)</f>
        <v>407</v>
      </c>
      <c r="BS93" s="113">
        <f t="shared" si="184"/>
        <v>349</v>
      </c>
      <c r="BT93" s="113">
        <f t="shared" si="184"/>
        <v>691</v>
      </c>
      <c r="BU93" s="113">
        <f t="shared" si="184"/>
        <v>740</v>
      </c>
      <c r="BV93" s="113">
        <f>SUM(BV94:BV95)</f>
        <v>735.16</v>
      </c>
      <c r="BW93" s="113">
        <f t="shared" si="184"/>
        <v>750</v>
      </c>
      <c r="BX93" s="113">
        <f t="shared" si="184"/>
        <v>919</v>
      </c>
      <c r="BY93" s="113">
        <f t="shared" si="184"/>
        <v>939</v>
      </c>
      <c r="BZ93" s="114">
        <f t="shared" si="184"/>
        <v>945</v>
      </c>
      <c r="CA93" s="98">
        <f t="shared" ref="CA93" si="185">SUM(CA94:CA95)</f>
        <v>524</v>
      </c>
    </row>
    <row r="94" spans="1:84">
      <c r="A94" s="131" t="s">
        <v>382</v>
      </c>
      <c r="B94" s="151"/>
      <c r="C94" s="151">
        <v>732</v>
      </c>
      <c r="D94" s="85">
        <v>1291</v>
      </c>
      <c r="E94" s="85">
        <v>1352</v>
      </c>
      <c r="F94" s="85"/>
      <c r="G94" s="85"/>
      <c r="H94" s="85">
        <v>1307</v>
      </c>
      <c r="I94" s="85">
        <v>1311</v>
      </c>
      <c r="J94" s="85">
        <v>1518</v>
      </c>
      <c r="K94" s="85">
        <v>1324</v>
      </c>
      <c r="L94" s="85">
        <v>1523</v>
      </c>
      <c r="M94" s="85">
        <v>1337</v>
      </c>
      <c r="N94" s="85">
        <v>1340</v>
      </c>
      <c r="O94" s="85">
        <v>2223</v>
      </c>
      <c r="P94" s="85">
        <v>2265</v>
      </c>
      <c r="Q94" s="85">
        <v>2283.1999999999998</v>
      </c>
      <c r="R94" s="85"/>
      <c r="S94" s="85">
        <v>1692</v>
      </c>
      <c r="T94" s="85">
        <v>1032</v>
      </c>
      <c r="U94" s="109">
        <f>1408.5</f>
        <v>1408.5</v>
      </c>
      <c r="V94" s="85">
        <v>1408.5</v>
      </c>
      <c r="W94" s="85">
        <v>1399</v>
      </c>
      <c r="X94" s="85">
        <v>1435</v>
      </c>
      <c r="Y94" s="85"/>
      <c r="Z94" s="85">
        <v>1397</v>
      </c>
      <c r="AA94" s="87"/>
      <c r="AB94" s="87">
        <v>1620</v>
      </c>
      <c r="AC94" s="115">
        <v>1710</v>
      </c>
      <c r="AD94" s="85"/>
      <c r="AE94" s="152"/>
      <c r="AF94" s="87"/>
      <c r="AG94" s="87"/>
      <c r="AH94" s="87"/>
      <c r="AI94" s="87"/>
      <c r="AJ94" s="87"/>
      <c r="AK94" s="87"/>
      <c r="AL94" s="87">
        <v>1300</v>
      </c>
      <c r="AM94" s="203">
        <v>1100</v>
      </c>
      <c r="AN94" s="87">
        <v>1100</v>
      </c>
      <c r="AO94" s="87"/>
      <c r="AP94" s="87"/>
      <c r="AQ94" s="87"/>
      <c r="AR94" s="203">
        <v>1565</v>
      </c>
      <c r="AS94" s="87">
        <v>1540</v>
      </c>
      <c r="AT94" s="203">
        <v>1568</v>
      </c>
      <c r="AU94" s="87">
        <v>1568</v>
      </c>
      <c r="AV94" s="87">
        <v>1568</v>
      </c>
      <c r="AW94" s="87"/>
      <c r="AX94" s="290">
        <v>2459.1999999999998</v>
      </c>
      <c r="AY94" s="290">
        <v>2476.5</v>
      </c>
      <c r="AZ94" s="87">
        <v>2545</v>
      </c>
      <c r="BA94" s="87">
        <v>2537</v>
      </c>
      <c r="BB94" s="87">
        <v>2469</v>
      </c>
      <c r="BC94" s="87">
        <v>2444</v>
      </c>
      <c r="BD94" s="87">
        <v>2455</v>
      </c>
      <c r="BE94" s="87">
        <v>2445</v>
      </c>
      <c r="BF94" s="87">
        <v>2476</v>
      </c>
      <c r="BG94" s="115">
        <v>2325</v>
      </c>
      <c r="BH94" s="87"/>
      <c r="BI94" s="152">
        <v>1090</v>
      </c>
      <c r="BJ94" s="87">
        <v>1320</v>
      </c>
      <c r="BK94" s="87">
        <v>2027.2</v>
      </c>
      <c r="BL94" s="87">
        <v>2949</v>
      </c>
      <c r="BM94" s="87">
        <v>2010</v>
      </c>
      <c r="BN94" s="115">
        <v>2812</v>
      </c>
      <c r="BO94" s="85"/>
      <c r="BP94" s="167">
        <v>2017</v>
      </c>
      <c r="BQ94" s="87"/>
      <c r="BR94" s="152">
        <v>377</v>
      </c>
      <c r="BS94" s="87">
        <v>330</v>
      </c>
      <c r="BT94" s="87">
        <v>628</v>
      </c>
      <c r="BU94" s="87">
        <v>690</v>
      </c>
      <c r="BV94" s="87">
        <v>659.43</v>
      </c>
      <c r="BW94" s="87">
        <v>689</v>
      </c>
      <c r="BX94" s="87">
        <v>846</v>
      </c>
      <c r="BY94" s="87">
        <v>851</v>
      </c>
      <c r="BZ94" s="115">
        <v>871</v>
      </c>
      <c r="CA94" s="105">
        <v>500</v>
      </c>
    </row>
    <row r="95" spans="1:84">
      <c r="A95" s="131" t="s">
        <v>48</v>
      </c>
      <c r="B95" s="151"/>
      <c r="C95" s="151">
        <v>38</v>
      </c>
      <c r="D95" s="85">
        <v>93</v>
      </c>
      <c r="E95" s="85">
        <v>106</v>
      </c>
      <c r="F95" s="87"/>
      <c r="G95" s="87"/>
      <c r="H95" s="85">
        <v>106</v>
      </c>
      <c r="I95" s="85">
        <v>105</v>
      </c>
      <c r="J95" s="85">
        <v>114</v>
      </c>
      <c r="K95" s="85">
        <v>73</v>
      </c>
      <c r="L95" s="85">
        <v>60</v>
      </c>
      <c r="M95" s="85">
        <v>81</v>
      </c>
      <c r="N95" s="85">
        <v>92</v>
      </c>
      <c r="O95" s="85">
        <v>457</v>
      </c>
      <c r="P95" s="85">
        <v>954</v>
      </c>
      <c r="Q95" s="85">
        <v>977</v>
      </c>
      <c r="R95" s="85"/>
      <c r="S95" s="85">
        <v>88</v>
      </c>
      <c r="T95" s="85">
        <v>215</v>
      </c>
      <c r="U95" s="109">
        <f>115.6</f>
        <v>115.6</v>
      </c>
      <c r="V95" s="85">
        <v>115.6</v>
      </c>
      <c r="W95" s="85">
        <v>115</v>
      </c>
      <c r="X95" s="85">
        <v>119.2</v>
      </c>
      <c r="Y95" s="85"/>
      <c r="Z95" s="85">
        <v>119.2</v>
      </c>
      <c r="AA95" s="87"/>
      <c r="AB95" s="87">
        <v>105.3</v>
      </c>
      <c r="AC95" s="115">
        <v>114</v>
      </c>
      <c r="AD95" s="85"/>
      <c r="AE95" s="152"/>
      <c r="AF95" s="87"/>
      <c r="AG95" s="87"/>
      <c r="AH95" s="87"/>
      <c r="AI95" s="87"/>
      <c r="AJ95" s="87"/>
      <c r="AK95" s="87"/>
      <c r="AL95" s="87">
        <v>81</v>
      </c>
      <c r="AM95" s="203">
        <v>86.2</v>
      </c>
      <c r="AN95" s="87">
        <v>86.2</v>
      </c>
      <c r="AO95" s="87"/>
      <c r="AP95" s="87"/>
      <c r="AQ95" s="87"/>
      <c r="AR95" s="203">
        <v>242</v>
      </c>
      <c r="AS95" s="87">
        <v>242</v>
      </c>
      <c r="AT95" s="203">
        <v>242</v>
      </c>
      <c r="AU95" s="87">
        <v>221</v>
      </c>
      <c r="AV95" s="87">
        <v>242</v>
      </c>
      <c r="AW95" s="87"/>
      <c r="AX95" s="290">
        <v>278.89999999999998</v>
      </c>
      <c r="AY95" s="290">
        <v>259</v>
      </c>
      <c r="AZ95" s="87">
        <v>280</v>
      </c>
      <c r="BA95" s="87">
        <v>285.5</v>
      </c>
      <c r="BB95" s="87">
        <v>314</v>
      </c>
      <c r="BC95" s="87">
        <v>318.3</v>
      </c>
      <c r="BD95" s="87">
        <v>318</v>
      </c>
      <c r="BE95" s="87">
        <v>318</v>
      </c>
      <c r="BF95" s="87">
        <v>315</v>
      </c>
      <c r="BG95" s="115">
        <v>127</v>
      </c>
      <c r="BH95" s="87"/>
      <c r="BI95" s="152">
        <v>108</v>
      </c>
      <c r="BJ95" s="87">
        <v>76</v>
      </c>
      <c r="BK95" s="87">
        <v>152.80000000000001</v>
      </c>
      <c r="BL95" s="87">
        <v>123</v>
      </c>
      <c r="BM95" s="87">
        <v>148</v>
      </c>
      <c r="BN95" s="115">
        <v>109</v>
      </c>
      <c r="BO95" s="85"/>
      <c r="BP95" s="167">
        <v>116</v>
      </c>
      <c r="BQ95" s="87"/>
      <c r="BR95" s="152">
        <v>30</v>
      </c>
      <c r="BS95" s="87">
        <v>19</v>
      </c>
      <c r="BT95" s="87">
        <v>63</v>
      </c>
      <c r="BU95" s="87">
        <v>50</v>
      </c>
      <c r="BV95" s="87">
        <v>75.73</v>
      </c>
      <c r="BW95" s="87">
        <v>61</v>
      </c>
      <c r="BX95" s="87">
        <v>73</v>
      </c>
      <c r="BY95" s="87">
        <v>88</v>
      </c>
      <c r="BZ95" s="115">
        <v>74</v>
      </c>
      <c r="CA95" s="105">
        <v>24</v>
      </c>
    </row>
    <row r="96" spans="1:84">
      <c r="A96" s="134" t="s">
        <v>47</v>
      </c>
      <c r="B96" s="153"/>
      <c r="C96" s="150"/>
      <c r="D96" s="17"/>
      <c r="E96" s="17"/>
      <c r="F96" s="17"/>
      <c r="G96" s="17"/>
      <c r="H96" s="17"/>
      <c r="I96" s="17"/>
      <c r="J96" s="17"/>
      <c r="K96" s="17"/>
      <c r="L96" s="17"/>
      <c r="M96" s="17"/>
      <c r="N96" s="17"/>
      <c r="O96" s="17">
        <v>232</v>
      </c>
      <c r="S96" s="17"/>
      <c r="T96" s="17"/>
      <c r="U96" s="17"/>
      <c r="V96" s="17"/>
      <c r="W96" s="17"/>
      <c r="X96" s="17"/>
      <c r="Y96" s="17"/>
      <c r="Z96" s="17"/>
      <c r="AA96" s="17"/>
      <c r="AB96" s="17"/>
      <c r="AC96" s="116"/>
      <c r="AE96" s="153"/>
      <c r="BG96" s="117"/>
      <c r="BI96" s="153"/>
      <c r="BN96" s="117"/>
      <c r="BP96" s="168"/>
      <c r="BR96" s="153"/>
      <c r="BZ96" s="117"/>
      <c r="CA96" s="98"/>
    </row>
    <row r="97" spans="1:79">
      <c r="A97" s="134" t="s">
        <v>49</v>
      </c>
      <c r="B97" s="153"/>
      <c r="C97" s="150">
        <v>6</v>
      </c>
      <c r="D97" s="17">
        <v>25</v>
      </c>
      <c r="E97" s="17">
        <v>7</v>
      </c>
      <c r="F97" s="17"/>
      <c r="G97" s="17"/>
      <c r="H97" s="17">
        <v>26</v>
      </c>
      <c r="I97" s="17">
        <v>23</v>
      </c>
      <c r="J97" s="17">
        <v>8</v>
      </c>
      <c r="K97" s="17">
        <v>36</v>
      </c>
      <c r="L97" s="17">
        <v>34</v>
      </c>
      <c r="M97" s="17">
        <v>35</v>
      </c>
      <c r="N97" s="17">
        <v>29</v>
      </c>
      <c r="O97" s="17">
        <v>61</v>
      </c>
      <c r="P97" s="17">
        <v>57.8</v>
      </c>
      <c r="Q97" s="17">
        <v>57.8</v>
      </c>
      <c r="R97" s="13">
        <v>30</v>
      </c>
      <c r="S97" s="17">
        <v>31</v>
      </c>
      <c r="T97" s="17">
        <v>12</v>
      </c>
      <c r="U97" s="109">
        <v>30.3</v>
      </c>
      <c r="V97" s="17">
        <v>30.3</v>
      </c>
      <c r="W97" s="17">
        <v>30</v>
      </c>
      <c r="X97" s="17">
        <v>30.3</v>
      </c>
      <c r="Y97" s="17"/>
      <c r="Z97" s="17">
        <v>30.3</v>
      </c>
      <c r="AA97" s="13">
        <v>40</v>
      </c>
      <c r="AB97" s="13">
        <v>40.700000000000003</v>
      </c>
      <c r="AC97" s="117">
        <v>41</v>
      </c>
      <c r="AE97" s="150"/>
      <c r="AF97" s="17"/>
      <c r="AG97" s="17"/>
      <c r="AH97" s="17"/>
      <c r="AI97" s="17"/>
      <c r="AJ97" s="17"/>
      <c r="AK97" s="109">
        <v>12</v>
      </c>
      <c r="AL97" s="17">
        <v>12</v>
      </c>
      <c r="AM97" s="109">
        <v>11.3</v>
      </c>
      <c r="AN97" s="17">
        <v>11.8</v>
      </c>
      <c r="AO97" s="17"/>
      <c r="AP97" s="17"/>
      <c r="AQ97" s="17"/>
      <c r="AR97" s="109">
        <v>22.5</v>
      </c>
      <c r="AS97" s="17">
        <v>23</v>
      </c>
      <c r="AT97" s="109">
        <v>25</v>
      </c>
      <c r="AU97" s="17">
        <v>27</v>
      </c>
      <c r="AV97" s="17">
        <v>25</v>
      </c>
      <c r="AW97" s="109">
        <v>20</v>
      </c>
      <c r="AX97" s="17">
        <v>45.1</v>
      </c>
      <c r="AY97" s="17">
        <v>49.2</v>
      </c>
      <c r="AZ97" s="17">
        <v>60</v>
      </c>
      <c r="BA97" s="17">
        <v>60.7</v>
      </c>
      <c r="BB97" s="17">
        <v>36.5</v>
      </c>
      <c r="BC97" s="17">
        <v>30.8</v>
      </c>
      <c r="BD97" s="17">
        <v>30.8</v>
      </c>
      <c r="BE97" s="17">
        <v>31</v>
      </c>
      <c r="BF97" s="17">
        <v>30</v>
      </c>
      <c r="BG97" s="116">
        <v>35</v>
      </c>
      <c r="BH97" s="17"/>
      <c r="BI97" s="150">
        <v>10</v>
      </c>
      <c r="BJ97" s="17">
        <v>31</v>
      </c>
      <c r="BK97" s="17">
        <v>24.1</v>
      </c>
      <c r="BL97" s="17">
        <v>11</v>
      </c>
      <c r="BM97" s="17">
        <v>22</v>
      </c>
      <c r="BN97" s="116">
        <v>42</v>
      </c>
      <c r="BP97" s="165">
        <v>36</v>
      </c>
      <c r="BQ97" s="17"/>
      <c r="BR97" s="150">
        <v>6</v>
      </c>
      <c r="BS97" s="17">
        <v>10</v>
      </c>
      <c r="BT97" s="17">
        <v>12</v>
      </c>
      <c r="BU97" s="17">
        <v>15</v>
      </c>
      <c r="BV97" s="17">
        <v>16.57</v>
      </c>
      <c r="BW97" s="17">
        <v>20</v>
      </c>
      <c r="BX97" s="17">
        <v>22</v>
      </c>
      <c r="BY97" s="17">
        <v>22</v>
      </c>
      <c r="BZ97" s="116">
        <v>12</v>
      </c>
      <c r="CA97" s="97">
        <v>11</v>
      </c>
    </row>
    <row r="98" spans="1:79">
      <c r="A98" s="134" t="s">
        <v>35</v>
      </c>
      <c r="B98" s="153"/>
      <c r="C98" s="150">
        <f>SUM(C99:C101)</f>
        <v>109</v>
      </c>
      <c r="D98" s="17">
        <f t="shared" ref="D98:E98" si="186">SUM(D99:D101)</f>
        <v>319</v>
      </c>
      <c r="E98" s="17">
        <f t="shared" si="186"/>
        <v>318</v>
      </c>
      <c r="F98" s="17"/>
      <c r="G98" s="17"/>
      <c r="H98" s="17">
        <f t="shared" ref="H98" si="187">SUM(H99:H101)</f>
        <v>383</v>
      </c>
      <c r="I98" s="17">
        <f t="shared" ref="I98" si="188">SUM(I99:I101)</f>
        <v>384</v>
      </c>
      <c r="J98" s="17">
        <f t="shared" ref="J98" si="189">SUM(J99:J101)</f>
        <v>386</v>
      </c>
      <c r="K98" s="17">
        <f t="shared" ref="K98" si="190">SUM(K99:K101)</f>
        <v>418</v>
      </c>
      <c r="L98" s="17">
        <f t="shared" ref="L98" si="191">SUM(L99:L101)</f>
        <v>418</v>
      </c>
      <c r="M98" s="17">
        <f t="shared" ref="M98" si="192">SUM(M99:M101)</f>
        <v>418</v>
      </c>
      <c r="N98" s="17">
        <f t="shared" ref="N98" si="193">SUM(N99:N101)</f>
        <v>417</v>
      </c>
      <c r="O98" s="17">
        <f t="shared" ref="O98" si="194">SUM(O99:O101)</f>
        <v>532</v>
      </c>
      <c r="P98" s="17">
        <f t="shared" ref="P98" si="195">SUM(P99:P101)</f>
        <v>541.29999999999995</v>
      </c>
      <c r="Q98" s="17">
        <f t="shared" ref="Q98" si="196">SUM(Q99:Q101)</f>
        <v>659.3</v>
      </c>
      <c r="R98" s="13">
        <f t="shared" ref="R98" si="197">SUM(R99:R101)</f>
        <v>483</v>
      </c>
      <c r="S98" s="17">
        <f t="shared" ref="S98" si="198">SUM(S99:S101)</f>
        <v>479</v>
      </c>
      <c r="T98" s="17">
        <f>SUM(T99:T101)</f>
        <v>291</v>
      </c>
      <c r="U98" s="17">
        <f t="shared" ref="U98" si="199">SUM(U99:U101)</f>
        <v>398</v>
      </c>
      <c r="V98" s="17">
        <f t="shared" ref="V98" si="200">SUM(V99:V101)</f>
        <v>398</v>
      </c>
      <c r="W98" s="17">
        <f t="shared" ref="W98" si="201">SUM(W99:W101)</f>
        <v>398</v>
      </c>
      <c r="X98" s="17">
        <f>SUM(X99:X101)</f>
        <v>399.3</v>
      </c>
      <c r="Y98" s="17"/>
      <c r="Z98" s="17">
        <f t="shared" ref="Z98" si="202">SUM(Z99:Z101)</f>
        <v>399.3</v>
      </c>
      <c r="AA98" s="13">
        <f t="shared" ref="AA98" si="203">SUM(AA99:AA101)</f>
        <v>475</v>
      </c>
      <c r="AB98" s="13">
        <f t="shared" ref="AB98" si="204">SUM(AB99:AB101)</f>
        <v>460</v>
      </c>
      <c r="AC98" s="117">
        <f t="shared" ref="AC98" si="205">SUM(AC99:AC101)</f>
        <v>460</v>
      </c>
      <c r="AE98" s="150"/>
      <c r="AF98" s="17"/>
      <c r="AG98" s="17"/>
      <c r="AH98" s="17"/>
      <c r="AI98" s="17"/>
      <c r="AJ98" s="17"/>
      <c r="AK98" s="109">
        <f t="shared" ref="AK98" si="206">SUM(AK99:AK101)</f>
        <v>339</v>
      </c>
      <c r="AL98" s="17">
        <f t="shared" ref="AL98" si="207">SUM(AL99:AL101)</f>
        <v>339</v>
      </c>
      <c r="AM98" s="109">
        <f t="shared" ref="AM98:AN98" si="208">SUM(AM99:AM101)</f>
        <v>262</v>
      </c>
      <c r="AN98" s="17">
        <f t="shared" si="208"/>
        <v>262</v>
      </c>
      <c r="AO98" s="17"/>
      <c r="AP98" s="17"/>
      <c r="AQ98" s="17"/>
      <c r="AR98" s="109">
        <f t="shared" ref="AR98" si="209">SUM(AR99:AR101)</f>
        <v>314</v>
      </c>
      <c r="AS98" s="17">
        <f t="shared" ref="AS98:AU98" si="210">SUM(AS99:AS101)</f>
        <v>312</v>
      </c>
      <c r="AT98" s="109">
        <f t="shared" ref="AT98" si="211">SUM(AT99:AT101)</f>
        <v>315.5</v>
      </c>
      <c r="AU98" s="17">
        <f t="shared" si="210"/>
        <v>321</v>
      </c>
      <c r="AV98" s="17">
        <f>SUM(AV99:AV101)</f>
        <v>315.5</v>
      </c>
      <c r="AW98" s="109">
        <f t="shared" ref="AW98" si="212">SUM(AW99:AW101)</f>
        <v>394</v>
      </c>
      <c r="AX98" s="17">
        <f t="shared" ref="AX98:AZ98" si="213">SUM(AX99:AX101)</f>
        <v>493.7</v>
      </c>
      <c r="AY98" s="17">
        <f t="shared" si="213"/>
        <v>490.9</v>
      </c>
      <c r="AZ98" s="17">
        <f t="shared" si="213"/>
        <v>647</v>
      </c>
      <c r="BA98" s="17">
        <f t="shared" ref="BA98:BE98" si="214">SUM(BA99:BA101)</f>
        <v>644.6</v>
      </c>
      <c r="BB98" s="17">
        <f>SUM(BB99:BB101)</f>
        <v>485.2</v>
      </c>
      <c r="BC98" s="17">
        <f t="shared" ref="BC98" si="215">SUM(BC99:BC101)</f>
        <v>480.4</v>
      </c>
      <c r="BD98" s="17">
        <f t="shared" ref="BD98" si="216">SUM(BD99:BD101)</f>
        <v>481.4</v>
      </c>
      <c r="BE98" s="17">
        <f t="shared" si="214"/>
        <v>480</v>
      </c>
      <c r="BF98" s="17">
        <f t="shared" ref="BF98" si="217">SUM(BF99:BF101)</f>
        <v>485</v>
      </c>
      <c r="BG98" s="116">
        <f t="shared" ref="BG98" si="218">SUM(BG99:BG101)</f>
        <v>493</v>
      </c>
      <c r="BH98" s="17"/>
      <c r="BI98" s="150">
        <f t="shared" ref="BI98" si="219">SUM(BI99:BI101)</f>
        <v>243</v>
      </c>
      <c r="BJ98" s="17">
        <f t="shared" ref="BJ98:BK98" si="220">SUM(BJ99:BJ101)</f>
        <v>324</v>
      </c>
      <c r="BK98" s="17">
        <f t="shared" si="220"/>
        <v>459.8</v>
      </c>
      <c r="BL98" s="17">
        <f t="shared" ref="BL98" si="221">SUM(BL99:BL101)</f>
        <v>543</v>
      </c>
      <c r="BM98" s="17">
        <f t="shared" ref="BM98" si="222">SUM(BM99:BM101)</f>
        <v>523</v>
      </c>
      <c r="BN98" s="116">
        <f t="shared" ref="BN98" si="223">SUM(BN99:BN101)</f>
        <v>510</v>
      </c>
      <c r="BP98" s="165">
        <f t="shared" ref="BP98" si="224">SUM(BP99:BP101)</f>
        <v>473</v>
      </c>
      <c r="BQ98" s="17"/>
      <c r="BR98" s="150">
        <f t="shared" ref="BR98" si="225">SUM(BR99:BR101)</f>
        <v>52</v>
      </c>
      <c r="BS98" s="17">
        <f t="shared" ref="BS98" si="226">SUM(BS99:BS101)</f>
        <v>46</v>
      </c>
      <c r="BT98" s="17">
        <f t="shared" ref="BT98" si="227">SUM(BT99:BT101)</f>
        <v>105</v>
      </c>
      <c r="BU98" s="17">
        <f t="shared" ref="BU98" si="228">SUM(BU99:BU101)</f>
        <v>161</v>
      </c>
      <c r="BV98" s="17">
        <f t="shared" ref="BV98" si="229">SUM(BV99:BV101)</f>
        <v>163.57</v>
      </c>
      <c r="BW98" s="17">
        <f t="shared" ref="BW98" si="230">SUM(BW99:BW101)</f>
        <v>163</v>
      </c>
      <c r="BX98" s="17">
        <f t="shared" ref="BX98" si="231">SUM(BX99:BX101)</f>
        <v>176</v>
      </c>
      <c r="BY98" s="17">
        <f t="shared" ref="BY98" si="232">SUM(BY99:BY101)</f>
        <v>176</v>
      </c>
      <c r="BZ98" s="116">
        <f t="shared" ref="BZ98" si="233">SUM(BZ99:BZ101)</f>
        <v>184</v>
      </c>
      <c r="CA98" s="97">
        <f>SUM(CA99:CA101)</f>
        <v>84</v>
      </c>
    </row>
    <row r="99" spans="1:79">
      <c r="A99" s="131" t="s">
        <v>195</v>
      </c>
      <c r="B99" s="151"/>
      <c r="C99" s="151">
        <v>109</v>
      </c>
      <c r="D99" s="85"/>
      <c r="E99" s="85"/>
      <c r="F99" s="85"/>
      <c r="G99" s="85"/>
      <c r="H99" s="85"/>
      <c r="I99" s="85"/>
      <c r="J99" s="85"/>
      <c r="K99" s="85"/>
      <c r="L99" s="85"/>
      <c r="M99" s="85"/>
      <c r="N99" s="85"/>
      <c r="O99" s="85"/>
      <c r="P99" s="87"/>
      <c r="Q99" s="87"/>
      <c r="R99" s="85"/>
      <c r="S99" s="85"/>
      <c r="T99" s="85"/>
      <c r="U99" s="85"/>
      <c r="V99" s="85"/>
      <c r="W99" s="85"/>
      <c r="X99" s="85"/>
      <c r="Y99" s="85"/>
      <c r="Z99" s="85"/>
      <c r="AA99" s="85"/>
      <c r="AB99" s="85"/>
      <c r="AC99" s="118"/>
      <c r="AD99" s="85"/>
      <c r="AE99" s="151"/>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118"/>
      <c r="BH99" s="85"/>
      <c r="BI99" s="151"/>
      <c r="BJ99" s="85"/>
      <c r="BK99" s="85"/>
      <c r="BL99" s="85"/>
      <c r="BM99" s="85"/>
      <c r="BN99" s="118"/>
      <c r="BO99" s="85"/>
      <c r="BP99" s="166"/>
      <c r="BQ99" s="85"/>
      <c r="BR99" s="151">
        <v>52</v>
      </c>
      <c r="BS99" s="85">
        <v>46</v>
      </c>
      <c r="BT99" s="85">
        <v>105</v>
      </c>
      <c r="BU99" s="85">
        <v>161</v>
      </c>
      <c r="BV99" s="85">
        <v>163.57</v>
      </c>
      <c r="BW99" s="85">
        <v>163</v>
      </c>
      <c r="BX99" s="85">
        <v>176</v>
      </c>
      <c r="BY99" s="85">
        <v>176</v>
      </c>
      <c r="BZ99" s="118">
        <v>184</v>
      </c>
      <c r="CA99" s="104">
        <v>84</v>
      </c>
    </row>
    <row r="100" spans="1:79">
      <c r="A100" s="131" t="s">
        <v>194</v>
      </c>
      <c r="B100" s="151"/>
      <c r="C100" s="151"/>
      <c r="D100" s="85">
        <v>319</v>
      </c>
      <c r="E100" s="85">
        <v>318</v>
      </c>
      <c r="F100" s="85"/>
      <c r="G100" s="85"/>
      <c r="H100" s="85">
        <v>383</v>
      </c>
      <c r="I100" s="85">
        <v>384</v>
      </c>
      <c r="J100" s="85">
        <v>386</v>
      </c>
      <c r="K100" s="85">
        <v>418</v>
      </c>
      <c r="L100" s="85">
        <v>418</v>
      </c>
      <c r="M100" s="85">
        <v>418</v>
      </c>
      <c r="N100" s="85">
        <v>417</v>
      </c>
      <c r="O100" s="85"/>
      <c r="P100" s="87"/>
      <c r="Q100" s="87"/>
      <c r="R100" s="85"/>
      <c r="S100" s="85"/>
      <c r="T100" s="85">
        <v>291</v>
      </c>
      <c r="U100" s="109">
        <v>398</v>
      </c>
      <c r="V100" s="85">
        <v>398</v>
      </c>
      <c r="W100" s="85">
        <v>398</v>
      </c>
      <c r="X100" s="85">
        <v>399.3</v>
      </c>
      <c r="Y100" s="85"/>
      <c r="Z100" s="85">
        <v>399.3</v>
      </c>
      <c r="AA100" s="85"/>
      <c r="AB100" s="85"/>
      <c r="AC100" s="118"/>
      <c r="AD100" s="85"/>
      <c r="AE100" s="151"/>
      <c r="AF100" s="85"/>
      <c r="AG100" s="85"/>
      <c r="AH100" s="85"/>
      <c r="AI100" s="85"/>
      <c r="AJ100" s="85"/>
      <c r="AK100" s="85">
        <v>339</v>
      </c>
      <c r="AL100" s="85">
        <v>339</v>
      </c>
      <c r="AM100" s="85">
        <v>262</v>
      </c>
      <c r="AN100" s="85">
        <v>262</v>
      </c>
      <c r="AO100" s="85"/>
      <c r="AP100" s="85"/>
      <c r="AQ100" s="85"/>
      <c r="AR100" s="85">
        <v>314</v>
      </c>
      <c r="AS100" s="85">
        <v>312</v>
      </c>
      <c r="AT100" s="85">
        <v>315.5</v>
      </c>
      <c r="AU100" s="85">
        <v>321</v>
      </c>
      <c r="AV100" s="85">
        <v>315.5</v>
      </c>
      <c r="AW100" s="85">
        <v>394</v>
      </c>
      <c r="AX100" s="85">
        <v>493.7</v>
      </c>
      <c r="AY100" s="85">
        <v>490.9</v>
      </c>
      <c r="AZ100" s="85"/>
      <c r="BA100" s="85"/>
      <c r="BB100" s="85">
        <v>485.2</v>
      </c>
      <c r="BC100" s="85">
        <v>480.4</v>
      </c>
      <c r="BD100" s="85">
        <v>481.4</v>
      </c>
      <c r="BE100" s="85">
        <v>480</v>
      </c>
      <c r="BF100" s="85">
        <v>485</v>
      </c>
      <c r="BG100" s="118"/>
      <c r="BH100" s="85"/>
      <c r="BI100" s="151">
        <v>243</v>
      </c>
      <c r="BJ100" s="85">
        <v>324</v>
      </c>
      <c r="BK100" s="85">
        <v>459.8</v>
      </c>
      <c r="BL100" s="85"/>
      <c r="BM100" s="85"/>
      <c r="BN100" s="118"/>
      <c r="BO100" s="85"/>
      <c r="BP100" s="166">
        <v>473</v>
      </c>
      <c r="BQ100" s="85"/>
      <c r="BR100" s="151"/>
      <c r="BS100" s="85"/>
      <c r="BT100" s="85"/>
      <c r="BU100" s="85"/>
      <c r="BV100" s="85"/>
      <c r="BW100" s="85"/>
      <c r="BX100" s="85"/>
      <c r="BY100" s="85"/>
      <c r="BZ100" s="118"/>
      <c r="CA100" s="104"/>
    </row>
    <row r="101" spans="1:79">
      <c r="A101" s="131" t="s">
        <v>193</v>
      </c>
      <c r="B101" s="151"/>
      <c r="C101" s="151"/>
      <c r="D101" s="85"/>
      <c r="E101" s="85"/>
      <c r="F101" s="85"/>
      <c r="G101" s="85"/>
      <c r="H101" s="85"/>
      <c r="I101" s="85"/>
      <c r="J101" s="85"/>
      <c r="K101" s="85"/>
      <c r="L101" s="85"/>
      <c r="M101" s="85"/>
      <c r="N101" s="85"/>
      <c r="O101" s="85">
        <v>532</v>
      </c>
      <c r="P101" s="87">
        <v>541.29999999999995</v>
      </c>
      <c r="Q101" s="87">
        <v>659.3</v>
      </c>
      <c r="R101" s="87">
        <v>483</v>
      </c>
      <c r="S101" s="85">
        <v>479</v>
      </c>
      <c r="T101" s="85"/>
      <c r="U101" s="85"/>
      <c r="V101" s="87"/>
      <c r="W101" s="85"/>
      <c r="X101" s="87"/>
      <c r="Y101" s="85"/>
      <c r="Z101" s="87"/>
      <c r="AA101" s="85">
        <v>475</v>
      </c>
      <c r="AB101" s="85">
        <v>460</v>
      </c>
      <c r="AC101" s="118">
        <v>460</v>
      </c>
      <c r="AD101" s="85"/>
      <c r="AE101" s="151"/>
      <c r="AF101" s="85"/>
      <c r="AG101" s="85"/>
      <c r="AH101" s="85"/>
      <c r="AI101" s="85"/>
      <c r="AJ101" s="85"/>
      <c r="AK101" s="85"/>
      <c r="AL101" s="85"/>
      <c r="AM101" s="85"/>
      <c r="AN101" s="85"/>
      <c r="AO101" s="85"/>
      <c r="AP101" s="85"/>
      <c r="AQ101" s="85"/>
      <c r="AR101" s="85"/>
      <c r="AS101" s="85"/>
      <c r="AT101" s="85"/>
      <c r="AU101" s="85"/>
      <c r="AV101" s="85"/>
      <c r="AW101" s="85"/>
      <c r="AX101" s="85"/>
      <c r="AY101" s="85"/>
      <c r="AZ101" s="85">
        <v>647</v>
      </c>
      <c r="BA101" s="85">
        <v>644.6</v>
      </c>
      <c r="BB101" s="85"/>
      <c r="BC101" s="85"/>
      <c r="BD101" s="85"/>
      <c r="BE101" s="85"/>
      <c r="BF101" s="85"/>
      <c r="BG101" s="118">
        <v>493</v>
      </c>
      <c r="BH101" s="85"/>
      <c r="BI101" s="151"/>
      <c r="BJ101" s="85"/>
      <c r="BK101" s="85"/>
      <c r="BL101" s="85">
        <v>543</v>
      </c>
      <c r="BM101" s="85">
        <v>523</v>
      </c>
      <c r="BN101" s="118">
        <v>510</v>
      </c>
      <c r="BO101" s="85"/>
      <c r="BP101" s="166"/>
      <c r="BQ101" s="85"/>
      <c r="BR101" s="151"/>
      <c r="BS101" s="85"/>
      <c r="BT101" s="85"/>
      <c r="BU101" s="85"/>
      <c r="BV101" s="85"/>
      <c r="BW101" s="85"/>
      <c r="BX101" s="85"/>
      <c r="BY101" s="85"/>
      <c r="BZ101" s="118"/>
      <c r="CA101" s="104"/>
    </row>
    <row r="102" spans="1:79">
      <c r="A102" s="128" t="s">
        <v>36</v>
      </c>
      <c r="B102" s="150"/>
      <c r="C102" s="150">
        <v>27</v>
      </c>
      <c r="D102" s="17">
        <v>43</v>
      </c>
      <c r="E102" s="17">
        <v>40</v>
      </c>
      <c r="F102" s="17"/>
      <c r="G102" s="17"/>
      <c r="H102" s="17">
        <v>43</v>
      </c>
      <c r="I102" s="17">
        <v>46</v>
      </c>
      <c r="J102" s="17">
        <v>34</v>
      </c>
      <c r="K102" s="17">
        <v>45</v>
      </c>
      <c r="L102" s="17">
        <v>8</v>
      </c>
      <c r="M102" s="17">
        <v>46</v>
      </c>
      <c r="N102" s="17">
        <v>45</v>
      </c>
      <c r="O102" s="17">
        <v>57</v>
      </c>
      <c r="P102" s="17">
        <v>56</v>
      </c>
      <c r="Q102" s="17">
        <v>56</v>
      </c>
      <c r="R102" s="17">
        <v>25</v>
      </c>
      <c r="S102" s="17">
        <v>22</v>
      </c>
      <c r="T102" s="17">
        <v>35</v>
      </c>
      <c r="U102" s="109">
        <v>43.6</v>
      </c>
      <c r="V102" s="17">
        <v>43.6</v>
      </c>
      <c r="W102" s="17">
        <v>44</v>
      </c>
      <c r="X102" s="17">
        <v>47.2</v>
      </c>
      <c r="Y102" s="17"/>
      <c r="Z102" s="17">
        <v>47.2</v>
      </c>
      <c r="AA102" s="17">
        <v>58</v>
      </c>
      <c r="AB102" s="17">
        <v>57.6</v>
      </c>
      <c r="AC102" s="116">
        <v>58</v>
      </c>
      <c r="AD102" s="17"/>
      <c r="AE102" s="150"/>
      <c r="AF102" s="17"/>
      <c r="AG102" s="17"/>
      <c r="AH102" s="17"/>
      <c r="AI102" s="17"/>
      <c r="AJ102" s="17"/>
      <c r="AK102" s="109">
        <v>40</v>
      </c>
      <c r="AL102" s="17">
        <v>40</v>
      </c>
      <c r="AM102" s="109">
        <v>41.6</v>
      </c>
      <c r="AN102" s="17">
        <v>41.6</v>
      </c>
      <c r="AO102" s="17"/>
      <c r="AP102" s="17"/>
      <c r="AQ102" s="17"/>
      <c r="AR102" s="109">
        <v>43</v>
      </c>
      <c r="AS102" s="17">
        <v>43</v>
      </c>
      <c r="AT102" s="109">
        <v>43</v>
      </c>
      <c r="AU102" s="17">
        <v>45</v>
      </c>
      <c r="AV102" s="17">
        <v>43</v>
      </c>
      <c r="AW102" s="109">
        <v>30</v>
      </c>
      <c r="AX102" s="17">
        <v>60.8</v>
      </c>
      <c r="AY102" s="17">
        <v>39.6</v>
      </c>
      <c r="AZ102" s="17">
        <v>40</v>
      </c>
      <c r="BA102" s="17">
        <v>29.7</v>
      </c>
      <c r="BB102" s="17">
        <v>57</v>
      </c>
      <c r="BC102" s="17">
        <v>64</v>
      </c>
      <c r="BD102" s="17">
        <v>43.4</v>
      </c>
      <c r="BE102" s="17">
        <v>62</v>
      </c>
      <c r="BF102" s="17">
        <v>29</v>
      </c>
      <c r="BG102" s="116">
        <v>28</v>
      </c>
      <c r="BH102" s="17"/>
      <c r="BI102" s="150">
        <v>43</v>
      </c>
      <c r="BJ102" s="17">
        <v>49</v>
      </c>
      <c r="BK102" s="17">
        <v>58.7</v>
      </c>
      <c r="BL102" s="17">
        <v>41</v>
      </c>
      <c r="BM102" s="17">
        <v>40</v>
      </c>
      <c r="BN102" s="116">
        <v>44</v>
      </c>
      <c r="BO102" s="17"/>
      <c r="BP102" s="165">
        <v>50</v>
      </c>
      <c r="BQ102" s="17"/>
      <c r="BR102" s="150">
        <v>18</v>
      </c>
      <c r="BS102" s="17">
        <v>10</v>
      </c>
      <c r="BT102" s="17">
        <v>37</v>
      </c>
      <c r="BU102" s="17">
        <v>42</v>
      </c>
      <c r="BV102" s="17">
        <v>46.51</v>
      </c>
      <c r="BW102" s="17">
        <v>39</v>
      </c>
      <c r="BX102" s="17">
        <v>45</v>
      </c>
      <c r="BY102" s="17">
        <v>43</v>
      </c>
      <c r="BZ102" s="116">
        <v>46</v>
      </c>
      <c r="CA102" s="97">
        <v>28</v>
      </c>
    </row>
    <row r="103" spans="1:79">
      <c r="A103" s="128" t="s">
        <v>50</v>
      </c>
      <c r="B103" s="150"/>
      <c r="C103" s="150"/>
      <c r="D103" s="17"/>
      <c r="E103" s="17"/>
      <c r="F103" s="17"/>
      <c r="G103" s="17"/>
      <c r="H103" s="17"/>
      <c r="I103" s="17"/>
      <c r="J103" s="17"/>
      <c r="K103" s="17"/>
      <c r="L103" s="17"/>
      <c r="M103" s="17"/>
      <c r="N103" s="17"/>
      <c r="O103" s="17">
        <v>34</v>
      </c>
      <c r="R103" s="17"/>
      <c r="S103" s="17"/>
      <c r="T103" s="17"/>
      <c r="U103" s="17"/>
      <c r="V103" s="17"/>
      <c r="W103" s="17"/>
      <c r="X103" s="17"/>
      <c r="Y103" s="17"/>
      <c r="Z103" s="17"/>
      <c r="AA103" s="17" t="s">
        <v>117</v>
      </c>
      <c r="AB103" s="17">
        <v>50</v>
      </c>
      <c r="AC103" s="116" t="s">
        <v>117</v>
      </c>
      <c r="AD103" s="17"/>
      <c r="AE103" s="153"/>
      <c r="AY103" s="13">
        <v>37</v>
      </c>
      <c r="AZ103" s="13">
        <v>36</v>
      </c>
      <c r="BA103" s="13">
        <f>SUM(BA104:BA105)</f>
        <v>36.299999999999997</v>
      </c>
      <c r="BB103" s="13" t="s">
        <v>117</v>
      </c>
      <c r="BC103" s="13">
        <v>46</v>
      </c>
      <c r="BD103" s="13">
        <v>41.5</v>
      </c>
      <c r="BE103" s="13">
        <v>43</v>
      </c>
      <c r="BF103" s="13">
        <v>41</v>
      </c>
      <c r="BG103" s="117">
        <v>33</v>
      </c>
      <c r="BI103" s="153"/>
      <c r="BL103" s="13">
        <v>29</v>
      </c>
      <c r="BN103" s="117">
        <v>32</v>
      </c>
      <c r="BO103" s="17"/>
      <c r="BP103" s="168"/>
      <c r="BR103" s="153"/>
      <c r="BZ103" s="117"/>
      <c r="CA103" s="98"/>
    </row>
    <row r="104" spans="1:79">
      <c r="A104" s="131" t="s">
        <v>360</v>
      </c>
      <c r="B104" s="151"/>
      <c r="C104" s="151"/>
      <c r="D104" s="85"/>
      <c r="E104" s="85"/>
      <c r="F104" s="85"/>
      <c r="G104" s="85"/>
      <c r="H104" s="85"/>
      <c r="I104" s="85"/>
      <c r="J104" s="85"/>
      <c r="K104" s="85"/>
      <c r="L104" s="85"/>
      <c r="M104" s="85"/>
      <c r="N104" s="85"/>
      <c r="O104" s="85"/>
      <c r="P104" s="87"/>
      <c r="Q104" s="87"/>
      <c r="R104" s="85"/>
      <c r="S104" s="85"/>
      <c r="T104" s="85"/>
      <c r="U104" s="85"/>
      <c r="V104" s="85"/>
      <c r="W104" s="85"/>
      <c r="X104" s="85"/>
      <c r="Y104" s="85"/>
      <c r="Z104" s="85"/>
      <c r="AA104" s="85"/>
      <c r="AB104" s="85"/>
      <c r="AC104" s="118"/>
      <c r="AD104" s="85"/>
      <c r="AE104" s="152"/>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v>14.2</v>
      </c>
      <c r="BB104" s="87"/>
      <c r="BC104" s="87"/>
      <c r="BD104" s="87"/>
      <c r="BE104" s="87"/>
      <c r="BF104" s="87"/>
      <c r="BG104" s="115"/>
      <c r="BH104" s="87"/>
      <c r="BI104" s="152"/>
      <c r="BJ104" s="87"/>
      <c r="BK104" s="87"/>
      <c r="BL104" s="87"/>
      <c r="BM104" s="87"/>
      <c r="BN104" s="115"/>
      <c r="BO104" s="85"/>
      <c r="BP104" s="167"/>
      <c r="BQ104" s="87"/>
      <c r="BR104" s="152"/>
      <c r="BS104" s="87"/>
      <c r="BT104" s="87"/>
      <c r="BU104" s="87"/>
      <c r="BV104" s="87"/>
      <c r="BW104" s="87"/>
      <c r="BX104" s="87"/>
      <c r="BY104" s="87"/>
      <c r="BZ104" s="115"/>
    </row>
    <row r="105" spans="1:79">
      <c r="A105" s="131" t="s">
        <v>361</v>
      </c>
      <c r="B105" s="151"/>
      <c r="C105" s="151"/>
      <c r="D105" s="85"/>
      <c r="E105" s="85"/>
      <c r="F105" s="85"/>
      <c r="G105" s="85"/>
      <c r="H105" s="85"/>
      <c r="I105" s="85"/>
      <c r="J105" s="85"/>
      <c r="K105" s="85"/>
      <c r="L105" s="85"/>
      <c r="M105" s="85"/>
      <c r="N105" s="85"/>
      <c r="O105" s="85"/>
      <c r="P105" s="87"/>
      <c r="Q105" s="87"/>
      <c r="R105" s="85"/>
      <c r="S105" s="85"/>
      <c r="T105" s="85"/>
      <c r="U105" s="85"/>
      <c r="V105" s="85"/>
      <c r="W105" s="85"/>
      <c r="X105" s="85"/>
      <c r="Y105" s="85"/>
      <c r="Z105" s="85"/>
      <c r="AA105" s="85"/>
      <c r="AB105" s="85"/>
      <c r="AC105" s="118"/>
      <c r="AD105" s="85"/>
      <c r="AE105" s="152"/>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f>11.3+10.8</f>
        <v>22.1</v>
      </c>
      <c r="BB105" s="87"/>
      <c r="BC105" s="87"/>
      <c r="BD105" s="87"/>
      <c r="BE105" s="87"/>
      <c r="BF105" s="87"/>
      <c r="BG105" s="115"/>
      <c r="BH105" s="87"/>
      <c r="BI105" s="152"/>
      <c r="BJ105" s="87"/>
      <c r="BK105" s="87"/>
      <c r="BL105" s="87"/>
      <c r="BM105" s="87"/>
      <c r="BN105" s="115"/>
      <c r="BO105" s="85"/>
      <c r="BP105" s="167"/>
      <c r="BQ105" s="87"/>
      <c r="BR105" s="152"/>
      <c r="BS105" s="87"/>
      <c r="BT105" s="87"/>
      <c r="BU105" s="87"/>
      <c r="BV105" s="87"/>
      <c r="BW105" s="87"/>
      <c r="BX105" s="87"/>
      <c r="BY105" s="87"/>
      <c r="BZ105" s="115"/>
    </row>
    <row r="106" spans="1:79">
      <c r="A106" s="128" t="s">
        <v>51</v>
      </c>
      <c r="B106" s="150"/>
      <c r="C106" s="150"/>
      <c r="D106" s="17"/>
      <c r="E106" s="17"/>
      <c r="F106" s="17"/>
      <c r="G106" s="17"/>
      <c r="H106" s="17">
        <v>294</v>
      </c>
      <c r="I106" s="17">
        <v>292</v>
      </c>
      <c r="J106" s="17">
        <v>306</v>
      </c>
      <c r="K106" s="17">
        <v>294</v>
      </c>
      <c r="L106" s="17">
        <v>305</v>
      </c>
      <c r="M106" s="17">
        <v>294</v>
      </c>
      <c r="N106" s="17"/>
      <c r="O106" s="17"/>
      <c r="R106" s="17">
        <v>663</v>
      </c>
      <c r="S106" s="17">
        <v>604</v>
      </c>
      <c r="T106" s="17">
        <v>201</v>
      </c>
      <c r="U106" s="109">
        <v>322</v>
      </c>
      <c r="V106" s="31">
        <v>322</v>
      </c>
      <c r="W106" s="17">
        <v>322</v>
      </c>
      <c r="X106" s="31">
        <v>323.3</v>
      </c>
      <c r="Y106" s="17"/>
      <c r="Z106" s="31">
        <v>326.3</v>
      </c>
      <c r="AA106" s="17">
        <v>349</v>
      </c>
      <c r="AB106" s="17">
        <v>347.4</v>
      </c>
      <c r="AC106" s="116">
        <v>346</v>
      </c>
      <c r="AD106" s="17"/>
      <c r="AE106" s="150"/>
      <c r="AF106" s="17"/>
      <c r="AG106" s="17"/>
      <c r="AH106" s="17"/>
      <c r="AI106" s="17"/>
      <c r="AJ106" s="17"/>
      <c r="AK106" s="109">
        <v>4</v>
      </c>
      <c r="AL106" s="17"/>
      <c r="AM106" s="17" t="s">
        <v>117</v>
      </c>
      <c r="AN106" s="17"/>
      <c r="AO106" s="17"/>
      <c r="AP106" s="17"/>
      <c r="AQ106" s="17"/>
      <c r="AR106" s="17"/>
      <c r="AS106" s="17"/>
      <c r="AT106" s="17"/>
      <c r="AU106" s="17"/>
      <c r="AV106" s="17"/>
      <c r="AW106" s="17"/>
      <c r="AX106" s="17"/>
      <c r="AY106" s="17"/>
      <c r="AZ106" s="17"/>
      <c r="BA106" s="17"/>
      <c r="BB106" s="17"/>
      <c r="BC106" s="17"/>
      <c r="BD106" s="17"/>
      <c r="BE106" s="17"/>
      <c r="BF106" s="17"/>
      <c r="BG106" s="116"/>
      <c r="BH106" s="17"/>
      <c r="BI106" s="150"/>
      <c r="BJ106" s="17"/>
      <c r="BK106" s="17"/>
      <c r="BL106" s="17"/>
      <c r="BM106" s="17"/>
      <c r="BN106" s="116"/>
      <c r="BO106" s="17"/>
      <c r="BP106" s="165"/>
      <c r="BQ106" s="17"/>
      <c r="BR106" s="150"/>
      <c r="BS106" s="17"/>
      <c r="BT106" s="17"/>
      <c r="BU106" s="17"/>
      <c r="BV106" s="17"/>
      <c r="BW106" s="17"/>
      <c r="BX106" s="17"/>
      <c r="BY106" s="17"/>
      <c r="BZ106" s="116"/>
      <c r="CA106" s="97"/>
    </row>
    <row r="107" spans="1:79">
      <c r="A107" s="134" t="s">
        <v>52</v>
      </c>
      <c r="B107" s="153"/>
      <c r="C107" s="150">
        <v>20</v>
      </c>
      <c r="D107" s="17">
        <v>32</v>
      </c>
      <c r="E107" s="17">
        <v>27</v>
      </c>
      <c r="H107" s="17">
        <v>61</v>
      </c>
      <c r="I107" s="17">
        <v>62</v>
      </c>
      <c r="J107" s="17">
        <v>64</v>
      </c>
      <c r="K107" s="17">
        <v>116</v>
      </c>
      <c r="L107" s="17">
        <v>116</v>
      </c>
      <c r="M107" s="17">
        <v>117</v>
      </c>
      <c r="N107" s="17"/>
      <c r="O107" s="17">
        <v>132</v>
      </c>
      <c r="P107" s="17">
        <v>117.9</v>
      </c>
      <c r="Q107" s="17">
        <v>138.1</v>
      </c>
      <c r="R107" s="31">
        <v>101</v>
      </c>
      <c r="S107" s="17">
        <v>112</v>
      </c>
      <c r="T107" s="17">
        <v>24</v>
      </c>
      <c r="U107" s="17">
        <f>SUM(U108:U109)</f>
        <v>56.2</v>
      </c>
      <c r="V107" s="31">
        <v>56.2</v>
      </c>
      <c r="W107" s="17">
        <v>56</v>
      </c>
      <c r="X107" s="31">
        <v>63.6</v>
      </c>
      <c r="Y107" s="17"/>
      <c r="Z107" s="31">
        <v>60.6</v>
      </c>
      <c r="AA107" s="31">
        <v>137</v>
      </c>
      <c r="AB107" s="31">
        <v>134.9</v>
      </c>
      <c r="AC107" s="119">
        <v>135</v>
      </c>
      <c r="AE107" s="150"/>
      <c r="AF107" s="17"/>
      <c r="AG107" s="17"/>
      <c r="AH107" s="17"/>
      <c r="AI107" s="17"/>
      <c r="AJ107" s="17"/>
      <c r="AK107" s="109">
        <v>87</v>
      </c>
      <c r="AL107" s="17">
        <v>87</v>
      </c>
      <c r="AM107" s="109">
        <v>26.7</v>
      </c>
      <c r="AN107" s="17">
        <v>26.7</v>
      </c>
      <c r="AO107" s="17"/>
      <c r="AP107" s="17"/>
      <c r="AQ107" s="17"/>
      <c r="AR107" s="109">
        <v>30</v>
      </c>
      <c r="AS107" s="17">
        <f>SUM(AS108:AS109)</f>
        <v>30</v>
      </c>
      <c r="AT107" s="109">
        <v>35</v>
      </c>
      <c r="AU107" s="17">
        <v>94</v>
      </c>
      <c r="AV107" s="17">
        <f>SUM(AV108:AV109)</f>
        <v>35</v>
      </c>
      <c r="AW107" s="182">
        <v>99</v>
      </c>
      <c r="AX107" s="17">
        <f>SUM(AX108:AX109)</f>
        <v>143.19999999999999</v>
      </c>
      <c r="AY107" s="17">
        <f>SUM(AY108:AY109)</f>
        <v>128.6</v>
      </c>
      <c r="AZ107" s="17">
        <v>163</v>
      </c>
      <c r="BA107" s="17">
        <f>SUM(BA108:BA109)</f>
        <v>175.8</v>
      </c>
      <c r="BB107" s="17">
        <v>144.30000000000001</v>
      </c>
      <c r="BC107" s="17">
        <f>SUM(BC108:BC109)</f>
        <v>150.6</v>
      </c>
      <c r="BD107" s="17">
        <v>148.5</v>
      </c>
      <c r="BE107" s="17">
        <v>151</v>
      </c>
      <c r="BF107" s="17">
        <v>149</v>
      </c>
      <c r="BG107" s="116">
        <v>151</v>
      </c>
      <c r="BH107" s="17"/>
      <c r="BI107" s="150">
        <v>32</v>
      </c>
      <c r="BJ107" s="17">
        <v>127</v>
      </c>
      <c r="BK107" s="17">
        <v>182.2</v>
      </c>
      <c r="BL107" s="17">
        <v>135</v>
      </c>
      <c r="BM107" s="17">
        <v>116</v>
      </c>
      <c r="BN107" s="116">
        <v>123</v>
      </c>
      <c r="BP107" s="165">
        <v>145</v>
      </c>
      <c r="BQ107" s="17"/>
      <c r="BR107" s="150">
        <v>9</v>
      </c>
      <c r="BS107" s="17">
        <v>8</v>
      </c>
      <c r="BT107" s="17">
        <v>21</v>
      </c>
      <c r="BU107" s="17">
        <v>17</v>
      </c>
      <c r="BV107" s="17">
        <v>52.09</v>
      </c>
      <c r="BW107" s="17">
        <v>21</v>
      </c>
      <c r="BX107" s="17">
        <v>24</v>
      </c>
      <c r="BY107" s="17">
        <v>30</v>
      </c>
      <c r="BZ107" s="116">
        <v>73</v>
      </c>
      <c r="CA107" s="97">
        <v>12</v>
      </c>
    </row>
    <row r="108" spans="1:79">
      <c r="A108" s="131" t="s">
        <v>360</v>
      </c>
      <c r="B108" s="152"/>
      <c r="C108" s="151"/>
      <c r="D108" s="85"/>
      <c r="E108" s="85"/>
      <c r="F108" s="87"/>
      <c r="G108" s="87"/>
      <c r="H108" s="85"/>
      <c r="I108" s="85"/>
      <c r="J108" s="85"/>
      <c r="K108" s="85"/>
      <c r="L108" s="85"/>
      <c r="M108" s="85"/>
      <c r="N108" s="85"/>
      <c r="O108" s="85"/>
      <c r="P108" s="85"/>
      <c r="Q108" s="85"/>
      <c r="R108" s="276"/>
      <c r="S108" s="85"/>
      <c r="T108" s="85"/>
      <c r="U108" s="109">
        <v>13</v>
      </c>
      <c r="V108" s="276"/>
      <c r="W108" s="85"/>
      <c r="X108" s="276"/>
      <c r="Y108" s="85"/>
      <c r="Z108" s="276"/>
      <c r="AA108" s="276"/>
      <c r="AB108" s="276"/>
      <c r="AC108" s="277"/>
      <c r="AD108" s="87"/>
      <c r="AE108" s="151"/>
      <c r="AF108" s="85"/>
      <c r="AG108" s="85"/>
      <c r="AH108" s="85"/>
      <c r="AI108" s="85"/>
      <c r="AJ108" s="85"/>
      <c r="AK108" s="85"/>
      <c r="AL108" s="85"/>
      <c r="AM108" s="85"/>
      <c r="AN108" s="85"/>
      <c r="AO108" s="85"/>
      <c r="AP108" s="85"/>
      <c r="AQ108" s="85"/>
      <c r="AR108" s="291"/>
      <c r="AS108" s="85">
        <v>10</v>
      </c>
      <c r="AT108" s="85"/>
      <c r="AU108" s="85"/>
      <c r="AV108" s="85">
        <v>10</v>
      </c>
      <c r="AW108" s="85"/>
      <c r="AX108" s="85">
        <v>21.5</v>
      </c>
      <c r="AY108" s="85">
        <v>21.5</v>
      </c>
      <c r="AZ108" s="85"/>
      <c r="BA108" s="85">
        <v>31.4</v>
      </c>
      <c r="BB108" s="85"/>
      <c r="BC108" s="85">
        <v>15.2</v>
      </c>
      <c r="BD108" s="85"/>
      <c r="BE108" s="85"/>
      <c r="BF108" s="85"/>
      <c r="BG108" s="118"/>
      <c r="BH108" s="85"/>
      <c r="BI108" s="151"/>
      <c r="BJ108" s="85"/>
      <c r="BK108" s="85"/>
      <c r="BL108" s="85"/>
      <c r="BM108" s="85"/>
      <c r="BN108" s="118"/>
      <c r="BO108" s="87"/>
      <c r="BP108" s="166"/>
      <c r="BQ108" s="85"/>
      <c r="BR108" s="151"/>
      <c r="BS108" s="85"/>
      <c r="BT108" s="85"/>
      <c r="BU108" s="85"/>
      <c r="BV108" s="85">
        <v>12.5</v>
      </c>
      <c r="BW108" s="85"/>
      <c r="BX108" s="85"/>
      <c r="BY108" s="85"/>
      <c r="BZ108" s="118"/>
    </row>
    <row r="109" spans="1:79">
      <c r="A109" s="131" t="s">
        <v>361</v>
      </c>
      <c r="B109" s="152"/>
      <c r="C109" s="151"/>
      <c r="D109" s="85"/>
      <c r="E109" s="85"/>
      <c r="F109" s="87"/>
      <c r="G109" s="87"/>
      <c r="H109" s="85"/>
      <c r="I109" s="85"/>
      <c r="J109" s="85"/>
      <c r="K109" s="85"/>
      <c r="L109" s="85"/>
      <c r="M109" s="85"/>
      <c r="N109" s="85"/>
      <c r="O109" s="85"/>
      <c r="P109" s="85"/>
      <c r="Q109" s="85"/>
      <c r="R109" s="276"/>
      <c r="S109" s="85"/>
      <c r="T109" s="85"/>
      <c r="U109" s="109">
        <v>43.2</v>
      </c>
      <c r="V109" s="276"/>
      <c r="W109" s="85"/>
      <c r="X109" s="276"/>
      <c r="Y109" s="85"/>
      <c r="Z109" s="276"/>
      <c r="AA109" s="276"/>
      <c r="AB109" s="276"/>
      <c r="AC109" s="277"/>
      <c r="AD109" s="87"/>
      <c r="AE109" s="151"/>
      <c r="AF109" s="85"/>
      <c r="AG109" s="85"/>
      <c r="AH109" s="85"/>
      <c r="AI109" s="85"/>
      <c r="AJ109" s="85"/>
      <c r="AK109" s="85"/>
      <c r="AL109" s="85"/>
      <c r="AM109" s="85"/>
      <c r="AN109" s="85"/>
      <c r="AO109" s="85"/>
      <c r="AP109" s="85"/>
      <c r="AQ109" s="85"/>
      <c r="AR109" s="291"/>
      <c r="AS109" s="85">
        <v>20</v>
      </c>
      <c r="AT109" s="85"/>
      <c r="AU109" s="85"/>
      <c r="AV109" s="85">
        <v>25</v>
      </c>
      <c r="AW109" s="85"/>
      <c r="AX109" s="85">
        <v>121.7</v>
      </c>
      <c r="AY109" s="85">
        <v>107.1</v>
      </c>
      <c r="AZ109" s="85"/>
      <c r="BA109" s="85">
        <v>144.4</v>
      </c>
      <c r="BB109" s="85"/>
      <c r="BC109" s="85">
        <v>135.4</v>
      </c>
      <c r="BD109" s="85"/>
      <c r="BE109" s="85"/>
      <c r="BF109" s="85"/>
      <c r="BG109" s="118"/>
      <c r="BH109" s="85"/>
      <c r="BI109" s="151"/>
      <c r="BJ109" s="85"/>
      <c r="BK109" s="85"/>
      <c r="BL109" s="85"/>
      <c r="BM109" s="85"/>
      <c r="BN109" s="118"/>
      <c r="BO109" s="87"/>
      <c r="BP109" s="166"/>
      <c r="BQ109" s="85"/>
      <c r="BR109" s="151"/>
      <c r="BS109" s="85"/>
      <c r="BT109" s="85"/>
      <c r="BU109" s="85"/>
      <c r="BV109" s="85">
        <v>38.590000000000003</v>
      </c>
      <c r="BW109" s="85"/>
      <c r="BX109" s="85"/>
      <c r="BY109" s="85"/>
      <c r="BZ109" s="118"/>
    </row>
    <row r="110" spans="1:79">
      <c r="A110" s="128" t="s">
        <v>53</v>
      </c>
      <c r="B110" s="150"/>
      <c r="C110" s="150">
        <v>80</v>
      </c>
      <c r="D110" s="17">
        <v>25</v>
      </c>
      <c r="E110" s="17">
        <v>154</v>
      </c>
      <c r="F110" s="17"/>
      <c r="G110" s="17"/>
      <c r="H110" s="17">
        <v>425</v>
      </c>
      <c r="I110" s="17">
        <v>418</v>
      </c>
      <c r="J110" s="17">
        <v>437</v>
      </c>
      <c r="K110" s="17">
        <v>425</v>
      </c>
      <c r="L110" s="17">
        <v>322</v>
      </c>
      <c r="M110" s="17">
        <v>428</v>
      </c>
      <c r="N110" s="17"/>
      <c r="O110" s="17">
        <v>309</v>
      </c>
      <c r="P110" s="17">
        <v>332.3</v>
      </c>
      <c r="Q110" s="17">
        <v>422.2</v>
      </c>
      <c r="R110" s="31">
        <v>320</v>
      </c>
      <c r="S110" s="17">
        <v>363</v>
      </c>
      <c r="T110" s="17">
        <v>107</v>
      </c>
      <c r="U110" s="17">
        <f>SUM(U111:U112)</f>
        <v>289.2</v>
      </c>
      <c r="V110" s="13">
        <v>289.2</v>
      </c>
      <c r="W110" s="17">
        <v>201</v>
      </c>
      <c r="X110" s="13">
        <v>291.7</v>
      </c>
      <c r="Y110" s="17"/>
      <c r="Z110" s="13">
        <v>267.3</v>
      </c>
      <c r="AA110" s="31">
        <v>298</v>
      </c>
      <c r="AB110" s="31">
        <v>342.7</v>
      </c>
      <c r="AC110" s="119">
        <v>343</v>
      </c>
      <c r="AD110" s="17"/>
      <c r="AE110" s="150"/>
      <c r="AF110" s="17"/>
      <c r="AG110" s="17"/>
      <c r="AH110" s="17"/>
      <c r="AI110" s="17"/>
      <c r="AJ110" s="17"/>
      <c r="AK110" s="109">
        <v>286</v>
      </c>
      <c r="AL110" s="17">
        <v>271</v>
      </c>
      <c r="AM110" s="109">
        <v>27.6</v>
      </c>
      <c r="AN110" s="17">
        <v>27.6</v>
      </c>
      <c r="AO110" s="17"/>
      <c r="AP110" s="17"/>
      <c r="AQ110" s="17"/>
      <c r="AR110" s="109">
        <v>233.5</v>
      </c>
      <c r="AS110" s="17">
        <f>SUM(AS111:AS112)</f>
        <v>242</v>
      </c>
      <c r="AT110" s="109">
        <v>264.5</v>
      </c>
      <c r="AU110" s="17">
        <v>277</v>
      </c>
      <c r="AV110" s="17">
        <f>SUM(AV111:AV112)</f>
        <v>264.5</v>
      </c>
      <c r="AW110" s="109">
        <v>232</v>
      </c>
      <c r="AX110" s="17">
        <f>SUM(AX111:AX112)</f>
        <v>286.79999999999995</v>
      </c>
      <c r="AY110" s="17">
        <f>SUM(AY111:AY112)</f>
        <v>266.89999999999998</v>
      </c>
      <c r="AZ110" s="17">
        <v>247</v>
      </c>
      <c r="BA110" s="17">
        <f>SUM(BA111:BA112)</f>
        <v>255.3</v>
      </c>
      <c r="BB110" s="17">
        <v>458.5</v>
      </c>
      <c r="BC110" s="17">
        <f>SUM(BC111:BC112)</f>
        <v>429.9</v>
      </c>
      <c r="BD110" s="17">
        <v>467.5</v>
      </c>
      <c r="BE110" s="17">
        <v>445</v>
      </c>
      <c r="BF110" s="17">
        <v>444</v>
      </c>
      <c r="BG110" s="116">
        <v>227</v>
      </c>
      <c r="BH110" s="17"/>
      <c r="BI110" s="150">
        <v>204</v>
      </c>
      <c r="BJ110" s="17">
        <v>361</v>
      </c>
      <c r="BK110" s="17">
        <v>565.70000000000005</v>
      </c>
      <c r="BL110" s="17">
        <v>342</v>
      </c>
      <c r="BM110" s="17">
        <v>501</v>
      </c>
      <c r="BN110" s="116">
        <v>324</v>
      </c>
      <c r="BO110" s="17"/>
      <c r="BP110" s="165">
        <v>377</v>
      </c>
      <c r="BQ110" s="17"/>
      <c r="BR110" s="150">
        <v>43</v>
      </c>
      <c r="BS110" s="17">
        <v>28</v>
      </c>
      <c r="BT110" s="17">
        <v>29</v>
      </c>
      <c r="BU110" s="17">
        <v>107</v>
      </c>
      <c r="BV110" s="17">
        <v>33.11</v>
      </c>
      <c r="BW110" s="17">
        <v>25</v>
      </c>
      <c r="BX110" s="17">
        <v>117</v>
      </c>
      <c r="BY110" s="17">
        <v>123</v>
      </c>
      <c r="BZ110" s="116">
        <v>126</v>
      </c>
      <c r="CA110" s="97">
        <v>55</v>
      </c>
    </row>
    <row r="111" spans="1:79">
      <c r="A111" s="131" t="s">
        <v>360</v>
      </c>
      <c r="B111" s="151"/>
      <c r="C111" s="151"/>
      <c r="D111" s="85"/>
      <c r="E111" s="85"/>
      <c r="F111" s="85"/>
      <c r="G111" s="85"/>
      <c r="H111" s="85"/>
      <c r="I111" s="85"/>
      <c r="J111" s="85"/>
      <c r="K111" s="85"/>
      <c r="L111" s="85"/>
      <c r="M111" s="85"/>
      <c r="N111" s="85"/>
      <c r="O111" s="85"/>
      <c r="P111" s="85"/>
      <c r="Q111" s="85"/>
      <c r="R111" s="276"/>
      <c r="S111" s="85"/>
      <c r="T111" s="85"/>
      <c r="U111" s="109">
        <v>240</v>
      </c>
      <c r="V111" s="87"/>
      <c r="W111" s="85"/>
      <c r="X111" s="87"/>
      <c r="Y111" s="85"/>
      <c r="Z111" s="87"/>
      <c r="AA111" s="276"/>
      <c r="AB111" s="276"/>
      <c r="AC111" s="277"/>
      <c r="AD111" s="85"/>
      <c r="AE111" s="151"/>
      <c r="AF111" s="85"/>
      <c r="AG111" s="85"/>
      <c r="AH111" s="85"/>
      <c r="AI111" s="85"/>
      <c r="AJ111" s="85"/>
      <c r="AK111" s="85"/>
      <c r="AL111" s="85"/>
      <c r="AM111" s="85"/>
      <c r="AN111" s="85"/>
      <c r="AO111" s="85"/>
      <c r="AP111" s="85"/>
      <c r="AQ111" s="85"/>
      <c r="AR111" s="85"/>
      <c r="AS111" s="85">
        <v>164</v>
      </c>
      <c r="AT111" s="85"/>
      <c r="AU111" s="85"/>
      <c r="AV111" s="85">
        <v>200</v>
      </c>
      <c r="AW111" s="85"/>
      <c r="AX111" s="85">
        <v>176.7</v>
      </c>
      <c r="AY111" s="85">
        <v>179.3</v>
      </c>
      <c r="AZ111" s="85"/>
      <c r="BA111" s="85">
        <v>169.9</v>
      </c>
      <c r="BB111" s="85"/>
      <c r="BC111" s="85">
        <v>283.3</v>
      </c>
      <c r="BD111" s="85"/>
      <c r="BE111" s="85"/>
      <c r="BF111" s="85"/>
      <c r="BG111" s="118"/>
      <c r="BH111" s="85"/>
      <c r="BI111" s="151"/>
      <c r="BJ111" s="85"/>
      <c r="BK111" s="85"/>
      <c r="BL111" s="85"/>
      <c r="BM111" s="85"/>
      <c r="BN111" s="118"/>
      <c r="BO111" s="85"/>
      <c r="BP111" s="166"/>
      <c r="BQ111" s="85"/>
      <c r="BR111" s="151"/>
      <c r="BS111" s="85"/>
      <c r="BT111" s="85"/>
      <c r="BU111" s="85"/>
      <c r="BV111" s="85">
        <v>7.8</v>
      </c>
      <c r="BW111" s="85"/>
      <c r="BX111" s="85"/>
      <c r="BY111" s="85"/>
      <c r="BZ111" s="118"/>
    </row>
    <row r="112" spans="1:79" ht="10.5" thickBot="1">
      <c r="A112" s="131" t="s">
        <v>361</v>
      </c>
      <c r="B112" s="279"/>
      <c r="C112" s="279"/>
      <c r="D112" s="280"/>
      <c r="E112" s="280"/>
      <c r="F112" s="280"/>
      <c r="G112" s="280"/>
      <c r="H112" s="280"/>
      <c r="I112" s="280"/>
      <c r="J112" s="280"/>
      <c r="K112" s="280"/>
      <c r="L112" s="280"/>
      <c r="M112" s="280"/>
      <c r="N112" s="280"/>
      <c r="O112" s="280"/>
      <c r="P112" s="280"/>
      <c r="Q112" s="280"/>
      <c r="R112" s="281"/>
      <c r="S112" s="280"/>
      <c r="T112" s="280"/>
      <c r="U112" s="346">
        <v>49.2</v>
      </c>
      <c r="V112" s="282"/>
      <c r="W112" s="280"/>
      <c r="X112" s="282"/>
      <c r="Y112" s="280"/>
      <c r="Z112" s="282"/>
      <c r="AA112" s="281"/>
      <c r="AB112" s="281"/>
      <c r="AC112" s="283"/>
      <c r="AD112" s="280"/>
      <c r="AE112" s="279"/>
      <c r="AF112" s="280"/>
      <c r="AG112" s="280"/>
      <c r="AH112" s="280"/>
      <c r="AI112" s="280"/>
      <c r="AJ112" s="280"/>
      <c r="AK112" s="280"/>
      <c r="AL112" s="280"/>
      <c r="AM112" s="280"/>
      <c r="AN112" s="280"/>
      <c r="AO112" s="280"/>
      <c r="AP112" s="280"/>
      <c r="AQ112" s="280"/>
      <c r="AR112" s="280"/>
      <c r="AS112" s="280">
        <v>78</v>
      </c>
      <c r="AT112" s="280"/>
      <c r="AU112" s="280"/>
      <c r="AV112" s="280">
        <v>64.5</v>
      </c>
      <c r="AW112" s="280"/>
      <c r="AX112" s="280">
        <v>110.1</v>
      </c>
      <c r="AY112" s="280">
        <v>87.6</v>
      </c>
      <c r="AZ112" s="280"/>
      <c r="BA112" s="280">
        <v>85.4</v>
      </c>
      <c r="BB112" s="280"/>
      <c r="BC112" s="280">
        <v>146.6</v>
      </c>
      <c r="BD112" s="280"/>
      <c r="BE112" s="280"/>
      <c r="BF112" s="280"/>
      <c r="BG112" s="284"/>
      <c r="BH112" s="85"/>
      <c r="BI112" s="279"/>
      <c r="BJ112" s="280"/>
      <c r="BK112" s="280"/>
      <c r="BL112" s="280"/>
      <c r="BM112" s="280"/>
      <c r="BN112" s="284"/>
      <c r="BO112" s="280"/>
      <c r="BP112" s="285"/>
      <c r="BQ112" s="280"/>
      <c r="BR112" s="279"/>
      <c r="BS112" s="280"/>
      <c r="BT112" s="280"/>
      <c r="BU112" s="280"/>
      <c r="BV112" s="280">
        <v>25.31</v>
      </c>
      <c r="BW112" s="280"/>
      <c r="BX112" s="280"/>
      <c r="BY112" s="280"/>
      <c r="BZ112" s="284"/>
    </row>
    <row r="113" spans="1:82" ht="10.5" thickBot="1">
      <c r="A113" s="132" t="s">
        <v>37</v>
      </c>
      <c r="B113" s="170"/>
      <c r="C113" s="172">
        <f>SUM(C114:C122)</f>
        <v>184</v>
      </c>
      <c r="D113" s="121">
        <f>SUM(D114:D122)</f>
        <v>444</v>
      </c>
      <c r="E113" s="121">
        <f>SUM(E114:E122)</f>
        <v>431</v>
      </c>
      <c r="F113" s="120">
        <v>457</v>
      </c>
      <c r="G113" s="120">
        <v>481</v>
      </c>
      <c r="H113" s="121">
        <f t="shared" ref="H113:M113" si="234">SUM(H114:H122)</f>
        <v>680</v>
      </c>
      <c r="I113" s="121">
        <f>SUM(I114:I122)</f>
        <v>936</v>
      </c>
      <c r="J113" s="121">
        <f t="shared" si="234"/>
        <v>1094</v>
      </c>
      <c r="K113" s="121">
        <f t="shared" si="234"/>
        <v>1058</v>
      </c>
      <c r="L113" s="121">
        <f t="shared" si="234"/>
        <v>1085</v>
      </c>
      <c r="M113" s="121">
        <f t="shared" si="234"/>
        <v>1050</v>
      </c>
      <c r="N113" s="121"/>
      <c r="O113" s="121">
        <f t="shared" ref="O113:AC113" si="235">SUM(O114:O122)</f>
        <v>987</v>
      </c>
      <c r="P113" s="121">
        <f t="shared" si="235"/>
        <v>976.8</v>
      </c>
      <c r="Q113" s="121">
        <f t="shared" si="235"/>
        <v>973.70000000000016</v>
      </c>
      <c r="R113" s="121">
        <f>SUM(R114:R122)</f>
        <v>883</v>
      </c>
      <c r="S113" s="121">
        <f t="shared" si="235"/>
        <v>966</v>
      </c>
      <c r="T113" s="121">
        <f t="shared" ref="T113:Z113" si="236">SUM(T114:T122)</f>
        <v>413</v>
      </c>
      <c r="U113" s="347">
        <f>SUM(U114:U122)</f>
        <v>674.30000000000007</v>
      </c>
      <c r="V113" s="121">
        <f t="shared" si="236"/>
        <v>674.1</v>
      </c>
      <c r="W113" s="121">
        <f t="shared" si="236"/>
        <v>641</v>
      </c>
      <c r="X113" s="121">
        <f>SUM(X114:X122)</f>
        <v>755.60000000000014</v>
      </c>
      <c r="Y113" s="121"/>
      <c r="Z113" s="121">
        <f t="shared" si="236"/>
        <v>721.1</v>
      </c>
      <c r="AA113" s="121">
        <f t="shared" si="235"/>
        <v>739</v>
      </c>
      <c r="AB113" s="121">
        <f t="shared" si="235"/>
        <v>987.69999999999993</v>
      </c>
      <c r="AC113" s="123">
        <f t="shared" si="235"/>
        <v>1036</v>
      </c>
      <c r="AD113" s="65"/>
      <c r="AE113" s="340">
        <v>423.21</v>
      </c>
      <c r="AF113" s="339">
        <v>423.4</v>
      </c>
      <c r="AG113" s="339">
        <v>426.3</v>
      </c>
      <c r="AH113" s="122"/>
      <c r="AI113" s="339">
        <v>443.9</v>
      </c>
      <c r="AJ113" s="339">
        <v>638.70000000000005</v>
      </c>
      <c r="AK113" s="121">
        <f>SUM(AK114:AK122)</f>
        <v>640</v>
      </c>
      <c r="AL113" s="121">
        <f>SUM(AL114:AL122)</f>
        <v>683</v>
      </c>
      <c r="AM113" s="122">
        <f>SUM(AM114:AM122)</f>
        <v>406</v>
      </c>
      <c r="AN113" s="122">
        <f>SUM(AN114:AN122)</f>
        <v>392.6</v>
      </c>
      <c r="AO113" s="339">
        <v>461.7</v>
      </c>
      <c r="AP113" s="339">
        <v>508.5</v>
      </c>
      <c r="AQ113" s="339">
        <v>484</v>
      </c>
      <c r="AR113" s="121">
        <f>SUM(AR114:AR126)</f>
        <v>769</v>
      </c>
      <c r="AS113" s="121">
        <f t="shared" ref="AS113:BG113" si="237">SUM(AS114:AS122)</f>
        <v>661</v>
      </c>
      <c r="AT113" s="121">
        <f>SUM(AT114:AT122)</f>
        <v>753.9</v>
      </c>
      <c r="AU113" s="121">
        <f t="shared" si="237"/>
        <v>761</v>
      </c>
      <c r="AV113" s="121">
        <f>SUM(AV114:AV122)</f>
        <v>724.9</v>
      </c>
      <c r="AW113" s="121">
        <f t="shared" si="237"/>
        <v>693</v>
      </c>
      <c r="AX113" s="278">
        <f t="shared" si="237"/>
        <v>917.6</v>
      </c>
      <c r="AY113" s="278">
        <f t="shared" ref="AY113" si="238">SUM(AY114:AY122)</f>
        <v>933.59999999999991</v>
      </c>
      <c r="AZ113" s="121">
        <f t="shared" si="237"/>
        <v>1016</v>
      </c>
      <c r="BA113" s="121">
        <f t="shared" si="237"/>
        <v>984.59999999999991</v>
      </c>
      <c r="BB113" s="121">
        <f>SUM(BB114:BB122)</f>
        <v>891.90000000000009</v>
      </c>
      <c r="BC113" s="121">
        <f>SUM(BC114:BC122)</f>
        <v>964.8</v>
      </c>
      <c r="BD113" s="121">
        <f>SUM(BD114:BD122)</f>
        <v>911.09999999999991</v>
      </c>
      <c r="BE113" s="121">
        <f t="shared" si="237"/>
        <v>1065</v>
      </c>
      <c r="BF113" s="121">
        <f t="shared" si="237"/>
        <v>1066</v>
      </c>
      <c r="BG113" s="123">
        <f t="shared" si="237"/>
        <v>733</v>
      </c>
      <c r="BI113" s="172">
        <f>SUM(BI114:BI122)</f>
        <v>973</v>
      </c>
      <c r="BJ113" s="121">
        <f t="shared" ref="BJ113:BP113" si="239">SUM(BJ114:BJ122)</f>
        <v>1333</v>
      </c>
      <c r="BK113" s="121"/>
      <c r="BL113" s="121">
        <f t="shared" si="239"/>
        <v>2258</v>
      </c>
      <c r="BM113" s="121">
        <f t="shared" si="239"/>
        <v>1687</v>
      </c>
      <c r="BN113" s="123">
        <f t="shared" si="239"/>
        <v>1417</v>
      </c>
      <c r="BO113" s="65"/>
      <c r="BP113" s="174">
        <f t="shared" si="239"/>
        <v>2397</v>
      </c>
      <c r="BQ113" s="45"/>
      <c r="BR113" s="172">
        <f t="shared" ref="BR113:BZ113" si="240">SUM(BR114:BR122)</f>
        <v>143</v>
      </c>
      <c r="BS113" s="121">
        <f t="shared" si="240"/>
        <v>122</v>
      </c>
      <c r="BT113" s="121">
        <f t="shared" si="240"/>
        <v>688</v>
      </c>
      <c r="BU113" s="121">
        <f t="shared" si="240"/>
        <v>611</v>
      </c>
      <c r="BV113" s="121">
        <f>SUM(BV114:BV126)</f>
        <v>576.05000000000007</v>
      </c>
      <c r="BW113" s="121">
        <f t="shared" si="240"/>
        <v>516</v>
      </c>
      <c r="BX113" s="121">
        <f t="shared" si="240"/>
        <v>793</v>
      </c>
      <c r="BY113" s="121">
        <f t="shared" si="240"/>
        <v>710</v>
      </c>
      <c r="BZ113" s="123">
        <f t="shared" si="240"/>
        <v>744</v>
      </c>
      <c r="CA113" s="106">
        <f>SUM(CA114:CA126)</f>
        <v>181</v>
      </c>
    </row>
    <row r="114" spans="1:82">
      <c r="A114" s="128" t="s">
        <v>38</v>
      </c>
      <c r="B114" s="150"/>
      <c r="C114" s="160">
        <v>21</v>
      </c>
      <c r="D114" s="31">
        <v>45</v>
      </c>
      <c r="E114" s="31">
        <v>59</v>
      </c>
      <c r="F114" s="31"/>
      <c r="G114" s="31"/>
      <c r="H114" s="31">
        <v>41</v>
      </c>
      <c r="I114" s="31">
        <v>40</v>
      </c>
      <c r="J114" s="31">
        <v>40</v>
      </c>
      <c r="K114" s="31">
        <v>41</v>
      </c>
      <c r="L114" s="31">
        <v>41</v>
      </c>
      <c r="M114" s="31">
        <v>40</v>
      </c>
      <c r="N114" s="31"/>
      <c r="O114" s="31">
        <v>54</v>
      </c>
      <c r="P114" s="17">
        <v>53.4</v>
      </c>
      <c r="Q114" s="17">
        <v>52.2</v>
      </c>
      <c r="R114" s="31">
        <v>48</v>
      </c>
      <c r="S114" s="31">
        <v>50</v>
      </c>
      <c r="T114" s="31">
        <v>30</v>
      </c>
      <c r="U114" s="31">
        <v>60.3</v>
      </c>
      <c r="V114" s="31">
        <v>60.3</v>
      </c>
      <c r="W114" s="31">
        <v>48</v>
      </c>
      <c r="X114" s="31">
        <v>57.5</v>
      </c>
      <c r="Y114" s="31"/>
      <c r="Z114" s="31">
        <v>45.6</v>
      </c>
      <c r="AA114" s="31">
        <v>46</v>
      </c>
      <c r="AB114" s="31">
        <v>46.5</v>
      </c>
      <c r="AC114" s="119">
        <v>46</v>
      </c>
      <c r="AD114" s="17"/>
      <c r="AE114" s="150"/>
      <c r="AF114" s="17"/>
      <c r="AG114" s="17"/>
      <c r="AH114" s="17"/>
      <c r="AI114" s="17"/>
      <c r="AJ114" s="17"/>
      <c r="AK114" s="109">
        <v>55</v>
      </c>
      <c r="AL114" s="17">
        <v>48</v>
      </c>
      <c r="AM114" s="109">
        <v>39.799999999999997</v>
      </c>
      <c r="AN114" s="17">
        <v>39.799999999999997</v>
      </c>
      <c r="AO114" s="17"/>
      <c r="AP114" s="17"/>
      <c r="AQ114" s="17"/>
      <c r="AR114" s="109">
        <v>58</v>
      </c>
      <c r="AS114" s="17">
        <v>58</v>
      </c>
      <c r="AT114" s="109">
        <v>61</v>
      </c>
      <c r="AU114" s="17">
        <v>50</v>
      </c>
      <c r="AV114" s="17">
        <v>61</v>
      </c>
      <c r="AW114" s="109">
        <v>52</v>
      </c>
      <c r="AX114" s="17">
        <v>48.6</v>
      </c>
      <c r="AY114" s="17">
        <v>48.3</v>
      </c>
      <c r="AZ114" s="17">
        <v>48</v>
      </c>
      <c r="BA114" s="17">
        <v>46.8</v>
      </c>
      <c r="BB114" s="17">
        <v>41</v>
      </c>
      <c r="BC114" s="17">
        <v>49.8</v>
      </c>
      <c r="BD114" s="17">
        <v>45.5</v>
      </c>
      <c r="BE114" s="17">
        <v>46</v>
      </c>
      <c r="BF114" s="17">
        <v>45</v>
      </c>
      <c r="BG114" s="116">
        <v>35</v>
      </c>
      <c r="BH114" s="17"/>
      <c r="BI114" s="147">
        <v>46</v>
      </c>
      <c r="BJ114" s="148">
        <v>58</v>
      </c>
      <c r="BK114" s="148"/>
      <c r="BL114" s="148">
        <v>152</v>
      </c>
      <c r="BM114" s="148">
        <v>61</v>
      </c>
      <c r="BN114" s="149">
        <v>45</v>
      </c>
      <c r="BO114" s="17"/>
      <c r="BP114" s="164">
        <v>48</v>
      </c>
      <c r="BQ114" s="17"/>
      <c r="BR114" s="147">
        <v>14</v>
      </c>
      <c r="BS114" s="148">
        <v>18</v>
      </c>
      <c r="BT114" s="148">
        <v>68</v>
      </c>
      <c r="BU114" s="148">
        <v>71</v>
      </c>
      <c r="BV114" s="148">
        <v>62.75</v>
      </c>
      <c r="BW114" s="148">
        <v>69</v>
      </c>
      <c r="BX114" s="148">
        <v>79</v>
      </c>
      <c r="BY114" s="148">
        <v>83</v>
      </c>
      <c r="BZ114" s="149">
        <v>86</v>
      </c>
      <c r="CA114" s="97">
        <v>29</v>
      </c>
    </row>
    <row r="115" spans="1:82">
      <c r="A115" s="128" t="s">
        <v>54</v>
      </c>
      <c r="B115" s="150"/>
      <c r="C115" s="160">
        <v>37</v>
      </c>
      <c r="D115" s="31">
        <v>107</v>
      </c>
      <c r="E115" s="31">
        <v>90</v>
      </c>
      <c r="F115" s="31"/>
      <c r="G115" s="31"/>
      <c r="H115" s="31">
        <v>101</v>
      </c>
      <c r="I115" s="31">
        <v>103</v>
      </c>
      <c r="J115" s="31">
        <v>98</v>
      </c>
      <c r="K115" s="31">
        <v>97</v>
      </c>
      <c r="L115" s="31">
        <v>100</v>
      </c>
      <c r="M115" s="31">
        <v>98</v>
      </c>
      <c r="N115" s="31"/>
      <c r="O115" s="31">
        <v>122</v>
      </c>
      <c r="P115" s="17">
        <v>137.1</v>
      </c>
      <c r="Q115" s="17">
        <v>127.4</v>
      </c>
      <c r="R115" s="31">
        <v>108</v>
      </c>
      <c r="S115" s="31">
        <v>118</v>
      </c>
      <c r="T115" s="31">
        <v>83</v>
      </c>
      <c r="U115" s="31">
        <v>108</v>
      </c>
      <c r="V115" s="13">
        <v>108</v>
      </c>
      <c r="W115" s="31">
        <v>106</v>
      </c>
      <c r="X115" s="13">
        <v>115</v>
      </c>
      <c r="Y115" s="31"/>
      <c r="Z115" s="13">
        <v>110</v>
      </c>
      <c r="AA115" s="31">
        <v>116</v>
      </c>
      <c r="AB115" s="31">
        <v>140.80000000000001</v>
      </c>
      <c r="AC115" s="119">
        <v>141</v>
      </c>
      <c r="AD115" s="17"/>
      <c r="AE115" s="150"/>
      <c r="AF115" s="17"/>
      <c r="AG115" s="17"/>
      <c r="AH115" s="17"/>
      <c r="AI115" s="17"/>
      <c r="AJ115" s="17"/>
      <c r="AK115" s="109">
        <v>80</v>
      </c>
      <c r="AL115" s="17">
        <v>74</v>
      </c>
      <c r="AM115" s="109">
        <v>73.7</v>
      </c>
      <c r="AN115" s="17">
        <v>73.7</v>
      </c>
      <c r="AO115" s="17"/>
      <c r="AP115" s="17"/>
      <c r="AQ115" s="17"/>
      <c r="AR115" s="109">
        <v>113</v>
      </c>
      <c r="AS115" s="17">
        <v>113</v>
      </c>
      <c r="AT115" s="109">
        <v>161.5</v>
      </c>
      <c r="AU115" s="17">
        <v>130</v>
      </c>
      <c r="AV115" s="17">
        <v>161.5</v>
      </c>
      <c r="AW115" s="109">
        <v>126</v>
      </c>
      <c r="AX115" s="17">
        <v>139.9</v>
      </c>
      <c r="AY115" s="17">
        <v>140.6</v>
      </c>
      <c r="AZ115" s="17">
        <v>118</v>
      </c>
      <c r="BA115" s="17">
        <v>117.8</v>
      </c>
      <c r="BB115" s="17">
        <v>171.6</v>
      </c>
      <c r="BC115" s="17">
        <v>155.6</v>
      </c>
      <c r="BD115" s="17">
        <v>147.19999999999999</v>
      </c>
      <c r="BE115" s="17">
        <v>147</v>
      </c>
      <c r="BF115" s="17">
        <v>142</v>
      </c>
      <c r="BG115" s="116">
        <v>78</v>
      </c>
      <c r="BH115" s="17"/>
      <c r="BI115" s="150">
        <v>112</v>
      </c>
      <c r="BJ115" s="17">
        <v>198</v>
      </c>
      <c r="BK115" s="17"/>
      <c r="BL115" s="17">
        <v>387</v>
      </c>
      <c r="BM115" s="17">
        <v>256</v>
      </c>
      <c r="BN115" s="116">
        <v>303</v>
      </c>
      <c r="BO115" s="17"/>
      <c r="BP115" s="165">
        <v>240</v>
      </c>
      <c r="BQ115" s="17"/>
      <c r="BR115" s="150">
        <v>83</v>
      </c>
      <c r="BS115" s="17">
        <v>55</v>
      </c>
      <c r="BT115" s="17">
        <v>123</v>
      </c>
      <c r="BU115" s="17">
        <v>92</v>
      </c>
      <c r="BV115" s="17">
        <v>104.14</v>
      </c>
      <c r="BW115" s="17">
        <v>104</v>
      </c>
      <c r="BX115" s="17">
        <v>101</v>
      </c>
      <c r="BY115" s="17">
        <v>100</v>
      </c>
      <c r="BZ115" s="116">
        <v>110</v>
      </c>
      <c r="CA115" s="97">
        <v>64</v>
      </c>
    </row>
    <row r="116" spans="1:82">
      <c r="A116" s="134" t="s">
        <v>55</v>
      </c>
      <c r="B116" s="153"/>
      <c r="C116" s="160"/>
      <c r="D116" s="31"/>
      <c r="E116" s="31"/>
      <c r="F116" s="31"/>
      <c r="G116" s="31"/>
      <c r="H116" s="31" t="s">
        <v>117</v>
      </c>
      <c r="I116" s="31">
        <v>156</v>
      </c>
      <c r="J116" s="31">
        <v>200</v>
      </c>
      <c r="K116" s="31">
        <v>162</v>
      </c>
      <c r="L116" s="31">
        <v>169</v>
      </c>
      <c r="M116" s="31">
        <v>164</v>
      </c>
      <c r="N116" s="31"/>
      <c r="O116" s="31">
        <v>153</v>
      </c>
      <c r="P116" s="17">
        <v>110</v>
      </c>
      <c r="Q116" s="17">
        <v>97.5</v>
      </c>
      <c r="R116" s="31">
        <v>57</v>
      </c>
      <c r="S116" s="31">
        <v>54</v>
      </c>
      <c r="T116" s="31"/>
      <c r="U116" s="31"/>
      <c r="V116" s="31" t="s">
        <v>117</v>
      </c>
      <c r="W116" s="31"/>
      <c r="X116" s="31" t="s">
        <v>117</v>
      </c>
      <c r="Y116" s="31"/>
      <c r="Z116" s="31" t="s">
        <v>117</v>
      </c>
      <c r="AA116" s="31"/>
      <c r="AB116" s="31"/>
      <c r="AC116" s="119"/>
      <c r="AE116" s="160"/>
      <c r="AF116" s="31"/>
      <c r="AG116" s="31"/>
      <c r="AH116" s="31"/>
      <c r="AI116" s="31"/>
      <c r="AJ116" s="31"/>
      <c r="AK116" s="334">
        <v>36</v>
      </c>
      <c r="AL116" s="31">
        <v>35</v>
      </c>
      <c r="AM116" s="31" t="s">
        <v>117</v>
      </c>
      <c r="AN116" s="31"/>
      <c r="AO116" s="31"/>
      <c r="AP116" s="31"/>
      <c r="AQ116" s="31"/>
      <c r="AR116" s="31" t="s">
        <v>117</v>
      </c>
      <c r="AS116" s="31"/>
      <c r="AT116" s="31" t="s">
        <v>117</v>
      </c>
      <c r="AU116" s="31"/>
      <c r="AV116" s="31">
        <v>195.9</v>
      </c>
      <c r="AW116" s="31" t="s">
        <v>117</v>
      </c>
      <c r="AX116" s="31">
        <v>121.6</v>
      </c>
      <c r="AY116" s="31">
        <v>120.2</v>
      </c>
      <c r="AZ116" s="31">
        <v>114</v>
      </c>
      <c r="BA116" s="31">
        <v>125</v>
      </c>
      <c r="BB116" s="31">
        <v>112.9</v>
      </c>
      <c r="BC116" s="31">
        <v>122.9</v>
      </c>
      <c r="BD116" s="31">
        <v>126.6</v>
      </c>
      <c r="BE116" s="31">
        <v>127</v>
      </c>
      <c r="BF116" s="31">
        <v>128</v>
      </c>
      <c r="BG116" s="119">
        <v>83</v>
      </c>
      <c r="BH116" s="31"/>
      <c r="BI116" s="160"/>
      <c r="BJ116" s="31">
        <v>95</v>
      </c>
      <c r="BK116" s="31"/>
      <c r="BL116" s="31">
        <v>140</v>
      </c>
      <c r="BM116" s="31">
        <v>141</v>
      </c>
      <c r="BN116" s="119">
        <v>144</v>
      </c>
      <c r="BP116" s="173">
        <v>149</v>
      </c>
      <c r="BQ116" s="31"/>
      <c r="BR116" s="160"/>
      <c r="BS116" s="31"/>
      <c r="BT116" s="31"/>
      <c r="BU116" s="31"/>
      <c r="BV116" s="31"/>
      <c r="BW116" s="31"/>
      <c r="BX116" s="31"/>
      <c r="BY116" s="31">
        <v>52</v>
      </c>
      <c r="BZ116" s="119">
        <v>40</v>
      </c>
      <c r="CA116" s="107"/>
    </row>
    <row r="117" spans="1:82">
      <c r="A117" s="128" t="s">
        <v>56</v>
      </c>
      <c r="B117" s="150"/>
      <c r="C117" s="160">
        <v>58</v>
      </c>
      <c r="D117" s="31">
        <v>173</v>
      </c>
      <c r="E117" s="31">
        <v>124</v>
      </c>
      <c r="F117" s="31"/>
      <c r="G117" s="31"/>
      <c r="H117" s="31">
        <v>229</v>
      </c>
      <c r="I117" s="31">
        <v>244</v>
      </c>
      <c r="J117" s="31">
        <v>240</v>
      </c>
      <c r="K117" s="31">
        <v>241</v>
      </c>
      <c r="L117" s="31">
        <v>237</v>
      </c>
      <c r="M117" s="31">
        <v>236</v>
      </c>
      <c r="N117" s="31"/>
      <c r="O117" s="31">
        <v>201</v>
      </c>
      <c r="P117" s="17">
        <v>209.1</v>
      </c>
      <c r="Q117" s="17">
        <v>214.1</v>
      </c>
      <c r="R117" s="13">
        <v>176</v>
      </c>
      <c r="S117" s="31">
        <v>189</v>
      </c>
      <c r="T117" s="31">
        <v>75</v>
      </c>
      <c r="U117" s="31">
        <v>225.2</v>
      </c>
      <c r="V117" s="13">
        <v>225</v>
      </c>
      <c r="W117" s="31">
        <v>226</v>
      </c>
      <c r="X117" s="13">
        <v>274.60000000000002</v>
      </c>
      <c r="Y117" s="31"/>
      <c r="Z117" s="13">
        <v>278</v>
      </c>
      <c r="AA117" s="13">
        <v>170</v>
      </c>
      <c r="AB117" s="13">
        <v>200.1</v>
      </c>
      <c r="AC117" s="117">
        <v>202</v>
      </c>
      <c r="AD117" s="17"/>
      <c r="AE117" s="160"/>
      <c r="AF117" s="31"/>
      <c r="AG117" s="31"/>
      <c r="AH117" s="31"/>
      <c r="AI117" s="31"/>
      <c r="AJ117" s="31"/>
      <c r="AK117" s="334">
        <v>157</v>
      </c>
      <c r="AL117" s="31">
        <v>155</v>
      </c>
      <c r="AM117" s="334">
        <v>139</v>
      </c>
      <c r="AN117" s="31">
        <v>127.2</v>
      </c>
      <c r="AO117" s="31"/>
      <c r="AP117" s="31"/>
      <c r="AQ117" s="31"/>
      <c r="AR117" s="334">
        <v>140</v>
      </c>
      <c r="AS117" s="31">
        <v>140</v>
      </c>
      <c r="AT117" s="334">
        <v>143</v>
      </c>
      <c r="AU117" s="31">
        <v>168</v>
      </c>
      <c r="AV117" s="31">
        <v>143</v>
      </c>
      <c r="AW117" s="334">
        <v>162</v>
      </c>
      <c r="AX117" s="31">
        <v>187.6</v>
      </c>
      <c r="AY117" s="31">
        <v>199.8</v>
      </c>
      <c r="AZ117" s="31">
        <v>176</v>
      </c>
      <c r="BA117" s="31">
        <v>195.5</v>
      </c>
      <c r="BB117" s="31">
        <v>208.4</v>
      </c>
      <c r="BC117" s="31">
        <v>224</v>
      </c>
      <c r="BD117" s="31">
        <v>223.8</v>
      </c>
      <c r="BE117" s="31">
        <v>181</v>
      </c>
      <c r="BF117" s="31">
        <v>225</v>
      </c>
      <c r="BG117" s="119">
        <v>162</v>
      </c>
      <c r="BH117" s="31"/>
      <c r="BI117" s="160">
        <v>224</v>
      </c>
      <c r="BJ117" s="31">
        <v>159</v>
      </c>
      <c r="BK117" s="31"/>
      <c r="BL117" s="31">
        <v>441</v>
      </c>
      <c r="BM117" s="31">
        <v>276</v>
      </c>
      <c r="BN117" s="119">
        <v>207</v>
      </c>
      <c r="BO117" s="17"/>
      <c r="BP117" s="173">
        <v>305</v>
      </c>
      <c r="BQ117" s="31"/>
      <c r="BR117" s="160">
        <v>2</v>
      </c>
      <c r="BS117" s="31">
        <v>3</v>
      </c>
      <c r="BT117" s="31">
        <v>165</v>
      </c>
      <c r="BU117" s="31">
        <v>207</v>
      </c>
      <c r="BV117" s="31">
        <v>196.62</v>
      </c>
      <c r="BW117" s="31">
        <v>192</v>
      </c>
      <c r="BX117" s="31">
        <v>229</v>
      </c>
      <c r="BY117" s="31">
        <v>223</v>
      </c>
      <c r="BZ117" s="119">
        <v>195</v>
      </c>
      <c r="CA117" s="107">
        <v>11</v>
      </c>
    </row>
    <row r="118" spans="1:82" ht="20">
      <c r="A118" s="135" t="s">
        <v>481</v>
      </c>
      <c r="B118" s="273"/>
      <c r="C118" s="160"/>
      <c r="D118" s="389"/>
      <c r="E118" s="345">
        <v>66</v>
      </c>
      <c r="F118" s="31"/>
      <c r="G118" s="31"/>
      <c r="H118" s="31">
        <v>74</v>
      </c>
      <c r="I118" s="31">
        <v>74</v>
      </c>
      <c r="J118" s="31">
        <v>134</v>
      </c>
      <c r="K118" s="31">
        <v>130</v>
      </c>
      <c r="L118" s="31">
        <v>157</v>
      </c>
      <c r="M118" s="31">
        <v>134</v>
      </c>
      <c r="N118" s="31"/>
      <c r="O118" s="31">
        <v>153</v>
      </c>
      <c r="P118" s="31">
        <v>146</v>
      </c>
      <c r="Q118" s="31">
        <v>151.1</v>
      </c>
      <c r="R118" s="13">
        <v>163</v>
      </c>
      <c r="S118" s="31">
        <v>161</v>
      </c>
      <c r="T118" s="31"/>
      <c r="U118" s="31">
        <v>62</v>
      </c>
      <c r="V118" s="13">
        <v>62</v>
      </c>
      <c r="W118" s="31">
        <v>60</v>
      </c>
      <c r="X118" s="13">
        <v>80.2</v>
      </c>
      <c r="Y118" s="31"/>
      <c r="Z118" s="13">
        <v>35</v>
      </c>
      <c r="AA118" s="13">
        <v>124</v>
      </c>
      <c r="AB118" s="13">
        <v>144.4</v>
      </c>
      <c r="AC118" s="117">
        <v>146</v>
      </c>
      <c r="AD118" s="50"/>
      <c r="AE118" s="160"/>
      <c r="AF118" s="31"/>
      <c r="AG118" s="31"/>
      <c r="AH118" s="31"/>
      <c r="AI118" s="31"/>
      <c r="AJ118" s="31"/>
      <c r="AK118" s="276"/>
      <c r="AL118" s="31">
        <v>61</v>
      </c>
      <c r="AM118" s="276"/>
      <c r="AN118" s="31"/>
      <c r="AO118" s="31"/>
      <c r="AP118" s="31"/>
      <c r="AQ118" s="31"/>
      <c r="AR118" s="276"/>
      <c r="AS118" s="276"/>
      <c r="AT118" s="276"/>
      <c r="AU118" s="31">
        <v>113</v>
      </c>
      <c r="AV118" s="31"/>
      <c r="AW118" s="31"/>
      <c r="AX118" s="31"/>
      <c r="AY118" s="31"/>
      <c r="AZ118" s="31">
        <v>152</v>
      </c>
      <c r="BA118" s="31">
        <v>131.69999999999999</v>
      </c>
      <c r="BB118" s="31"/>
      <c r="BC118" s="31"/>
      <c r="BD118" s="31"/>
      <c r="BE118" s="31">
        <v>164</v>
      </c>
      <c r="BF118" s="31">
        <v>164</v>
      </c>
      <c r="BG118" s="119">
        <v>118</v>
      </c>
      <c r="BH118" s="31"/>
      <c r="BI118" s="390"/>
      <c r="BJ118" s="31">
        <v>205</v>
      </c>
      <c r="BK118" s="31"/>
      <c r="BL118" s="31">
        <v>393</v>
      </c>
      <c r="BM118" s="31">
        <v>355</v>
      </c>
      <c r="BN118" s="119">
        <v>292</v>
      </c>
      <c r="BO118" s="50"/>
      <c r="BP118" s="173">
        <v>475</v>
      </c>
      <c r="BQ118" s="31"/>
      <c r="BR118" s="160"/>
      <c r="BS118" s="31"/>
      <c r="BT118" s="31"/>
      <c r="BU118" s="31"/>
      <c r="BV118" s="31">
        <v>72.739999999999995</v>
      </c>
      <c r="BW118" s="31"/>
      <c r="BX118" s="31"/>
      <c r="BY118" s="31"/>
      <c r="BZ118" s="119"/>
      <c r="CA118" s="107"/>
    </row>
    <row r="119" spans="1:82">
      <c r="A119" s="134" t="s">
        <v>227</v>
      </c>
      <c r="B119" s="153"/>
      <c r="C119" s="153"/>
      <c r="I119" s="13">
        <v>267</v>
      </c>
      <c r="J119" s="13">
        <v>328</v>
      </c>
      <c r="K119" s="13">
        <v>313</v>
      </c>
      <c r="L119" s="13">
        <v>321</v>
      </c>
      <c r="M119" s="13">
        <v>320</v>
      </c>
      <c r="O119" s="13">
        <v>221</v>
      </c>
      <c r="P119" s="31">
        <v>183.2</v>
      </c>
      <c r="Q119" s="31">
        <v>203.1</v>
      </c>
      <c r="R119" s="13">
        <v>246</v>
      </c>
      <c r="S119" s="13">
        <v>292</v>
      </c>
      <c r="U119" s="13">
        <v>177.2</v>
      </c>
      <c r="V119" s="13">
        <v>177.2</v>
      </c>
      <c r="W119" s="13">
        <v>158</v>
      </c>
      <c r="X119" s="13">
        <v>146.6</v>
      </c>
      <c r="Z119" s="13">
        <v>204.9</v>
      </c>
      <c r="AA119" s="13">
        <v>206</v>
      </c>
      <c r="AB119" s="13">
        <v>333.5</v>
      </c>
      <c r="AC119" s="117">
        <v>378</v>
      </c>
      <c r="AE119" s="160"/>
      <c r="AF119" s="31"/>
      <c r="AG119" s="31"/>
      <c r="AH119" s="31"/>
      <c r="AI119" s="31"/>
      <c r="AJ119" s="31"/>
      <c r="AK119" s="334">
        <v>230</v>
      </c>
      <c r="AL119" s="31">
        <v>225</v>
      </c>
      <c r="AM119" s="31" t="s">
        <v>151</v>
      </c>
      <c r="AN119" s="31"/>
      <c r="AO119" s="31"/>
      <c r="AP119" s="31"/>
      <c r="AQ119" s="31"/>
      <c r="AR119" s="334">
        <v>155</v>
      </c>
      <c r="AS119" s="306">
        <v>155</v>
      </c>
      <c r="AT119" s="334">
        <v>162.5</v>
      </c>
      <c r="AU119" s="31">
        <v>237</v>
      </c>
      <c r="AV119" s="306">
        <v>162.5</v>
      </c>
      <c r="AW119" s="334">
        <v>223</v>
      </c>
      <c r="AX119" s="31">
        <v>336</v>
      </c>
      <c r="AY119" s="31">
        <v>329.4</v>
      </c>
      <c r="AZ119" s="31">
        <v>347</v>
      </c>
      <c r="BA119" s="31">
        <v>310.3</v>
      </c>
      <c r="BB119" s="31">
        <v>288.8</v>
      </c>
      <c r="BC119" s="31">
        <v>341.6</v>
      </c>
      <c r="BD119" s="31">
        <v>313.60000000000002</v>
      </c>
      <c r="BE119" s="31">
        <v>332</v>
      </c>
      <c r="BF119" s="31">
        <v>302</v>
      </c>
      <c r="BG119" s="119">
        <v>216</v>
      </c>
      <c r="BH119" s="31"/>
      <c r="BI119" s="160"/>
      <c r="BJ119" s="31">
        <v>246</v>
      </c>
      <c r="BK119" s="31"/>
      <c r="BL119" s="31">
        <v>587</v>
      </c>
      <c r="BM119" s="31">
        <v>471</v>
      </c>
      <c r="BN119" s="119">
        <v>363</v>
      </c>
      <c r="BP119" s="173">
        <v>938</v>
      </c>
      <c r="BQ119" s="31"/>
      <c r="BR119" s="160"/>
      <c r="BS119" s="31"/>
      <c r="BT119" s="31"/>
      <c r="BU119" s="31"/>
      <c r="BV119" s="391"/>
      <c r="BW119" s="31"/>
      <c r="BX119" s="31"/>
      <c r="BY119" s="31">
        <v>24</v>
      </c>
      <c r="BZ119" s="119">
        <v>38</v>
      </c>
      <c r="CA119" s="107"/>
    </row>
    <row r="120" spans="1:82">
      <c r="A120" s="134" t="s">
        <v>58</v>
      </c>
      <c r="B120" s="153"/>
      <c r="C120" s="153">
        <v>68</v>
      </c>
      <c r="D120" s="13">
        <v>119</v>
      </c>
      <c r="E120" s="183">
        <f>158-66</f>
        <v>92</v>
      </c>
      <c r="H120" s="13">
        <v>235</v>
      </c>
      <c r="I120" s="13">
        <v>52</v>
      </c>
      <c r="J120" s="13">
        <v>54</v>
      </c>
      <c r="K120" s="13">
        <v>74</v>
      </c>
      <c r="L120" s="13">
        <v>60</v>
      </c>
      <c r="M120" s="13">
        <v>58</v>
      </c>
      <c r="O120" s="13">
        <v>83</v>
      </c>
      <c r="P120" s="31">
        <v>103.2</v>
      </c>
      <c r="Q120" s="31">
        <v>115.2</v>
      </c>
      <c r="R120" s="13">
        <v>85</v>
      </c>
      <c r="S120" s="13">
        <v>102</v>
      </c>
      <c r="T120" s="13">
        <v>225</v>
      </c>
      <c r="U120" s="13">
        <v>41.6</v>
      </c>
      <c r="V120" s="13">
        <v>41.6</v>
      </c>
      <c r="W120" s="13">
        <v>43</v>
      </c>
      <c r="X120" s="13">
        <v>50.7</v>
      </c>
      <c r="Z120" s="13">
        <v>47.6</v>
      </c>
      <c r="AA120" s="13">
        <v>62</v>
      </c>
      <c r="AB120" s="13">
        <v>86.5</v>
      </c>
      <c r="AC120" s="117">
        <v>93</v>
      </c>
      <c r="AE120" s="160"/>
      <c r="AF120" s="31"/>
      <c r="AG120" s="31"/>
      <c r="AH120" s="31"/>
      <c r="AI120" s="31"/>
      <c r="AJ120" s="31"/>
      <c r="AK120" s="334">
        <v>56</v>
      </c>
      <c r="AL120" s="31">
        <v>85</v>
      </c>
      <c r="AM120" s="334">
        <v>143.80000000000001</v>
      </c>
      <c r="AN120" s="31">
        <v>143.80000000000001</v>
      </c>
      <c r="AO120" s="31"/>
      <c r="AP120" s="31"/>
      <c r="AQ120" s="31"/>
      <c r="AR120" s="334">
        <v>183</v>
      </c>
      <c r="AS120" s="31">
        <v>172</v>
      </c>
      <c r="AT120" s="334">
        <v>195.9</v>
      </c>
      <c r="AU120" s="31">
        <v>63</v>
      </c>
      <c r="AV120" s="31"/>
      <c r="AW120" s="334">
        <v>80</v>
      </c>
      <c r="AX120" s="31">
        <v>83.9</v>
      </c>
      <c r="AY120" s="31">
        <v>95.3</v>
      </c>
      <c r="AZ120" s="31">
        <v>61</v>
      </c>
      <c r="BA120" s="31">
        <v>57.5</v>
      </c>
      <c r="BB120" s="31">
        <v>69.2</v>
      </c>
      <c r="BC120" s="31">
        <v>70.900000000000006</v>
      </c>
      <c r="BD120" s="31">
        <v>54.4</v>
      </c>
      <c r="BE120" s="31">
        <v>68</v>
      </c>
      <c r="BF120" s="31">
        <v>60</v>
      </c>
      <c r="BG120" s="119">
        <v>41</v>
      </c>
      <c r="BH120" s="31"/>
      <c r="BI120" s="160">
        <v>591</v>
      </c>
      <c r="BJ120" s="31">
        <v>372</v>
      </c>
      <c r="BK120" s="31"/>
      <c r="BL120" s="31">
        <v>144</v>
      </c>
      <c r="BM120" s="31">
        <v>127</v>
      </c>
      <c r="BN120" s="119">
        <v>55</v>
      </c>
      <c r="BP120" s="173">
        <v>182</v>
      </c>
      <c r="BQ120" s="31"/>
      <c r="BR120" s="160">
        <v>44</v>
      </c>
      <c r="BS120" s="31">
        <v>46</v>
      </c>
      <c r="BT120" s="31">
        <v>332</v>
      </c>
      <c r="BU120" s="31">
        <v>241</v>
      </c>
      <c r="BV120" s="303">
        <f>71.2+6.17+45.72</f>
        <v>123.09</v>
      </c>
      <c r="BW120" s="31">
        <v>151</v>
      </c>
      <c r="BX120" s="31">
        <v>384</v>
      </c>
      <c r="BY120" s="31">
        <v>228</v>
      </c>
      <c r="BZ120" s="119">
        <v>275</v>
      </c>
      <c r="CA120" s="107">
        <v>77</v>
      </c>
    </row>
    <row r="121" spans="1:82">
      <c r="A121" s="134" t="s">
        <v>200</v>
      </c>
      <c r="B121" s="153"/>
      <c r="C121" s="153"/>
      <c r="P121" s="13">
        <v>34.799999999999997</v>
      </c>
      <c r="Q121" s="13">
        <v>13.1</v>
      </c>
      <c r="AB121" s="13">
        <v>5.9</v>
      </c>
      <c r="AC121" s="117"/>
      <c r="AE121" s="153"/>
      <c r="BG121" s="117"/>
      <c r="BI121" s="153"/>
      <c r="BL121" s="13">
        <v>14</v>
      </c>
      <c r="BN121" s="117">
        <v>8</v>
      </c>
      <c r="BP121" s="168">
        <v>60</v>
      </c>
      <c r="BR121" s="153"/>
      <c r="BV121" s="391">
        <v>3.96</v>
      </c>
      <c r="BZ121" s="117"/>
      <c r="CA121" s="98"/>
    </row>
    <row r="122" spans="1:82">
      <c r="A122" s="134" t="s">
        <v>156</v>
      </c>
      <c r="B122" s="153"/>
      <c r="C122" s="153"/>
      <c r="V122" s="13" t="s">
        <v>117</v>
      </c>
      <c r="X122" s="13">
        <v>31</v>
      </c>
      <c r="Z122" s="13" t="s">
        <v>117</v>
      </c>
      <c r="AA122" s="13">
        <v>15</v>
      </c>
      <c r="AB122" s="13">
        <v>30</v>
      </c>
      <c r="AC122" s="117">
        <v>30</v>
      </c>
      <c r="AE122" s="160"/>
      <c r="AF122" s="31"/>
      <c r="AG122" s="31"/>
      <c r="AH122" s="31"/>
      <c r="AI122" s="31"/>
      <c r="AJ122" s="31"/>
      <c r="AK122" s="334">
        <v>26</v>
      </c>
      <c r="AL122" s="31"/>
      <c r="AM122" s="334">
        <v>9.6999999999999993</v>
      </c>
      <c r="AN122" s="31">
        <v>8.1</v>
      </c>
      <c r="AO122" s="31"/>
      <c r="AP122" s="31"/>
      <c r="AQ122" s="31"/>
      <c r="AR122" s="344">
        <v>30</v>
      </c>
      <c r="AS122" s="31">
        <f>SUM(AS123:AS126)</f>
        <v>23</v>
      </c>
      <c r="AT122" s="334">
        <v>30</v>
      </c>
      <c r="AU122" s="31"/>
      <c r="AV122" s="31">
        <f t="shared" ref="AV122" si="241">SUM(AV123:AV126)</f>
        <v>1</v>
      </c>
      <c r="AW122" s="344">
        <f>42+8</f>
        <v>50</v>
      </c>
      <c r="AX122" s="31"/>
      <c r="AY122" s="31"/>
      <c r="AZ122" s="31"/>
      <c r="BA122" s="31"/>
      <c r="BB122" s="31"/>
      <c r="BC122" s="31"/>
      <c r="BD122" s="31"/>
      <c r="BE122" s="31"/>
      <c r="BF122" s="31"/>
      <c r="BG122" s="119"/>
      <c r="BH122" s="31"/>
      <c r="BI122" s="160"/>
      <c r="BJ122" s="31"/>
      <c r="BK122" s="31"/>
      <c r="BL122" s="31"/>
      <c r="BM122" s="31"/>
      <c r="BN122" s="119"/>
      <c r="BP122" s="173"/>
      <c r="BQ122" s="31"/>
      <c r="BR122" s="160"/>
      <c r="BS122" s="31"/>
      <c r="BT122" s="31"/>
      <c r="BU122" s="31"/>
      <c r="BV122" s="303">
        <v>12.75</v>
      </c>
      <c r="BW122" s="31"/>
      <c r="BX122" s="31"/>
      <c r="BY122" s="31"/>
      <c r="BZ122" s="119"/>
      <c r="CA122" s="107"/>
    </row>
    <row r="123" spans="1:82">
      <c r="A123" s="286" t="s">
        <v>367</v>
      </c>
      <c r="B123" s="153"/>
      <c r="C123" s="153"/>
      <c r="AC123" s="117"/>
      <c r="AE123" s="160"/>
      <c r="AF123" s="31"/>
      <c r="AG123" s="31"/>
      <c r="AH123" s="31"/>
      <c r="AI123" s="31"/>
      <c r="AJ123" s="31"/>
      <c r="AK123" s="31"/>
      <c r="AL123" s="31"/>
      <c r="AM123" s="31"/>
      <c r="AN123" s="31"/>
      <c r="AO123" s="31"/>
      <c r="AP123" s="31"/>
      <c r="AQ123" s="31"/>
      <c r="AR123" s="31"/>
      <c r="AS123" s="31">
        <v>1</v>
      </c>
      <c r="AT123" s="31"/>
      <c r="AU123" s="31"/>
      <c r="AV123" s="31">
        <v>1</v>
      </c>
      <c r="AW123" s="31"/>
      <c r="AX123" s="31"/>
      <c r="AY123" s="31"/>
      <c r="AZ123" s="31"/>
      <c r="BA123" s="31"/>
      <c r="BB123" s="31"/>
      <c r="BC123" s="31"/>
      <c r="BD123" s="31"/>
      <c r="BE123" s="31"/>
      <c r="BF123" s="31"/>
      <c r="BG123" s="119"/>
      <c r="BH123" s="31"/>
      <c r="BI123" s="160"/>
      <c r="BJ123" s="31"/>
      <c r="BK123" s="31"/>
      <c r="BL123" s="31"/>
      <c r="BM123" s="31"/>
      <c r="BN123" s="119"/>
      <c r="BP123" s="173"/>
      <c r="BQ123" s="31"/>
      <c r="BR123" s="160"/>
      <c r="BS123" s="31"/>
      <c r="BT123" s="31"/>
      <c r="BU123" s="31"/>
      <c r="BW123" s="31"/>
      <c r="BX123" s="31"/>
      <c r="BY123" s="31"/>
      <c r="BZ123" s="119"/>
    </row>
    <row r="124" spans="1:82">
      <c r="A124" s="286" t="s">
        <v>368</v>
      </c>
      <c r="B124" s="153"/>
      <c r="C124" s="153"/>
      <c r="AC124" s="117"/>
      <c r="AE124" s="160"/>
      <c r="AF124" s="31"/>
      <c r="AG124" s="31"/>
      <c r="AH124" s="31"/>
      <c r="AI124" s="31"/>
      <c r="AJ124" s="31"/>
      <c r="AK124" s="31"/>
      <c r="AL124" s="31"/>
      <c r="AM124" s="31"/>
      <c r="AN124" s="31"/>
      <c r="AO124" s="31"/>
      <c r="AP124" s="31"/>
      <c r="AQ124" s="31"/>
      <c r="AR124" s="334">
        <v>90</v>
      </c>
      <c r="AS124" s="31">
        <v>22</v>
      </c>
      <c r="AT124" s="31"/>
      <c r="AU124" s="31"/>
      <c r="AV124" s="31"/>
      <c r="AW124" s="31"/>
      <c r="AX124" s="31"/>
      <c r="AY124" s="31"/>
      <c r="AZ124" s="31"/>
      <c r="BA124" s="31"/>
      <c r="BB124" s="31"/>
      <c r="BC124" s="31"/>
      <c r="BD124" s="31"/>
      <c r="BE124" s="31"/>
      <c r="BF124" s="31"/>
      <c r="BG124" s="119"/>
      <c r="BH124" s="31"/>
      <c r="BI124" s="160"/>
      <c r="BJ124" s="31"/>
      <c r="BK124" s="31"/>
      <c r="BL124" s="31"/>
      <c r="BM124" s="31"/>
      <c r="BN124" s="119"/>
      <c r="BP124" s="173"/>
      <c r="BQ124" s="31"/>
      <c r="BR124" s="160"/>
      <c r="BS124" s="31"/>
      <c r="BT124" s="31"/>
      <c r="BU124" s="31"/>
      <c r="BW124" s="31"/>
      <c r="BX124" s="31"/>
      <c r="BY124" s="31"/>
      <c r="BZ124" s="119"/>
    </row>
    <row r="125" spans="1:82" s="309" customFormat="1">
      <c r="A125" s="301" t="s">
        <v>369</v>
      </c>
      <c r="B125" s="302"/>
      <c r="C125" s="302"/>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c r="AB125" s="303"/>
      <c r="AC125" s="304"/>
      <c r="AD125" s="303"/>
      <c r="AE125" s="305"/>
      <c r="AF125" s="306"/>
      <c r="AG125" s="306"/>
      <c r="AH125" s="306"/>
      <c r="AI125" s="306"/>
      <c r="AJ125" s="306"/>
      <c r="AK125" s="306"/>
      <c r="AL125" s="306"/>
      <c r="AM125" s="306"/>
      <c r="AN125" s="31"/>
      <c r="AO125" s="306"/>
      <c r="AP125" s="306"/>
      <c r="AQ125" s="306"/>
      <c r="AR125" s="306"/>
      <c r="AT125" s="306"/>
      <c r="AU125" s="306"/>
      <c r="AW125" s="306"/>
      <c r="AX125" s="306"/>
      <c r="AY125" s="306"/>
      <c r="AZ125" s="306"/>
      <c r="BA125" s="306"/>
      <c r="BB125" s="306"/>
      <c r="BC125" s="306"/>
      <c r="BD125" s="306"/>
      <c r="BE125" s="306"/>
      <c r="BF125" s="306"/>
      <c r="BG125" s="307"/>
      <c r="BH125" s="306"/>
      <c r="BI125" s="305"/>
      <c r="BJ125" s="306"/>
      <c r="BK125" s="306"/>
      <c r="BL125" s="306"/>
      <c r="BM125" s="306"/>
      <c r="BN125" s="307"/>
      <c r="BO125" s="303"/>
      <c r="BP125" s="308"/>
      <c r="BQ125" s="306"/>
      <c r="BR125" s="305"/>
      <c r="BS125" s="306"/>
      <c r="BT125" s="306"/>
      <c r="BU125" s="306"/>
      <c r="BV125" s="303"/>
      <c r="BW125" s="306"/>
      <c r="BX125" s="306"/>
      <c r="BY125" s="306"/>
      <c r="BZ125" s="307"/>
      <c r="CA125" s="13"/>
    </row>
    <row r="126" spans="1:82" ht="10.5" thickBot="1">
      <c r="A126" s="134"/>
      <c r="B126" s="153"/>
      <c r="C126" s="153"/>
      <c r="AC126" s="117"/>
      <c r="AE126" s="172"/>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c r="BE126" s="121"/>
      <c r="BF126" s="121"/>
      <c r="BG126" s="123"/>
      <c r="BH126" s="31"/>
      <c r="BI126" s="172"/>
      <c r="BJ126" s="121"/>
      <c r="BK126" s="121"/>
      <c r="BL126" s="121"/>
      <c r="BM126" s="121"/>
      <c r="BN126" s="123"/>
      <c r="BP126" s="174"/>
      <c r="BQ126" s="31"/>
      <c r="BR126" s="172"/>
      <c r="BS126" s="121"/>
      <c r="BT126" s="121"/>
      <c r="BU126" s="121"/>
      <c r="BW126" s="121"/>
      <c r="BX126" s="121"/>
      <c r="BY126" s="121"/>
      <c r="BZ126" s="123"/>
    </row>
    <row r="127" spans="1:82" ht="10.5" thickBot="1">
      <c r="A127" s="136" t="s">
        <v>6</v>
      </c>
      <c r="B127" s="143"/>
      <c r="C127" s="143">
        <f t="shared" ref="C127:M127" si="242">C67+C92+C113</f>
        <v>2194</v>
      </c>
      <c r="D127" s="111">
        <f t="shared" si="242"/>
        <v>4315</v>
      </c>
      <c r="E127" s="111">
        <f t="shared" si="242"/>
        <v>4358</v>
      </c>
      <c r="F127" s="111">
        <f t="shared" si="242"/>
        <v>4483</v>
      </c>
      <c r="G127" s="111">
        <f t="shared" si="242"/>
        <v>4713</v>
      </c>
      <c r="H127" s="111">
        <f t="shared" si="242"/>
        <v>6069</v>
      </c>
      <c r="I127" s="111">
        <f>I67+I92+I113</f>
        <v>6127</v>
      </c>
      <c r="J127" s="111">
        <f t="shared" si="242"/>
        <v>6566</v>
      </c>
      <c r="K127" s="111">
        <f t="shared" si="242"/>
        <v>6367</v>
      </c>
      <c r="L127" s="111">
        <f t="shared" si="242"/>
        <v>6485</v>
      </c>
      <c r="M127" s="111">
        <f t="shared" si="242"/>
        <v>6386</v>
      </c>
      <c r="N127" s="111">
        <v>6206</v>
      </c>
      <c r="O127" s="111">
        <f t="shared" ref="O127:Z127" si="243">O67+O92+O113</f>
        <v>9637</v>
      </c>
      <c r="P127" s="111">
        <f t="shared" si="243"/>
        <v>9956.7000000000007</v>
      </c>
      <c r="Q127" s="111">
        <f t="shared" si="243"/>
        <v>10198.700000000001</v>
      </c>
      <c r="R127" s="111">
        <f t="shared" si="243"/>
        <v>6988</v>
      </c>
      <c r="S127" s="111">
        <f t="shared" si="243"/>
        <v>7050</v>
      </c>
      <c r="T127" s="111">
        <f t="shared" si="243"/>
        <v>4232</v>
      </c>
      <c r="U127" s="111">
        <f>U67+U92+U113</f>
        <v>5523.2</v>
      </c>
      <c r="V127" s="111">
        <f t="shared" si="243"/>
        <v>4904.7</v>
      </c>
      <c r="W127" s="111">
        <f t="shared" si="243"/>
        <v>5363</v>
      </c>
      <c r="X127" s="111">
        <f>X67+X92+X113</f>
        <v>5030.2000000000007</v>
      </c>
      <c r="Y127" s="111"/>
      <c r="Z127" s="111">
        <f t="shared" si="243"/>
        <v>4927.1000000000004</v>
      </c>
      <c r="AA127" s="111">
        <f>AA67+AA92+AA113</f>
        <v>6188</v>
      </c>
      <c r="AB127" s="111">
        <f>AB67+AB92+AB113</f>
        <v>6693.7</v>
      </c>
      <c r="AC127" s="124">
        <f>AC67+AC92+AC113</f>
        <v>6856</v>
      </c>
      <c r="AD127" s="78"/>
      <c r="AE127" s="341">
        <f>AE67+AE92+AE113</f>
        <v>3721.55</v>
      </c>
      <c r="AF127" s="342">
        <f>AF67+AF92+AF113</f>
        <v>3783.0000000000005</v>
      </c>
      <c r="AG127" s="342">
        <f>AG67+AG92+AG113</f>
        <v>3785.1000000000004</v>
      </c>
      <c r="AH127" s="342">
        <v>4131.2</v>
      </c>
      <c r="AI127" s="342">
        <f t="shared" ref="AI127:BG127" si="244">AI67+AI92+AI113</f>
        <v>4149.8</v>
      </c>
      <c r="AJ127" s="342">
        <f t="shared" si="244"/>
        <v>4765.3</v>
      </c>
      <c r="AK127" s="342">
        <f t="shared" si="244"/>
        <v>4732</v>
      </c>
      <c r="AL127" s="111">
        <f t="shared" si="244"/>
        <v>4870</v>
      </c>
      <c r="AM127" s="111">
        <f t="shared" si="244"/>
        <v>3743.5999999999995</v>
      </c>
      <c r="AN127" s="111">
        <v>3751</v>
      </c>
      <c r="AO127" s="342">
        <f t="shared" si="244"/>
        <v>4019.7</v>
      </c>
      <c r="AP127" s="342">
        <f t="shared" si="244"/>
        <v>4282</v>
      </c>
      <c r="AQ127" s="342">
        <f t="shared" si="244"/>
        <v>4268.2</v>
      </c>
      <c r="AR127" s="343">
        <f t="shared" si="244"/>
        <v>5426</v>
      </c>
      <c r="AS127" s="111">
        <f t="shared" si="244"/>
        <v>5293</v>
      </c>
      <c r="AT127" s="342">
        <f>AT67+AT92+AT113</f>
        <v>5778.9</v>
      </c>
      <c r="AU127" s="111">
        <f t="shared" si="244"/>
        <v>5798</v>
      </c>
      <c r="AV127" s="111">
        <f>AV67+AV92+AV113</f>
        <v>5778.9</v>
      </c>
      <c r="AW127" s="111">
        <f t="shared" si="244"/>
        <v>5338</v>
      </c>
      <c r="AX127" s="111">
        <f t="shared" si="244"/>
        <v>8752.4</v>
      </c>
      <c r="AY127" s="111">
        <f t="shared" si="244"/>
        <v>8823</v>
      </c>
      <c r="AZ127" s="156">
        <f t="shared" si="244"/>
        <v>9272</v>
      </c>
      <c r="BA127" s="111">
        <f t="shared" si="244"/>
        <v>9241.8000000000011</v>
      </c>
      <c r="BB127" s="111">
        <f t="shared" si="244"/>
        <v>8951.1</v>
      </c>
      <c r="BC127" s="111">
        <f t="shared" si="244"/>
        <v>9023</v>
      </c>
      <c r="BD127" s="111">
        <f t="shared" si="244"/>
        <v>9078.7999999999993</v>
      </c>
      <c r="BE127" s="111">
        <f t="shared" si="244"/>
        <v>9182</v>
      </c>
      <c r="BF127" s="111">
        <f t="shared" si="244"/>
        <v>9224</v>
      </c>
      <c r="BG127" s="124">
        <f t="shared" si="244"/>
        <v>7038</v>
      </c>
      <c r="BI127" s="143">
        <f>BI67+BI92+BI113</f>
        <v>5106</v>
      </c>
      <c r="BJ127" s="111">
        <f>BJ67+BJ92+BJ113</f>
        <v>6453</v>
      </c>
      <c r="BK127" s="111"/>
      <c r="BL127" s="111">
        <f>BL67+BL92+BL113</f>
        <v>12072</v>
      </c>
      <c r="BM127" s="111">
        <f>BM67+BM92+BM113</f>
        <v>10744</v>
      </c>
      <c r="BN127" s="124">
        <f>BN67+BN92+BN113</f>
        <v>10159</v>
      </c>
      <c r="BO127" s="78"/>
      <c r="BP127" s="175">
        <f>BP67+BP92+BP113</f>
        <v>10964</v>
      </c>
      <c r="BQ127" s="78"/>
      <c r="BR127" s="143">
        <f t="shared" ref="BR127:BZ127" si="245">BR67+BR92+BR113</f>
        <v>1708</v>
      </c>
      <c r="BS127" s="111">
        <f t="shared" si="245"/>
        <v>1268</v>
      </c>
      <c r="BT127" s="111">
        <f t="shared" si="245"/>
        <v>3017</v>
      </c>
      <c r="BU127" s="111">
        <f t="shared" si="245"/>
        <v>3314</v>
      </c>
      <c r="BV127" s="111">
        <f>BV67+BV92+BV113</f>
        <v>3546.67</v>
      </c>
      <c r="BW127" s="111">
        <f t="shared" si="245"/>
        <v>3164</v>
      </c>
      <c r="BX127" s="111">
        <f t="shared" si="245"/>
        <v>4046</v>
      </c>
      <c r="BY127" s="111">
        <f t="shared" si="245"/>
        <v>4038</v>
      </c>
      <c r="BZ127" s="124">
        <f t="shared" si="245"/>
        <v>4090</v>
      </c>
      <c r="CA127" s="108">
        <f>CA67+CA92+CA113</f>
        <v>1946</v>
      </c>
      <c r="CC127" s="3">
        <v>3481</v>
      </c>
      <c r="CD127" s="3">
        <f>CC127-BV127</f>
        <v>-65.670000000000073</v>
      </c>
    </row>
    <row r="128" spans="1:82" ht="10.5" thickBot="1">
      <c r="A128" s="136" t="s">
        <v>92</v>
      </c>
      <c r="B128" s="143"/>
      <c r="C128" s="143">
        <f>SUM(C129:C139)+C146</f>
        <v>741</v>
      </c>
      <c r="D128" s="111">
        <f t="shared" ref="D128:BR128" si="246">SUM(D129:D139)+D146</f>
        <v>1284</v>
      </c>
      <c r="E128" s="111">
        <f t="shared" si="246"/>
        <v>1173</v>
      </c>
      <c r="F128" s="111">
        <f t="shared" si="246"/>
        <v>1206</v>
      </c>
      <c r="G128" s="111">
        <f>SUM(G129:G139)+G146</f>
        <v>1206</v>
      </c>
      <c r="H128" s="111"/>
      <c r="I128" s="111">
        <f>SUM(I129:I139)+I146</f>
        <v>2300</v>
      </c>
      <c r="J128" s="111"/>
      <c r="K128" s="111"/>
      <c r="L128" s="111"/>
      <c r="M128" s="111"/>
      <c r="N128" s="111"/>
      <c r="O128" s="111">
        <f t="shared" si="246"/>
        <v>3736</v>
      </c>
      <c r="P128" s="111"/>
      <c r="Q128" s="111"/>
      <c r="R128" s="111"/>
      <c r="S128" s="111">
        <f t="shared" si="246"/>
        <v>3069</v>
      </c>
      <c r="T128" s="111">
        <f>SUM(T129:T139)+T146</f>
        <v>1347</v>
      </c>
      <c r="U128" s="111">
        <f>SUM(U129:U139)+U146</f>
        <v>1880.3000000000002</v>
      </c>
      <c r="V128" s="111"/>
      <c r="W128" s="111">
        <f t="shared" si="246"/>
        <v>2042</v>
      </c>
      <c r="X128" s="111"/>
      <c r="Y128" s="111"/>
      <c r="Z128" s="111"/>
      <c r="AA128" s="111"/>
      <c r="AB128" s="111"/>
      <c r="AC128" s="124"/>
      <c r="AD128" s="143"/>
      <c r="AE128" s="341">
        <f t="shared" si="246"/>
        <v>1278</v>
      </c>
      <c r="AF128" s="342">
        <f t="shared" si="246"/>
        <v>1270</v>
      </c>
      <c r="AG128" s="342">
        <f t="shared" si="246"/>
        <v>1270.0999999999999</v>
      </c>
      <c r="AH128" s="342">
        <f t="shared" si="246"/>
        <v>1278</v>
      </c>
      <c r="AI128" s="342">
        <f t="shared" si="246"/>
        <v>1268.7</v>
      </c>
      <c r="AJ128" s="342">
        <f t="shared" si="246"/>
        <v>1753.3</v>
      </c>
      <c r="AK128" s="111"/>
      <c r="AL128" s="111">
        <f>SUM(AL129:AL139)+AL146</f>
        <v>2359</v>
      </c>
      <c r="AM128" s="111"/>
      <c r="AN128" s="111">
        <v>1265</v>
      </c>
      <c r="AO128" s="342">
        <f t="shared" si="246"/>
        <v>1417.2</v>
      </c>
      <c r="AP128" s="342">
        <f t="shared" si="246"/>
        <v>1812.5</v>
      </c>
      <c r="AQ128" s="342">
        <f>SUM(AQ129:AQ139)+AQ146</f>
        <v>1844</v>
      </c>
      <c r="AR128" s="111"/>
      <c r="AS128" s="111">
        <f t="shared" si="246"/>
        <v>1602</v>
      </c>
      <c r="AT128" s="111"/>
      <c r="AU128" s="111">
        <f t="shared" si="246"/>
        <v>2081</v>
      </c>
      <c r="AV128" s="111">
        <f>SUM(AV129:AV139)+AV146</f>
        <v>1647.1000000000001</v>
      </c>
      <c r="AW128" s="111"/>
      <c r="AX128" s="111">
        <f t="shared" si="246"/>
        <v>2390.1999999999998</v>
      </c>
      <c r="AY128" s="111">
        <f t="shared" si="246"/>
        <v>2520.1999999999998</v>
      </c>
      <c r="AZ128" s="111">
        <f t="shared" si="246"/>
        <v>2978</v>
      </c>
      <c r="BA128" s="111">
        <f>SUM(BA129:BA139)+BA146</f>
        <v>3163</v>
      </c>
      <c r="BB128" s="111"/>
      <c r="BC128" s="111">
        <f>SUM(BC129:BC139)+BC146</f>
        <v>2482.6</v>
      </c>
      <c r="BD128" s="111"/>
      <c r="BE128" s="111">
        <f t="shared" si="246"/>
        <v>3081</v>
      </c>
      <c r="BF128" s="111">
        <f t="shared" si="246"/>
        <v>3268</v>
      </c>
      <c r="BG128" s="124">
        <f t="shared" si="246"/>
        <v>2137</v>
      </c>
      <c r="BI128" s="143">
        <f t="shared" si="246"/>
        <v>2437</v>
      </c>
      <c r="BJ128" s="143">
        <f t="shared" si="246"/>
        <v>3209</v>
      </c>
      <c r="BK128" s="143"/>
      <c r="BL128" s="143">
        <f t="shared" si="246"/>
        <v>5857</v>
      </c>
      <c r="BM128" s="143">
        <f t="shared" si="246"/>
        <v>4703</v>
      </c>
      <c r="BN128" s="143">
        <f t="shared" si="246"/>
        <v>5168</v>
      </c>
      <c r="BO128" s="143">
        <f t="shared" si="246"/>
        <v>0</v>
      </c>
      <c r="BP128" s="143">
        <f t="shared" si="246"/>
        <v>5474</v>
      </c>
      <c r="BQ128" s="143">
        <f t="shared" si="246"/>
        <v>0</v>
      </c>
      <c r="BR128" s="143">
        <f t="shared" si="246"/>
        <v>701</v>
      </c>
      <c r="BS128" s="111">
        <f t="shared" ref="BS128:BZ128" si="247">SUM(BS129:BS139)+BS146</f>
        <v>567</v>
      </c>
      <c r="BT128" s="111">
        <f t="shared" si="247"/>
        <v>1107</v>
      </c>
      <c r="BU128" s="111">
        <f t="shared" si="247"/>
        <v>1128</v>
      </c>
      <c r="BV128" s="111">
        <f t="shared" si="247"/>
        <v>1210</v>
      </c>
      <c r="BW128" s="111">
        <f t="shared" si="247"/>
        <v>1048</v>
      </c>
      <c r="BX128" s="111">
        <f t="shared" si="247"/>
        <v>1175</v>
      </c>
      <c r="BY128" s="111">
        <f t="shared" si="247"/>
        <v>1174</v>
      </c>
      <c r="BZ128" s="124">
        <f t="shared" si="247"/>
        <v>1175</v>
      </c>
      <c r="CA128" s="108">
        <f>SUM(CA129:CA139)+CA146</f>
        <v>688</v>
      </c>
    </row>
    <row r="129" spans="1:79">
      <c r="A129" s="134" t="s">
        <v>86</v>
      </c>
      <c r="B129" s="153"/>
      <c r="C129" s="153">
        <v>200</v>
      </c>
      <c r="D129" s="13">
        <v>200</v>
      </c>
      <c r="E129" s="13">
        <v>200</v>
      </c>
      <c r="F129" s="13">
        <v>200</v>
      </c>
      <c r="G129" s="13">
        <v>200</v>
      </c>
      <c r="I129" s="13">
        <v>200</v>
      </c>
      <c r="O129" s="13">
        <v>200</v>
      </c>
      <c r="S129" s="13">
        <v>200</v>
      </c>
      <c r="T129" s="13">
        <v>400</v>
      </c>
      <c r="U129" s="13">
        <v>160</v>
      </c>
      <c r="W129" s="13">
        <v>200</v>
      </c>
      <c r="AC129" s="117"/>
      <c r="AE129" s="336">
        <v>200</v>
      </c>
      <c r="AF129" s="203">
        <v>200</v>
      </c>
      <c r="AG129" s="203">
        <v>200</v>
      </c>
      <c r="AH129" s="203">
        <v>200</v>
      </c>
      <c r="AI129" s="203">
        <v>200</v>
      </c>
      <c r="AJ129" s="203">
        <v>200</v>
      </c>
      <c r="AL129" s="13">
        <v>200</v>
      </c>
      <c r="AN129" s="13">
        <v>200</v>
      </c>
      <c r="AO129" s="203">
        <v>200</v>
      </c>
      <c r="AP129" s="203">
        <v>200</v>
      </c>
      <c r="AQ129" s="203">
        <v>200</v>
      </c>
      <c r="AS129" s="13">
        <v>200</v>
      </c>
      <c r="AU129" s="13">
        <v>200</v>
      </c>
      <c r="AV129" s="13">
        <v>200</v>
      </c>
      <c r="AX129" s="13">
        <v>200</v>
      </c>
      <c r="AY129" s="13">
        <v>200</v>
      </c>
      <c r="AZ129" s="13">
        <v>200</v>
      </c>
      <c r="BA129" s="13">
        <v>200</v>
      </c>
      <c r="BC129" s="13">
        <v>200</v>
      </c>
      <c r="BE129" s="13">
        <v>200</v>
      </c>
      <c r="BF129" s="13">
        <v>200</v>
      </c>
      <c r="BG129" s="117">
        <v>200</v>
      </c>
      <c r="BI129" s="144">
        <v>400</v>
      </c>
      <c r="BJ129" s="113">
        <v>400</v>
      </c>
      <c r="BK129" s="113"/>
      <c r="BL129" s="113">
        <v>200</v>
      </c>
      <c r="BM129" s="113">
        <v>400</v>
      </c>
      <c r="BN129" s="114">
        <v>200</v>
      </c>
      <c r="BP129" s="161">
        <v>600</v>
      </c>
      <c r="BR129" s="144">
        <v>400</v>
      </c>
      <c r="BS129" s="113">
        <v>400</v>
      </c>
      <c r="BT129" s="113">
        <v>400</v>
      </c>
      <c r="BU129" s="113">
        <v>400</v>
      </c>
      <c r="BV129" s="13">
        <v>400</v>
      </c>
      <c r="BW129" s="113">
        <v>400</v>
      </c>
      <c r="BX129" s="113">
        <v>400</v>
      </c>
      <c r="BY129" s="113">
        <v>400</v>
      </c>
      <c r="BZ129" s="114">
        <v>400</v>
      </c>
      <c r="CA129" s="98">
        <v>400</v>
      </c>
    </row>
    <row r="130" spans="1:79">
      <c r="A130" s="134" t="s">
        <v>228</v>
      </c>
      <c r="B130" s="153"/>
      <c r="C130" s="153"/>
      <c r="AC130" s="117"/>
      <c r="AE130" s="336">
        <v>128.69999999999999</v>
      </c>
      <c r="AF130" s="203">
        <v>128</v>
      </c>
      <c r="AG130" s="203">
        <v>128.1</v>
      </c>
      <c r="AH130" s="203">
        <v>128.69999999999999</v>
      </c>
      <c r="AI130" s="203">
        <v>126.7</v>
      </c>
      <c r="AJ130" s="203">
        <v>132.80000000000001</v>
      </c>
      <c r="AO130" s="203">
        <v>86.2</v>
      </c>
      <c r="AP130" s="203">
        <v>89.8</v>
      </c>
      <c r="AQ130" s="203">
        <v>160.69999999999999</v>
      </c>
      <c r="BG130" s="117"/>
      <c r="BI130" s="153"/>
      <c r="BN130" s="117"/>
      <c r="BP130" s="168"/>
      <c r="BR130" s="153"/>
      <c r="BZ130" s="117"/>
      <c r="CA130" s="98"/>
    </row>
    <row r="131" spans="1:79">
      <c r="A131" s="134" t="s">
        <v>87</v>
      </c>
      <c r="B131" s="153"/>
      <c r="C131" s="153">
        <v>30</v>
      </c>
      <c r="D131" s="13">
        <v>92</v>
      </c>
      <c r="E131" s="13">
        <v>68</v>
      </c>
      <c r="F131" s="13">
        <v>75</v>
      </c>
      <c r="G131" s="13">
        <v>75</v>
      </c>
      <c r="I131" s="13">
        <v>135</v>
      </c>
      <c r="O131" s="13">
        <v>215</v>
      </c>
      <c r="S131" s="13">
        <v>94</v>
      </c>
      <c r="T131" s="13">
        <v>45</v>
      </c>
      <c r="U131" s="13">
        <f>55.5</f>
        <v>55.5</v>
      </c>
      <c r="W131" s="13">
        <v>71</v>
      </c>
      <c r="AC131" s="117"/>
      <c r="AE131" s="336">
        <v>68</v>
      </c>
      <c r="AF131" s="203">
        <v>68</v>
      </c>
      <c r="AG131" s="203">
        <v>68</v>
      </c>
      <c r="AH131" s="203">
        <v>68</v>
      </c>
      <c r="AI131" s="203">
        <v>68</v>
      </c>
      <c r="AJ131" s="203">
        <v>68</v>
      </c>
      <c r="AL131" s="13">
        <v>83</v>
      </c>
      <c r="AN131" s="13">
        <v>68</v>
      </c>
      <c r="AO131" s="203">
        <v>68</v>
      </c>
      <c r="AP131" s="203">
        <v>68</v>
      </c>
      <c r="AQ131" s="203">
        <v>68</v>
      </c>
      <c r="AS131" s="13">
        <v>68</v>
      </c>
      <c r="AU131" s="13">
        <v>83</v>
      </c>
      <c r="AV131" s="13">
        <v>68</v>
      </c>
      <c r="AX131" s="13">
        <f>90</f>
        <v>90</v>
      </c>
      <c r="AY131" s="36">
        <f>90</f>
        <v>90</v>
      </c>
      <c r="AZ131" s="36">
        <v>139</v>
      </c>
      <c r="BA131" s="36">
        <f>120</f>
        <v>120</v>
      </c>
      <c r="BC131" s="13">
        <f>97.5</f>
        <v>97.5</v>
      </c>
      <c r="BE131" s="36">
        <v>143</v>
      </c>
      <c r="BF131" s="13">
        <v>193</v>
      </c>
      <c r="BG131" s="117">
        <v>113</v>
      </c>
      <c r="BI131" s="153">
        <v>105</v>
      </c>
      <c r="BJ131" s="13">
        <v>120</v>
      </c>
      <c r="BL131" s="13">
        <v>251</v>
      </c>
      <c r="BM131" s="13">
        <v>278</v>
      </c>
      <c r="BN131" s="117">
        <v>210</v>
      </c>
      <c r="BP131" s="168">
        <v>240</v>
      </c>
      <c r="BR131" s="153">
        <v>31</v>
      </c>
      <c r="BS131" s="13">
        <v>23</v>
      </c>
      <c r="BT131" s="13">
        <v>68</v>
      </c>
      <c r="BU131" s="13">
        <v>72</v>
      </c>
      <c r="BV131" s="13">
        <v>90</v>
      </c>
      <c r="BW131" s="13">
        <v>63</v>
      </c>
      <c r="BX131" s="13">
        <v>77</v>
      </c>
      <c r="BY131" s="13">
        <v>76</v>
      </c>
      <c r="BZ131" s="117">
        <v>77</v>
      </c>
      <c r="CA131" s="98">
        <v>33</v>
      </c>
    </row>
    <row r="132" spans="1:79">
      <c r="A132" s="134" t="s">
        <v>88</v>
      </c>
      <c r="B132" s="153"/>
      <c r="C132" s="153">
        <v>330</v>
      </c>
      <c r="D132" s="13">
        <v>660</v>
      </c>
      <c r="E132" s="13">
        <v>630</v>
      </c>
      <c r="F132" s="13">
        <v>630</v>
      </c>
      <c r="G132" s="13">
        <v>630</v>
      </c>
      <c r="I132" s="13">
        <v>888</v>
      </c>
      <c r="O132" s="13">
        <v>1830</v>
      </c>
      <c r="S132" s="13">
        <v>1614</v>
      </c>
      <c r="T132" s="13">
        <v>540</v>
      </c>
      <c r="U132" s="13">
        <v>624</v>
      </c>
      <c r="W132" s="13">
        <v>720</v>
      </c>
      <c r="AC132" s="117"/>
      <c r="AE132" s="336">
        <v>660</v>
      </c>
      <c r="AF132" s="203">
        <v>660</v>
      </c>
      <c r="AG132" s="203">
        <v>660</v>
      </c>
      <c r="AH132" s="203">
        <v>660</v>
      </c>
      <c r="AI132" s="203">
        <v>660</v>
      </c>
      <c r="AJ132" s="203">
        <v>660</v>
      </c>
      <c r="AL132" s="13">
        <v>960</v>
      </c>
      <c r="AN132" s="13">
        <v>660</v>
      </c>
      <c r="AO132" s="203">
        <v>660</v>
      </c>
      <c r="AP132" s="203">
        <v>660</v>
      </c>
      <c r="AQ132" s="203">
        <v>660</v>
      </c>
      <c r="AS132" s="13">
        <v>660</v>
      </c>
      <c r="AU132" s="13">
        <v>864</v>
      </c>
      <c r="AV132" s="13">
        <v>660</v>
      </c>
      <c r="AX132" s="13">
        <v>1068</v>
      </c>
      <c r="AY132" s="36">
        <v>1068</v>
      </c>
      <c r="AZ132" s="36">
        <v>1404</v>
      </c>
      <c r="BA132" s="36">
        <v>1404</v>
      </c>
      <c r="BC132" s="13">
        <v>1092</v>
      </c>
      <c r="BE132" s="36">
        <v>1500</v>
      </c>
      <c r="BF132" s="13">
        <v>1500</v>
      </c>
      <c r="BG132" s="117">
        <v>1110</v>
      </c>
      <c r="BI132" s="153">
        <v>907</v>
      </c>
      <c r="BJ132" s="13">
        <v>1704</v>
      </c>
      <c r="BL132" s="13">
        <v>2280</v>
      </c>
      <c r="BM132" s="13">
        <v>2130</v>
      </c>
      <c r="BN132" s="117">
        <v>2100</v>
      </c>
      <c r="BP132" s="168">
        <v>2010</v>
      </c>
      <c r="BR132" s="153">
        <v>270</v>
      </c>
      <c r="BS132" s="13">
        <v>144</v>
      </c>
      <c r="BT132" s="13">
        <v>600</v>
      </c>
      <c r="BU132" s="13">
        <v>624</v>
      </c>
      <c r="BV132" s="13">
        <v>720</v>
      </c>
      <c r="BW132" s="13">
        <v>552</v>
      </c>
      <c r="BX132" s="13">
        <v>666</v>
      </c>
      <c r="BY132" s="13">
        <v>666</v>
      </c>
      <c r="BZ132" s="117">
        <v>666</v>
      </c>
      <c r="CA132" s="98">
        <v>255</v>
      </c>
    </row>
    <row r="133" spans="1:79">
      <c r="A133" s="134" t="s">
        <v>339</v>
      </c>
      <c r="B133" s="153"/>
      <c r="C133" s="153"/>
      <c r="AC133" s="117"/>
      <c r="AE133" s="153"/>
      <c r="AX133" s="13">
        <v>88</v>
      </c>
      <c r="AY133" s="13">
        <v>111</v>
      </c>
      <c r="BA133" s="13">
        <v>154</v>
      </c>
      <c r="BC133" s="13">
        <v>89.5</v>
      </c>
      <c r="BG133" s="117"/>
      <c r="BI133" s="153"/>
      <c r="BN133" s="117"/>
      <c r="BP133" s="168"/>
      <c r="BR133" s="153"/>
      <c r="BZ133" s="117"/>
    </row>
    <row r="134" spans="1:79">
      <c r="A134" s="134" t="s">
        <v>366</v>
      </c>
      <c r="B134" s="153"/>
      <c r="C134" s="153"/>
      <c r="AC134" s="117"/>
      <c r="AE134" s="153"/>
      <c r="AY134" s="13">
        <v>75</v>
      </c>
      <c r="BA134" s="13">
        <v>101</v>
      </c>
      <c r="BG134" s="117"/>
      <c r="BI134" s="153"/>
      <c r="BN134" s="117"/>
      <c r="BP134" s="168"/>
      <c r="BR134" s="153"/>
      <c r="BZ134" s="117"/>
    </row>
    <row r="135" spans="1:79">
      <c r="A135" s="134" t="s">
        <v>201</v>
      </c>
      <c r="B135" s="153"/>
      <c r="C135" s="153"/>
      <c r="AC135" s="117"/>
      <c r="AE135" s="153"/>
      <c r="AS135" s="13">
        <v>0</v>
      </c>
      <c r="AV135" s="13">
        <v>0</v>
      </c>
      <c r="AX135" s="13">
        <v>0</v>
      </c>
      <c r="BC135" s="13">
        <v>0</v>
      </c>
      <c r="BG135" s="117"/>
      <c r="BI135" s="153">
        <v>654</v>
      </c>
      <c r="BJ135" s="13">
        <v>500</v>
      </c>
      <c r="BL135" s="13">
        <v>2000</v>
      </c>
      <c r="BM135" s="13">
        <v>1000</v>
      </c>
      <c r="BN135" s="117">
        <v>2000</v>
      </c>
      <c r="BP135" s="168">
        <v>2000</v>
      </c>
      <c r="BR135" s="153"/>
      <c r="BZ135" s="117"/>
      <c r="CA135" s="98"/>
    </row>
    <row r="136" spans="1:79">
      <c r="A136" s="134" t="s">
        <v>290</v>
      </c>
      <c r="B136" s="153"/>
      <c r="C136" s="153"/>
      <c r="F136" s="13">
        <v>112</v>
      </c>
      <c r="G136" s="13">
        <v>112</v>
      </c>
      <c r="AC136" s="117"/>
      <c r="AE136" s="153"/>
      <c r="AN136" s="13">
        <v>112</v>
      </c>
      <c r="AS136" s="13">
        <f>62.3</f>
        <v>62.3</v>
      </c>
      <c r="AV136" s="13">
        <v>113.2</v>
      </c>
      <c r="AX136" s="13">
        <v>122.5</v>
      </c>
      <c r="AY136" s="13">
        <v>146.69999999999999</v>
      </c>
      <c r="BC136" s="13">
        <v>142.5</v>
      </c>
      <c r="BG136" s="117"/>
      <c r="BI136" s="153"/>
      <c r="BN136" s="117"/>
      <c r="BP136" s="168"/>
      <c r="BR136" s="153"/>
      <c r="BZ136" s="117"/>
      <c r="CA136" s="98"/>
    </row>
    <row r="137" spans="1:79">
      <c r="A137" s="134" t="s">
        <v>365</v>
      </c>
      <c r="B137" s="153"/>
      <c r="C137" s="153"/>
      <c r="AC137" s="117"/>
      <c r="AE137" s="153"/>
      <c r="AN137" s="13">
        <v>0</v>
      </c>
      <c r="AS137" s="13">
        <v>3.5</v>
      </c>
      <c r="AV137" s="13">
        <v>4.5</v>
      </c>
      <c r="AX137" s="13">
        <v>4.3</v>
      </c>
      <c r="AY137" s="13">
        <v>4.3</v>
      </c>
      <c r="BA137" s="13">
        <v>4.3</v>
      </c>
      <c r="BC137" s="13">
        <v>3.8</v>
      </c>
      <c r="BG137" s="117"/>
      <c r="BI137" s="153"/>
      <c r="BN137" s="117"/>
      <c r="BP137" s="168"/>
      <c r="BR137" s="153"/>
      <c r="BZ137" s="117"/>
    </row>
    <row r="138" spans="1:79">
      <c r="A138" s="134" t="s">
        <v>376</v>
      </c>
      <c r="B138" s="153"/>
      <c r="C138" s="153"/>
      <c r="F138" s="13">
        <v>15</v>
      </c>
      <c r="G138" s="13">
        <v>15</v>
      </c>
      <c r="AC138" s="117"/>
      <c r="AE138" s="153"/>
      <c r="BG138" s="117"/>
      <c r="BI138" s="153"/>
      <c r="BR138" s="153"/>
      <c r="BZ138" s="117"/>
    </row>
    <row r="139" spans="1:79">
      <c r="A139" s="134" t="s">
        <v>225</v>
      </c>
      <c r="B139" s="153"/>
      <c r="C139" s="153">
        <f>C140+SUM(C143:C145)</f>
        <v>107</v>
      </c>
      <c r="D139" s="13">
        <f t="shared" ref="D139:E139" si="248">D140+SUM(D143:D145)</f>
        <v>189</v>
      </c>
      <c r="E139" s="13">
        <f t="shared" si="248"/>
        <v>189</v>
      </c>
      <c r="F139" s="13">
        <v>174</v>
      </c>
      <c r="G139" s="13">
        <v>174</v>
      </c>
      <c r="I139" s="13">
        <f t="shared" ref="I139" si="249">I140+SUM(I143:I145)</f>
        <v>956</v>
      </c>
      <c r="O139" s="13">
        <f t="shared" ref="O139" si="250">O140+SUM(O143:O145)</f>
        <v>1241</v>
      </c>
      <c r="S139" s="13">
        <f t="shared" ref="S139" si="251">S140+SUM(S143:S145)</f>
        <v>1014</v>
      </c>
      <c r="T139" s="13">
        <f>T140+SUM(T143:T145)</f>
        <v>206</v>
      </c>
      <c r="U139" s="13">
        <f>U140+SUM(U143:U145)</f>
        <v>1025.8000000000002</v>
      </c>
      <c r="W139" s="13">
        <f t="shared" ref="W139" si="252">W140+SUM(W143:W145)</f>
        <v>887</v>
      </c>
      <c r="AA139" s="13" t="s">
        <v>117</v>
      </c>
      <c r="AC139" s="117" t="s">
        <v>117</v>
      </c>
      <c r="AE139" s="336">
        <v>221.3</v>
      </c>
      <c r="AF139" s="203">
        <v>214</v>
      </c>
      <c r="AG139" s="203">
        <v>214</v>
      </c>
      <c r="AH139" s="203">
        <v>221.3</v>
      </c>
      <c r="AI139" s="203">
        <v>214</v>
      </c>
      <c r="AJ139" s="203">
        <v>692.5</v>
      </c>
      <c r="AL139" s="13">
        <f t="shared" ref="AL139" si="253">AL140+SUM(AL143:AL145)</f>
        <v>690</v>
      </c>
      <c r="AN139" s="13">
        <v>207.9</v>
      </c>
      <c r="AO139" s="203">
        <v>403</v>
      </c>
      <c r="AP139" s="13">
        <v>794.7</v>
      </c>
      <c r="AQ139" s="203">
        <v>755.3</v>
      </c>
      <c r="AS139" s="13">
        <f t="shared" ref="AS139:AY139" si="254">AS140+SUM(AS143:AS145)</f>
        <v>546.1</v>
      </c>
      <c r="AU139" s="13">
        <f t="shared" si="254"/>
        <v>882</v>
      </c>
      <c r="AV139" s="13">
        <f t="shared" si="254"/>
        <v>554.20000000000005</v>
      </c>
      <c r="AX139" s="13">
        <f t="shared" si="254"/>
        <v>767.2</v>
      </c>
      <c r="AY139" s="13">
        <f t="shared" si="254"/>
        <v>768.7</v>
      </c>
      <c r="AZ139" s="13">
        <f t="shared" ref="AZ139" si="255">AZ140+SUM(AZ143:AZ145)</f>
        <v>1170</v>
      </c>
      <c r="BA139" s="13">
        <f t="shared" ref="BA139:BC139" si="256">BA140+SUM(BA143:BA145)</f>
        <v>1130.2</v>
      </c>
      <c r="BC139" s="13">
        <f t="shared" si="256"/>
        <v>801.30000000000007</v>
      </c>
      <c r="BE139" s="13">
        <f t="shared" ref="BE139:BF139" si="257">BE140+SUM(BE143:BE145)</f>
        <v>1170</v>
      </c>
      <c r="BF139" s="13">
        <f t="shared" si="257"/>
        <v>1170</v>
      </c>
      <c r="BG139" s="117">
        <f t="shared" ref="BG139" si="258">BG140+SUM(BG143:BG145)</f>
        <v>660</v>
      </c>
      <c r="BI139" s="153">
        <f t="shared" ref="BI139:BN139" si="259">BI140+SUM(BI143:BI145)</f>
        <v>268</v>
      </c>
      <c r="BJ139" s="13">
        <f t="shared" si="259"/>
        <v>400</v>
      </c>
      <c r="BL139" s="13">
        <f t="shared" si="259"/>
        <v>976</v>
      </c>
      <c r="BM139" s="13">
        <f t="shared" si="259"/>
        <v>775</v>
      </c>
      <c r="BN139" s="13">
        <f t="shared" si="259"/>
        <v>508</v>
      </c>
      <c r="BP139" s="13">
        <f t="shared" ref="BP139" si="260">BP140+SUM(BP143:BP145)</f>
        <v>455</v>
      </c>
      <c r="BR139" s="153"/>
      <c r="BZ139" s="117"/>
      <c r="CA139" s="98"/>
    </row>
    <row r="140" spans="1:79">
      <c r="A140" s="137" t="s">
        <v>370</v>
      </c>
      <c r="B140" s="152"/>
      <c r="C140" s="152">
        <f>SUM(C141:C142)</f>
        <v>107</v>
      </c>
      <c r="D140" s="87">
        <f t="shared" ref="D140:E140" si="261">SUM(D141:D142)</f>
        <v>189</v>
      </c>
      <c r="E140" s="87">
        <f t="shared" si="261"/>
        <v>189</v>
      </c>
      <c r="F140" s="87"/>
      <c r="G140" s="87"/>
      <c r="H140" s="87"/>
      <c r="I140" s="87">
        <f t="shared" ref="I140" si="262">SUM(I141:I142)</f>
        <v>956</v>
      </c>
      <c r="J140" s="87"/>
      <c r="K140" s="87"/>
      <c r="L140" s="87"/>
      <c r="M140" s="87"/>
      <c r="N140" s="87"/>
      <c r="O140" s="87">
        <f t="shared" ref="O140" si="263">SUM(O141:O142)</f>
        <v>1241</v>
      </c>
      <c r="P140" s="87"/>
      <c r="Q140" s="87"/>
      <c r="R140" s="87"/>
      <c r="S140" s="87">
        <f t="shared" ref="S140" si="264">SUM(S141:S142)</f>
        <v>1014</v>
      </c>
      <c r="T140" s="87">
        <f>SUM(T141:T142)</f>
        <v>206</v>
      </c>
      <c r="U140" s="87">
        <f>SUM(U141:U142)</f>
        <v>759.2</v>
      </c>
      <c r="V140" s="87"/>
      <c r="W140" s="87">
        <f t="shared" ref="W140" si="265">SUM(W141:W142)</f>
        <v>887</v>
      </c>
      <c r="X140" s="87"/>
      <c r="Y140" s="87"/>
      <c r="Z140" s="87"/>
      <c r="AA140" s="87"/>
      <c r="AB140" s="87"/>
      <c r="AC140" s="115"/>
      <c r="AD140" s="87"/>
      <c r="AE140" s="152"/>
      <c r="AF140" s="87"/>
      <c r="AG140" s="87"/>
      <c r="AH140" s="87"/>
      <c r="AI140" s="87"/>
      <c r="AJ140" s="87"/>
      <c r="AK140" s="87"/>
      <c r="AL140" s="87">
        <f t="shared" ref="AL140" si="266">SUM(AL141:AL142)</f>
        <v>690</v>
      </c>
      <c r="AM140" s="87"/>
      <c r="AN140" s="87"/>
      <c r="AO140" s="87"/>
      <c r="AP140" s="87"/>
      <c r="AQ140" s="87"/>
      <c r="AR140" s="87"/>
      <c r="AS140" s="87">
        <v>524.5</v>
      </c>
      <c r="AT140" s="87"/>
      <c r="AU140" s="87">
        <f t="shared" ref="AU140" si="267">SUM(AU141:AU142)</f>
        <v>882</v>
      </c>
      <c r="AV140" s="87">
        <v>528.70000000000005</v>
      </c>
      <c r="AW140" s="87"/>
      <c r="AX140" s="87">
        <v>762.7</v>
      </c>
      <c r="AY140" s="87">
        <v>761.1</v>
      </c>
      <c r="AZ140" s="87">
        <f t="shared" ref="AZ140" si="268">SUM(AZ141:AZ142)</f>
        <v>1170</v>
      </c>
      <c r="BA140" s="87">
        <v>1125.7</v>
      </c>
      <c r="BB140" s="87"/>
      <c r="BC140" s="87">
        <v>793.6</v>
      </c>
      <c r="BD140" s="87"/>
      <c r="BE140" s="87">
        <f t="shared" ref="BE140:BF140" si="269">SUM(BE141:BE142)</f>
        <v>1170</v>
      </c>
      <c r="BF140" s="87">
        <f t="shared" si="269"/>
        <v>1170</v>
      </c>
      <c r="BG140" s="115">
        <f t="shared" ref="BG140" si="270">SUM(BG141:BG142)</f>
        <v>660</v>
      </c>
      <c r="BH140" s="87"/>
      <c r="BI140" s="152">
        <f t="shared" ref="BI140:BN140" si="271">SUM(BI141:BI142)</f>
        <v>268</v>
      </c>
      <c r="BJ140" s="87">
        <f t="shared" si="271"/>
        <v>400</v>
      </c>
      <c r="BK140" s="87"/>
      <c r="BL140" s="87">
        <f t="shared" si="271"/>
        <v>976</v>
      </c>
      <c r="BM140" s="87">
        <f t="shared" si="271"/>
        <v>775</v>
      </c>
      <c r="BN140" s="87">
        <f t="shared" si="271"/>
        <v>508</v>
      </c>
      <c r="BO140" s="87"/>
      <c r="BP140" s="87">
        <f t="shared" ref="BP140" si="272">SUM(BP141:BP142)</f>
        <v>455</v>
      </c>
      <c r="BQ140" s="87"/>
      <c r="BR140" s="152"/>
      <c r="BS140" s="87"/>
      <c r="BT140" s="87"/>
      <c r="BU140" s="87"/>
      <c r="BV140" s="87"/>
      <c r="BW140" s="87"/>
      <c r="BX140" s="87"/>
      <c r="BY140" s="87"/>
      <c r="BZ140" s="115"/>
    </row>
    <row r="141" spans="1:79">
      <c r="A141" s="287" t="s">
        <v>89</v>
      </c>
      <c r="B141" s="152"/>
      <c r="C141" s="152">
        <v>42</v>
      </c>
      <c r="D141" s="87">
        <v>96</v>
      </c>
      <c r="E141" s="87">
        <v>96</v>
      </c>
      <c r="F141" s="87"/>
      <c r="G141" s="87"/>
      <c r="H141" s="87"/>
      <c r="I141" s="87">
        <v>450</v>
      </c>
      <c r="J141" s="87"/>
      <c r="K141" s="87"/>
      <c r="L141" s="87"/>
      <c r="M141" s="87"/>
      <c r="N141" s="87"/>
      <c r="O141" s="87">
        <v>600</v>
      </c>
      <c r="P141" s="87"/>
      <c r="Q141" s="87"/>
      <c r="R141" s="87"/>
      <c r="S141" s="87">
        <v>450</v>
      </c>
      <c r="T141" s="87">
        <v>63</v>
      </c>
      <c r="U141" s="87">
        <f>161+92.8+238.4</f>
        <v>492.20000000000005</v>
      </c>
      <c r="V141" s="87"/>
      <c r="W141" s="87">
        <v>447</v>
      </c>
      <c r="X141" s="87"/>
      <c r="Y141" s="87"/>
      <c r="Z141" s="87"/>
      <c r="AA141" s="87" t="s">
        <v>117</v>
      </c>
      <c r="AB141" s="87"/>
      <c r="AC141" s="115"/>
      <c r="AD141" s="87"/>
      <c r="AE141" s="152"/>
      <c r="AF141" s="87"/>
      <c r="AG141" s="87"/>
      <c r="AH141" s="87"/>
      <c r="AI141" s="87"/>
      <c r="AJ141" s="87"/>
      <c r="AK141" s="87"/>
      <c r="AL141" s="87">
        <v>300</v>
      </c>
      <c r="AM141" s="87"/>
      <c r="AN141" s="87">
        <v>204</v>
      </c>
      <c r="AO141" s="87"/>
      <c r="AP141" s="87"/>
      <c r="AQ141" s="87"/>
      <c r="AR141" s="87"/>
      <c r="AS141" s="87"/>
      <c r="AT141" s="87"/>
      <c r="AU141" s="87">
        <v>450</v>
      </c>
      <c r="AV141" s="87"/>
      <c r="AW141" s="87"/>
      <c r="AX141" s="87"/>
      <c r="AY141" s="87"/>
      <c r="AZ141" s="87">
        <v>450</v>
      </c>
      <c r="BA141" s="87"/>
      <c r="BB141" s="87"/>
      <c r="BC141" s="87"/>
      <c r="BD141" s="87"/>
      <c r="BE141" s="87">
        <v>450</v>
      </c>
      <c r="BF141" s="87">
        <v>450</v>
      </c>
      <c r="BG141" s="115">
        <v>300</v>
      </c>
      <c r="BH141" s="87"/>
      <c r="BI141" s="152">
        <v>105</v>
      </c>
      <c r="BJ141" s="87">
        <v>162</v>
      </c>
      <c r="BK141" s="87"/>
      <c r="BL141" s="87">
        <v>480</v>
      </c>
      <c r="BM141" s="87">
        <v>365</v>
      </c>
      <c r="BN141" s="115">
        <v>240</v>
      </c>
      <c r="BO141" s="87"/>
      <c r="BP141" s="167">
        <v>242</v>
      </c>
      <c r="BQ141" s="87"/>
      <c r="BR141" s="152"/>
      <c r="BS141" s="87"/>
      <c r="BT141" s="87"/>
      <c r="BU141" s="87"/>
      <c r="BV141" s="87"/>
      <c r="BW141" s="87"/>
      <c r="BX141" s="87"/>
      <c r="BY141" s="87"/>
      <c r="BZ141" s="115"/>
      <c r="CA141" s="105"/>
    </row>
    <row r="142" spans="1:79">
      <c r="A142" s="287" t="s">
        <v>90</v>
      </c>
      <c r="B142" s="152"/>
      <c r="C142" s="152">
        <v>65</v>
      </c>
      <c r="D142" s="87">
        <v>93</v>
      </c>
      <c r="E142" s="87">
        <v>93</v>
      </c>
      <c r="F142" s="87"/>
      <c r="G142" s="87"/>
      <c r="H142" s="87"/>
      <c r="I142" s="87">
        <v>506</v>
      </c>
      <c r="J142" s="87"/>
      <c r="K142" s="87"/>
      <c r="L142" s="87"/>
      <c r="M142" s="87"/>
      <c r="N142" s="87"/>
      <c r="O142" s="87">
        <v>641</v>
      </c>
      <c r="P142" s="87"/>
      <c r="Q142" s="87"/>
      <c r="R142" s="87"/>
      <c r="S142" s="87">
        <v>564</v>
      </c>
      <c r="T142" s="87">
        <v>143</v>
      </c>
      <c r="U142" s="87">
        <f>129+78+60</f>
        <v>267</v>
      </c>
      <c r="V142" s="87"/>
      <c r="W142" s="87">
        <v>440</v>
      </c>
      <c r="X142" s="87"/>
      <c r="Y142" s="87"/>
      <c r="Z142" s="87"/>
      <c r="AA142" s="87"/>
      <c r="AB142" s="87"/>
      <c r="AC142" s="115"/>
      <c r="AD142" s="87"/>
      <c r="AE142" s="152"/>
      <c r="AF142" s="87"/>
      <c r="AG142" s="87"/>
      <c r="AH142" s="87"/>
      <c r="AI142" s="87"/>
      <c r="AJ142" s="87"/>
      <c r="AK142" s="87"/>
      <c r="AL142" s="87">
        <v>390</v>
      </c>
      <c r="AM142" s="87"/>
      <c r="AN142" s="87"/>
      <c r="AO142" s="87"/>
      <c r="AP142" s="87"/>
      <c r="AQ142" s="87"/>
      <c r="AR142" s="87"/>
      <c r="AS142" s="87"/>
      <c r="AT142" s="87"/>
      <c r="AU142" s="87">
        <v>432</v>
      </c>
      <c r="AV142" s="87"/>
      <c r="AW142" s="87"/>
      <c r="AX142" s="87"/>
      <c r="AY142" s="87"/>
      <c r="AZ142" s="87">
        <v>720</v>
      </c>
      <c r="BA142" s="87"/>
      <c r="BB142" s="87"/>
      <c r="BC142" s="87"/>
      <c r="BD142" s="87"/>
      <c r="BE142" s="87">
        <v>720</v>
      </c>
      <c r="BF142" s="87">
        <v>720</v>
      </c>
      <c r="BG142" s="115">
        <v>360</v>
      </c>
      <c r="BH142" s="87"/>
      <c r="BI142" s="152">
        <v>163</v>
      </c>
      <c r="BJ142" s="87">
        <v>238</v>
      </c>
      <c r="BK142" s="87"/>
      <c r="BL142" s="87">
        <v>496</v>
      </c>
      <c r="BM142" s="87">
        <v>410</v>
      </c>
      <c r="BN142" s="115">
        <v>268</v>
      </c>
      <c r="BO142" s="87"/>
      <c r="BP142" s="167">
        <v>213</v>
      </c>
      <c r="BQ142" s="87"/>
      <c r="BR142" s="152"/>
      <c r="BS142" s="87"/>
      <c r="BT142" s="87"/>
      <c r="BU142" s="87"/>
      <c r="BV142" s="87"/>
      <c r="BW142" s="87"/>
      <c r="BX142" s="87"/>
      <c r="BY142" s="87"/>
      <c r="BZ142" s="115"/>
      <c r="CA142" s="105"/>
    </row>
    <row r="143" spans="1:79">
      <c r="A143" s="137" t="s">
        <v>363</v>
      </c>
      <c r="B143" s="152"/>
      <c r="C143" s="152"/>
      <c r="D143" s="87"/>
      <c r="E143" s="87"/>
      <c r="F143" s="87">
        <v>3</v>
      </c>
      <c r="G143" s="87">
        <v>3</v>
      </c>
      <c r="H143" s="87"/>
      <c r="I143" s="87"/>
      <c r="J143" s="87"/>
      <c r="K143" s="87"/>
      <c r="L143" s="87"/>
      <c r="M143" s="87"/>
      <c r="N143" s="87"/>
      <c r="O143" s="87"/>
      <c r="P143" s="87"/>
      <c r="Q143" s="87"/>
      <c r="R143" s="87"/>
      <c r="S143" s="87"/>
      <c r="T143" s="87"/>
      <c r="U143" s="87"/>
      <c r="V143" s="87"/>
      <c r="W143" s="87"/>
      <c r="X143" s="87"/>
      <c r="Y143" s="87"/>
      <c r="Z143" s="87"/>
      <c r="AA143" s="87"/>
      <c r="AB143" s="87"/>
      <c r="AC143" s="115"/>
      <c r="AD143" s="87"/>
      <c r="AE143" s="152"/>
      <c r="AF143" s="87"/>
      <c r="AG143" s="87"/>
      <c r="AH143" s="87"/>
      <c r="AI143" s="87"/>
      <c r="AJ143" s="87"/>
      <c r="AK143" s="87"/>
      <c r="AL143" s="87"/>
      <c r="AM143" s="87"/>
      <c r="AN143" s="87">
        <v>3.9</v>
      </c>
      <c r="AO143" s="87"/>
      <c r="AP143" s="87"/>
      <c r="AQ143" s="87"/>
      <c r="AR143" s="87"/>
      <c r="AS143" s="87">
        <v>7.9</v>
      </c>
      <c r="AT143" s="87"/>
      <c r="AU143" s="87"/>
      <c r="AV143" s="87">
        <v>11.8</v>
      </c>
      <c r="AW143" s="87"/>
      <c r="AX143" s="87">
        <v>0</v>
      </c>
      <c r="AY143" s="87">
        <v>3.7</v>
      </c>
      <c r="AZ143" s="87"/>
      <c r="BA143" s="87"/>
      <c r="BB143" s="87"/>
      <c r="BC143" s="87">
        <v>3.5</v>
      </c>
      <c r="BD143" s="87"/>
      <c r="BE143" s="87"/>
      <c r="BF143" s="87"/>
      <c r="BG143" s="115"/>
      <c r="BH143" s="87"/>
      <c r="BI143" s="152"/>
      <c r="BJ143" s="87"/>
      <c r="BK143" s="87"/>
      <c r="BL143" s="87"/>
      <c r="BM143" s="87"/>
      <c r="BN143" s="115"/>
      <c r="BO143" s="87"/>
      <c r="BP143" s="167"/>
      <c r="BQ143" s="87"/>
      <c r="BR143" s="152"/>
      <c r="BS143" s="87"/>
      <c r="BT143" s="87"/>
      <c r="BU143" s="87"/>
      <c r="BV143" s="87"/>
      <c r="BW143" s="87"/>
      <c r="BX143" s="87"/>
      <c r="BY143" s="87"/>
      <c r="BZ143" s="115"/>
    </row>
    <row r="144" spans="1:79">
      <c r="A144" s="137" t="s">
        <v>362</v>
      </c>
      <c r="B144" s="152"/>
      <c r="C144" s="152"/>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115"/>
      <c r="AD144" s="87"/>
      <c r="AE144" s="152"/>
      <c r="AF144" s="87"/>
      <c r="AG144" s="87"/>
      <c r="AH144" s="87"/>
      <c r="AI144" s="87"/>
      <c r="AJ144" s="87"/>
      <c r="AK144" s="87"/>
      <c r="AL144" s="87"/>
      <c r="AM144" s="87"/>
      <c r="AN144" s="87"/>
      <c r="AO144" s="87"/>
      <c r="AP144" s="87"/>
      <c r="AQ144" s="87"/>
      <c r="AR144" s="87"/>
      <c r="AS144" s="87">
        <v>13.7</v>
      </c>
      <c r="AT144" s="87"/>
      <c r="AU144" s="87"/>
      <c r="AV144" s="87">
        <v>13.7</v>
      </c>
      <c r="AW144" s="87"/>
      <c r="AX144" s="87">
        <v>4.5</v>
      </c>
      <c r="AY144" s="87">
        <v>3.9</v>
      </c>
      <c r="AZ144" s="87"/>
      <c r="BA144" s="87">
        <v>4.5</v>
      </c>
      <c r="BB144" s="87"/>
      <c r="BC144" s="87">
        <v>4.2</v>
      </c>
      <c r="BD144" s="87"/>
      <c r="BE144" s="87"/>
      <c r="BF144" s="87"/>
      <c r="BG144" s="115"/>
      <c r="BH144" s="87"/>
      <c r="BI144" s="152"/>
      <c r="BJ144" s="87"/>
      <c r="BK144" s="87"/>
      <c r="BL144" s="87"/>
      <c r="BM144" s="87"/>
      <c r="BN144" s="115"/>
      <c r="BO144" s="87"/>
      <c r="BP144" s="167"/>
      <c r="BQ144" s="87"/>
      <c r="BR144" s="152"/>
      <c r="BS144" s="87"/>
      <c r="BT144" s="87"/>
      <c r="BU144" s="87"/>
      <c r="BV144" s="87"/>
      <c r="BW144" s="87"/>
      <c r="BX144" s="87"/>
      <c r="BY144" s="87"/>
      <c r="BZ144" s="115"/>
    </row>
    <row r="145" spans="1:84">
      <c r="A145" s="137" t="s">
        <v>364</v>
      </c>
      <c r="B145" s="152"/>
      <c r="C145" s="152"/>
      <c r="D145" s="87"/>
      <c r="E145" s="87"/>
      <c r="F145" s="87"/>
      <c r="G145" s="87"/>
      <c r="H145" s="87"/>
      <c r="I145" s="87"/>
      <c r="J145" s="87"/>
      <c r="K145" s="87"/>
      <c r="L145" s="87"/>
      <c r="M145" s="87"/>
      <c r="N145" s="87"/>
      <c r="O145" s="87"/>
      <c r="P145" s="87"/>
      <c r="Q145" s="87"/>
      <c r="R145" s="87"/>
      <c r="S145" s="87"/>
      <c r="T145" s="87"/>
      <c r="U145" s="87">
        <f>4.4+202.5+59.7</f>
        <v>266.60000000000002</v>
      </c>
      <c r="V145" s="87"/>
      <c r="W145" s="87"/>
      <c r="X145" s="87"/>
      <c r="Y145" s="87"/>
      <c r="Z145" s="87"/>
      <c r="AA145" s="87"/>
      <c r="AB145" s="87"/>
      <c r="AC145" s="115"/>
      <c r="AD145" s="87"/>
      <c r="AE145" s="152"/>
      <c r="AF145" s="87"/>
      <c r="AG145" s="87"/>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c r="BF145" s="87"/>
      <c r="BG145" s="115"/>
      <c r="BH145" s="87"/>
      <c r="BI145" s="152"/>
      <c r="BJ145" s="87"/>
      <c r="BK145" s="87"/>
      <c r="BL145" s="87"/>
      <c r="BM145" s="87"/>
      <c r="BN145" s="115"/>
      <c r="BO145" s="87"/>
      <c r="BP145" s="167"/>
      <c r="BQ145" s="87"/>
      <c r="BR145" s="152"/>
      <c r="BS145" s="87"/>
      <c r="BT145" s="87"/>
      <c r="BU145" s="87"/>
      <c r="BV145" s="87"/>
      <c r="BW145" s="87"/>
      <c r="BX145" s="87"/>
      <c r="BY145" s="87"/>
      <c r="BZ145" s="115"/>
    </row>
    <row r="146" spans="1:84" ht="10.5" thickBot="1">
      <c r="A146" s="134" t="s">
        <v>91</v>
      </c>
      <c r="B146" s="153"/>
      <c r="C146" s="153">
        <v>74</v>
      </c>
      <c r="D146" s="13">
        <v>143</v>
      </c>
      <c r="E146" s="13">
        <v>86</v>
      </c>
      <c r="I146" s="13">
        <v>121</v>
      </c>
      <c r="O146" s="13">
        <v>250</v>
      </c>
      <c r="S146" s="13">
        <v>147</v>
      </c>
      <c r="T146" s="13">
        <v>156</v>
      </c>
      <c r="U146" s="13">
        <v>15</v>
      </c>
      <c r="W146" s="13">
        <v>164</v>
      </c>
      <c r="AC146" s="117"/>
      <c r="AE146" s="153"/>
      <c r="AL146" s="13">
        <v>426</v>
      </c>
      <c r="AN146" s="13">
        <v>17.100000000000001</v>
      </c>
      <c r="AS146" s="13">
        <v>62.1</v>
      </c>
      <c r="AU146" s="13">
        <v>52</v>
      </c>
      <c r="AV146" s="13">
        <v>47.2</v>
      </c>
      <c r="AX146" s="13">
        <v>50.2</v>
      </c>
      <c r="AY146" s="13">
        <v>56.5</v>
      </c>
      <c r="AZ146" s="13">
        <v>65</v>
      </c>
      <c r="BA146" s="13">
        <f>22+27.5</f>
        <v>49.5</v>
      </c>
      <c r="BC146" s="13">
        <f>56</f>
        <v>56</v>
      </c>
      <c r="BE146" s="13">
        <v>68</v>
      </c>
      <c r="BF146" s="13">
        <v>205</v>
      </c>
      <c r="BG146" s="117">
        <v>54</v>
      </c>
      <c r="BI146" s="154">
        <v>103</v>
      </c>
      <c r="BJ146" s="122">
        <v>85</v>
      </c>
      <c r="BK146" s="122"/>
      <c r="BL146" s="122">
        <v>150</v>
      </c>
      <c r="BM146" s="122">
        <v>120</v>
      </c>
      <c r="BN146" s="155">
        <v>150</v>
      </c>
      <c r="BP146" s="169">
        <v>169</v>
      </c>
      <c r="BR146" s="154"/>
      <c r="BS146" s="122"/>
      <c r="BT146" s="122">
        <v>39</v>
      </c>
      <c r="BU146" s="122">
        <v>32</v>
      </c>
      <c r="BV146" s="122"/>
      <c r="BW146" s="122">
        <v>33</v>
      </c>
      <c r="BX146" s="122">
        <v>32</v>
      </c>
      <c r="BY146" s="122">
        <v>32</v>
      </c>
      <c r="BZ146" s="155">
        <v>32</v>
      </c>
      <c r="CA146" s="98"/>
    </row>
    <row r="147" spans="1:84" ht="10.5" thickBot="1">
      <c r="A147" s="136" t="s">
        <v>7</v>
      </c>
      <c r="B147" s="143"/>
      <c r="C147" s="143">
        <f t="shared" ref="C147:G147" si="273">C127+C128</f>
        <v>2935</v>
      </c>
      <c r="D147" s="111">
        <f t="shared" si="273"/>
        <v>5599</v>
      </c>
      <c r="E147" s="111">
        <f t="shared" si="273"/>
        <v>5531</v>
      </c>
      <c r="F147" s="111">
        <f t="shared" si="273"/>
        <v>5689</v>
      </c>
      <c r="G147" s="111">
        <f t="shared" si="273"/>
        <v>5919</v>
      </c>
      <c r="H147" s="111"/>
      <c r="I147" s="111">
        <f>I127+I128</f>
        <v>8427</v>
      </c>
      <c r="J147" s="111"/>
      <c r="K147" s="111"/>
      <c r="L147" s="111"/>
      <c r="M147" s="111"/>
      <c r="N147" s="111"/>
      <c r="O147" s="111">
        <f>O127+O128</f>
        <v>13373</v>
      </c>
      <c r="P147" s="111"/>
      <c r="Q147" s="111"/>
      <c r="R147" s="111"/>
      <c r="S147" s="111">
        <f>S127+S128</f>
        <v>10119</v>
      </c>
      <c r="T147" s="111">
        <f>T127+T128</f>
        <v>5579</v>
      </c>
      <c r="U147" s="111">
        <f>U127+U128</f>
        <v>7403.5</v>
      </c>
      <c r="V147" s="111"/>
      <c r="W147" s="111">
        <f>W127+W128</f>
        <v>7405</v>
      </c>
      <c r="X147" s="111"/>
      <c r="Y147" s="111"/>
      <c r="Z147" s="111"/>
      <c r="AA147" s="111"/>
      <c r="AB147" s="111"/>
      <c r="AC147" s="124"/>
      <c r="AE147" s="341">
        <f t="shared" ref="AE147:AP147" si="274">AE127+AE128</f>
        <v>4999.55</v>
      </c>
      <c r="AF147" s="342">
        <f t="shared" si="274"/>
        <v>5053</v>
      </c>
      <c r="AG147" s="342">
        <f t="shared" si="274"/>
        <v>5055.2000000000007</v>
      </c>
      <c r="AH147" s="342">
        <f t="shared" si="274"/>
        <v>5409.2</v>
      </c>
      <c r="AI147" s="342">
        <f t="shared" si="274"/>
        <v>5418.5</v>
      </c>
      <c r="AJ147" s="342">
        <f t="shared" si="274"/>
        <v>6518.6</v>
      </c>
      <c r="AK147" s="111"/>
      <c r="AL147" s="111">
        <f>AL127+AL128</f>
        <v>7229</v>
      </c>
      <c r="AM147" s="111"/>
      <c r="AN147" s="111">
        <f t="shared" si="274"/>
        <v>5016</v>
      </c>
      <c r="AO147" s="342">
        <f t="shared" si="274"/>
        <v>5436.9</v>
      </c>
      <c r="AP147" s="111">
        <f t="shared" si="274"/>
        <v>6094.5</v>
      </c>
      <c r="AQ147" s="342">
        <f>AQ127+AQ128</f>
        <v>6112.2</v>
      </c>
      <c r="AR147" s="111"/>
      <c r="AS147" s="111">
        <f>AS127+AS128</f>
        <v>6895</v>
      </c>
      <c r="AT147" s="111"/>
      <c r="AU147" s="111">
        <f>AU127+AU128</f>
        <v>7879</v>
      </c>
      <c r="AV147" s="111">
        <f>AV127+AV128</f>
        <v>7426</v>
      </c>
      <c r="AW147" s="111"/>
      <c r="AX147" s="270">
        <f>AX127+AX128</f>
        <v>11142.599999999999</v>
      </c>
      <c r="AY147" s="270">
        <f>AY127+AY128</f>
        <v>11343.2</v>
      </c>
      <c r="AZ147" s="156">
        <f>AZ127+AZ128</f>
        <v>12250</v>
      </c>
      <c r="BA147" s="111">
        <f>BA127+BA128</f>
        <v>12404.800000000001</v>
      </c>
      <c r="BB147" s="111"/>
      <c r="BC147" s="111">
        <f>BC127+BC128</f>
        <v>11505.6</v>
      </c>
      <c r="BD147" s="111"/>
      <c r="BE147" s="111">
        <f>BE127+BE128</f>
        <v>12263</v>
      </c>
      <c r="BF147" s="111">
        <f>BF127+BF128</f>
        <v>12492</v>
      </c>
      <c r="BG147" s="124">
        <f>BG127+BG128</f>
        <v>9175</v>
      </c>
      <c r="BI147" s="143">
        <f>BI127+BI128</f>
        <v>7543</v>
      </c>
      <c r="BJ147" s="111">
        <f>BJ127+BJ128</f>
        <v>9662</v>
      </c>
      <c r="BK147" s="111"/>
      <c r="BL147" s="111">
        <f>BL127+BL128</f>
        <v>17929</v>
      </c>
      <c r="BM147" s="111">
        <f>BM127+BM128</f>
        <v>15447</v>
      </c>
      <c r="BN147" s="124">
        <f>BN127+BN128</f>
        <v>15327</v>
      </c>
      <c r="BP147" s="175">
        <f>BP127+BP128</f>
        <v>16438</v>
      </c>
      <c r="BR147" s="143">
        <f t="shared" ref="BR147:BZ147" si="275">BR127+BR128</f>
        <v>2409</v>
      </c>
      <c r="BS147" s="111">
        <f t="shared" si="275"/>
        <v>1835</v>
      </c>
      <c r="BT147" s="111">
        <f t="shared" si="275"/>
        <v>4124</v>
      </c>
      <c r="BU147" s="111">
        <f t="shared" si="275"/>
        <v>4442</v>
      </c>
      <c r="BV147" s="411">
        <f>CC147</f>
        <v>9769</v>
      </c>
      <c r="BW147" s="111">
        <f t="shared" si="275"/>
        <v>4212</v>
      </c>
      <c r="BX147" s="111">
        <f t="shared" si="275"/>
        <v>5221</v>
      </c>
      <c r="BY147" s="111">
        <f t="shared" si="275"/>
        <v>5212</v>
      </c>
      <c r="BZ147" s="124">
        <f t="shared" si="275"/>
        <v>5265</v>
      </c>
      <c r="CA147" s="98">
        <f>CA127+CA128</f>
        <v>2634</v>
      </c>
      <c r="CC147" s="3">
        <v>9769</v>
      </c>
      <c r="CD147" s="3">
        <v>10749</v>
      </c>
      <c r="CE147" s="3">
        <v>11114</v>
      </c>
      <c r="CF147" s="3">
        <v>8625</v>
      </c>
    </row>
    <row r="148" spans="1:84" ht="10.5" thickBot="1">
      <c r="A148" s="136" t="s">
        <v>95</v>
      </c>
      <c r="B148" s="143"/>
      <c r="C148" s="143"/>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24"/>
      <c r="AD148" s="78"/>
      <c r="AE148" s="143"/>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c r="BE148" s="111"/>
      <c r="BF148" s="111"/>
      <c r="BG148" s="124"/>
      <c r="BI148" s="143"/>
      <c r="BJ148" s="111"/>
      <c r="BK148" s="111"/>
      <c r="BL148" s="111"/>
      <c r="BM148" s="111"/>
      <c r="BN148" s="124"/>
      <c r="BO148" s="78"/>
      <c r="BP148" s="175"/>
      <c r="BQ148" s="78"/>
      <c r="BR148" s="145"/>
      <c r="BS148" s="45"/>
      <c r="BT148" s="45"/>
      <c r="BU148" s="45"/>
      <c r="BV148" s="45"/>
      <c r="BW148" s="45"/>
      <c r="BX148" s="45"/>
      <c r="BY148" s="45"/>
      <c r="BZ148" s="140"/>
      <c r="CA148" s="108"/>
    </row>
    <row r="149" spans="1:84">
      <c r="A149" s="134" t="s">
        <v>88</v>
      </c>
      <c r="B149" s="153"/>
      <c r="C149" s="153">
        <v>312</v>
      </c>
      <c r="D149" s="13">
        <v>540</v>
      </c>
      <c r="E149" s="13">
        <v>348</v>
      </c>
      <c r="I149" s="13">
        <v>312</v>
      </c>
      <c r="O149" s="13">
        <v>1800</v>
      </c>
      <c r="R149" s="35"/>
      <c r="S149" s="35">
        <v>1320</v>
      </c>
      <c r="T149" s="13">
        <v>540</v>
      </c>
      <c r="U149" s="35"/>
      <c r="V149" s="35"/>
      <c r="W149" s="35">
        <v>450</v>
      </c>
      <c r="X149" s="35"/>
      <c r="Y149" s="35"/>
      <c r="Z149" s="35"/>
      <c r="AA149" s="35"/>
      <c r="AB149" s="35"/>
      <c r="AC149" s="191"/>
      <c r="AE149" s="153"/>
      <c r="AL149" s="13">
        <v>1440</v>
      </c>
      <c r="AU149" s="13">
        <v>696</v>
      </c>
      <c r="AZ149" s="13">
        <v>1800</v>
      </c>
      <c r="BE149" s="13">
        <v>900</v>
      </c>
      <c r="BF149" s="13">
        <v>900</v>
      </c>
      <c r="BG149" s="117">
        <v>2100</v>
      </c>
      <c r="BI149" s="144">
        <v>576</v>
      </c>
      <c r="BJ149" s="113">
        <v>696</v>
      </c>
      <c r="BK149" s="113"/>
      <c r="BL149" s="113">
        <v>3600</v>
      </c>
      <c r="BM149" s="113">
        <v>1800</v>
      </c>
      <c r="BN149" s="114">
        <v>1800</v>
      </c>
      <c r="BO149" s="35"/>
      <c r="BP149" s="161">
        <v>2850</v>
      </c>
      <c r="BR149" s="199"/>
      <c r="BS149" s="52"/>
      <c r="BT149" s="52"/>
      <c r="BU149" s="52"/>
      <c r="BV149" s="52"/>
      <c r="BW149" s="52"/>
      <c r="BX149" s="52"/>
      <c r="BY149" s="52"/>
      <c r="BZ149" s="200"/>
      <c r="CA149" s="98"/>
    </row>
    <row r="150" spans="1:84">
      <c r="A150" s="134" t="s">
        <v>93</v>
      </c>
      <c r="B150" s="153"/>
      <c r="C150" s="153">
        <v>244</v>
      </c>
      <c r="D150" s="13">
        <v>500</v>
      </c>
      <c r="I150" s="13">
        <v>120</v>
      </c>
      <c r="O150" s="35">
        <v>1500</v>
      </c>
      <c r="P150" s="35"/>
      <c r="Q150" s="35"/>
      <c r="S150" s="13">
        <v>2840</v>
      </c>
      <c r="T150" s="13">
        <v>170</v>
      </c>
      <c r="V150" s="13">
        <v>5523</v>
      </c>
      <c r="W150" s="13">
        <v>500</v>
      </c>
      <c r="X150" s="13">
        <v>5658</v>
      </c>
      <c r="Y150" s="13">
        <v>5684</v>
      </c>
      <c r="Z150" s="13">
        <v>5550</v>
      </c>
      <c r="AC150" s="117"/>
      <c r="AE150" s="153"/>
      <c r="AL150" s="13">
        <v>200</v>
      </c>
      <c r="AU150" s="13">
        <v>500</v>
      </c>
      <c r="AZ150" s="13">
        <v>3755</v>
      </c>
      <c r="BE150" s="13">
        <v>2000</v>
      </c>
      <c r="BF150" s="13">
        <v>2000</v>
      </c>
      <c r="BG150" s="117">
        <v>2635</v>
      </c>
      <c r="BI150" s="153"/>
      <c r="BJ150" s="13">
        <v>1600</v>
      </c>
      <c r="BL150" s="13">
        <v>4000</v>
      </c>
      <c r="BM150" s="13">
        <v>2000</v>
      </c>
      <c r="BN150" s="117">
        <v>2000</v>
      </c>
      <c r="BP150" s="168">
        <v>2000</v>
      </c>
      <c r="BR150" s="153"/>
      <c r="BZ150" s="117"/>
      <c r="CA150" s="98"/>
    </row>
    <row r="151" spans="1:84">
      <c r="A151" s="129"/>
      <c r="B151" s="153"/>
      <c r="C151" s="153"/>
      <c r="AC151" s="117"/>
      <c r="AE151" s="153"/>
      <c r="BG151" s="117"/>
      <c r="BI151" s="153"/>
      <c r="BL151" s="13">
        <v>6000</v>
      </c>
      <c r="BN151" s="117"/>
      <c r="BP151" s="168"/>
      <c r="BR151" s="153"/>
      <c r="BZ151" s="117"/>
      <c r="CA151" s="98"/>
    </row>
    <row r="152" spans="1:84">
      <c r="A152" s="134" t="s">
        <v>89</v>
      </c>
      <c r="B152" s="153"/>
      <c r="C152" s="153"/>
      <c r="Y152" s="13" t="s">
        <v>117</v>
      </c>
      <c r="AC152" s="117"/>
      <c r="AE152" s="153"/>
      <c r="BG152" s="117"/>
      <c r="BI152" s="153">
        <v>576</v>
      </c>
      <c r="BJ152" s="13">
        <v>650</v>
      </c>
      <c r="BN152" s="117"/>
      <c r="BP152" s="168"/>
      <c r="BR152" s="153"/>
      <c r="BZ152" s="117"/>
      <c r="CA152" s="98"/>
    </row>
    <row r="153" spans="1:84">
      <c r="A153" s="134" t="s">
        <v>212</v>
      </c>
      <c r="B153" s="153"/>
      <c r="C153" s="153"/>
      <c r="Y153" s="13">
        <v>297</v>
      </c>
      <c r="AC153" s="117"/>
      <c r="AE153" s="153"/>
      <c r="BG153" s="117"/>
      <c r="BI153" s="145"/>
      <c r="BJ153" s="45"/>
      <c r="BK153" s="45"/>
      <c r="BL153" s="45"/>
      <c r="BM153" s="45">
        <v>1120</v>
      </c>
      <c r="BN153" s="140"/>
      <c r="BP153" s="162"/>
      <c r="BR153" s="145"/>
      <c r="BS153" s="45"/>
      <c r="BT153" s="45"/>
      <c r="BU153" s="45"/>
      <c r="BV153" s="45"/>
      <c r="BW153" s="45"/>
      <c r="BX153" s="45"/>
      <c r="BY153" s="45"/>
      <c r="BZ153" s="140"/>
      <c r="CA153" s="98"/>
    </row>
    <row r="154" spans="1:84">
      <c r="A154" s="138" t="s">
        <v>99</v>
      </c>
      <c r="B154" s="274"/>
      <c r="C154" s="192">
        <f>C128+741</f>
        <v>1482</v>
      </c>
      <c r="D154" s="176">
        <f>D128+736</f>
        <v>2020</v>
      </c>
      <c r="E154" s="176">
        <f>E128+370</f>
        <v>1543</v>
      </c>
      <c r="F154" s="83"/>
      <c r="G154" s="83"/>
      <c r="H154" s="83"/>
      <c r="I154" s="176">
        <f>I128+650</f>
        <v>2950</v>
      </c>
      <c r="J154" s="83"/>
      <c r="K154" s="83"/>
      <c r="L154" s="83"/>
      <c r="M154" s="83"/>
      <c r="N154" s="83"/>
      <c r="O154" s="177">
        <f>O128+4727</f>
        <v>8463</v>
      </c>
      <c r="P154" s="78"/>
      <c r="Q154" s="78"/>
      <c r="R154" s="78"/>
      <c r="S154" s="177">
        <f>S128+1820</f>
        <v>4889</v>
      </c>
      <c r="T154" s="176">
        <f>T128+560</f>
        <v>1907</v>
      </c>
      <c r="U154" s="177"/>
      <c r="V154" s="78"/>
      <c r="W154" s="177">
        <f>W128+700</f>
        <v>2742</v>
      </c>
      <c r="X154" s="78"/>
      <c r="Y154" s="78"/>
      <c r="Z154" s="78"/>
      <c r="AA154" s="78"/>
      <c r="AB154" s="78"/>
      <c r="AC154" s="193"/>
      <c r="AD154" s="78"/>
      <c r="AE154" s="274"/>
      <c r="AF154" s="78"/>
      <c r="AG154" s="78"/>
      <c r="AH154" s="78"/>
      <c r="AI154" s="78"/>
      <c r="AJ154" s="78"/>
      <c r="AK154" s="78"/>
      <c r="AL154" s="177">
        <f>AL128+282</f>
        <v>2641</v>
      </c>
      <c r="AM154" s="78"/>
      <c r="AN154" s="78"/>
      <c r="AO154" s="78"/>
      <c r="AP154" s="78"/>
      <c r="AQ154" s="78"/>
      <c r="AR154" s="78"/>
      <c r="AS154" s="78"/>
      <c r="AT154" s="78"/>
      <c r="AU154" s="177">
        <f>AU128+787</f>
        <v>2868</v>
      </c>
      <c r="AV154" s="177"/>
      <c r="AW154" s="78"/>
      <c r="AX154" s="78"/>
      <c r="AY154" s="78"/>
      <c r="AZ154" s="177">
        <f>AZ128+3755</f>
        <v>6733</v>
      </c>
      <c r="BA154" s="177"/>
      <c r="BB154" s="78"/>
      <c r="BC154" s="78"/>
      <c r="BD154" s="78"/>
      <c r="BE154" s="177">
        <f>BE128+2855</f>
        <v>5936</v>
      </c>
      <c r="BF154" s="177">
        <f>BF128+2855</f>
        <v>6123</v>
      </c>
      <c r="BG154" s="184">
        <f>BG128+3068</f>
        <v>5205</v>
      </c>
      <c r="BI154" s="145"/>
      <c r="BJ154" s="179">
        <f>BJ128+907</f>
        <v>4116</v>
      </c>
      <c r="BK154" s="179"/>
      <c r="BL154" s="179">
        <f>BL128+7007</f>
        <v>12864</v>
      </c>
      <c r="BM154" s="179">
        <f>BM128+1872</f>
        <v>6575</v>
      </c>
      <c r="BN154" s="197">
        <f>BN128+1955</f>
        <v>7123</v>
      </c>
      <c r="BO154" s="78"/>
      <c r="BP154" s="198">
        <f>BP128+1489</f>
        <v>6963</v>
      </c>
      <c r="BQ154" s="78"/>
      <c r="BR154" s="145"/>
      <c r="BS154" s="45"/>
      <c r="BT154" s="45"/>
      <c r="BU154" s="45"/>
      <c r="BV154" s="45"/>
      <c r="BW154" s="45"/>
      <c r="BX154" s="45"/>
      <c r="BY154" s="45"/>
      <c r="BZ154" s="140"/>
      <c r="CA154" s="108"/>
    </row>
    <row r="155" spans="1:84" ht="10.5" thickBot="1">
      <c r="A155" s="139" t="s">
        <v>94</v>
      </c>
      <c r="B155" s="154"/>
      <c r="C155" s="194">
        <v>3012</v>
      </c>
      <c r="D155" s="196">
        <v>6295</v>
      </c>
      <c r="E155" s="196">
        <v>610</v>
      </c>
      <c r="F155" s="196"/>
      <c r="G155" s="196"/>
      <c r="H155" s="196"/>
      <c r="I155" s="196">
        <v>9200</v>
      </c>
      <c r="J155" s="196"/>
      <c r="K155" s="196"/>
      <c r="L155" s="196"/>
      <c r="M155" s="196"/>
      <c r="N155" s="196"/>
      <c r="O155" s="122">
        <v>18300</v>
      </c>
      <c r="P155" s="122"/>
      <c r="Q155" s="122"/>
      <c r="R155" s="122"/>
      <c r="S155" s="122">
        <v>12100</v>
      </c>
      <c r="T155" s="195">
        <v>6200</v>
      </c>
      <c r="U155" s="122"/>
      <c r="V155" s="122"/>
      <c r="W155" s="122">
        <v>8200</v>
      </c>
      <c r="X155" s="122"/>
      <c r="Y155" s="122"/>
      <c r="Z155" s="122"/>
      <c r="AA155" s="122"/>
      <c r="AB155" s="122"/>
      <c r="AC155" s="155"/>
      <c r="AE155" s="154"/>
      <c r="AF155" s="122"/>
      <c r="AG155" s="122"/>
      <c r="AH155" s="122"/>
      <c r="AI155" s="122"/>
      <c r="AJ155" s="122"/>
      <c r="AK155" s="122"/>
      <c r="AL155" s="122">
        <v>7506</v>
      </c>
      <c r="AM155" s="122"/>
      <c r="AN155" s="122"/>
      <c r="AO155" s="122"/>
      <c r="AP155" s="122"/>
      <c r="AQ155" s="122"/>
      <c r="AR155" s="122"/>
      <c r="AS155" s="122">
        <v>7432</v>
      </c>
      <c r="AT155" s="122"/>
      <c r="AU155" s="122">
        <v>8762</v>
      </c>
      <c r="AV155" s="122"/>
      <c r="AW155" s="122"/>
      <c r="AX155" s="122">
        <v>12656</v>
      </c>
      <c r="AY155" s="122">
        <v>14311</v>
      </c>
      <c r="AZ155" s="122">
        <v>16160</v>
      </c>
      <c r="BA155" s="122">
        <v>14562</v>
      </c>
      <c r="BB155" s="122"/>
      <c r="BC155" s="122">
        <v>14532</v>
      </c>
      <c r="BD155" s="122"/>
      <c r="BE155" s="122">
        <v>15300</v>
      </c>
      <c r="BF155" s="122">
        <v>15300</v>
      </c>
      <c r="BG155" s="155">
        <v>12740</v>
      </c>
      <c r="BI155" s="154"/>
      <c r="BJ155" s="122">
        <v>10700</v>
      </c>
      <c r="BK155" s="122"/>
      <c r="BL155" s="122">
        <v>25000</v>
      </c>
      <c r="BM155" s="122">
        <v>17570</v>
      </c>
      <c r="BN155" s="155">
        <v>17500</v>
      </c>
      <c r="BP155" s="169">
        <v>18250</v>
      </c>
      <c r="BR155" s="154"/>
      <c r="BS155" s="122"/>
      <c r="BT155" s="122"/>
      <c r="BU155" s="122"/>
      <c r="BV155" s="122"/>
      <c r="BW155" s="122"/>
      <c r="BX155" s="122"/>
      <c r="BY155" s="122"/>
      <c r="BZ155" s="155"/>
      <c r="CA155" s="94"/>
    </row>
    <row r="157" spans="1:84">
      <c r="A157" s="3" t="s">
        <v>96</v>
      </c>
      <c r="C157" s="13" t="s">
        <v>97</v>
      </c>
      <c r="D157" s="13" t="s">
        <v>104</v>
      </c>
      <c r="E157" s="13" t="s">
        <v>103</v>
      </c>
      <c r="I157" s="13" t="s">
        <v>107</v>
      </c>
      <c r="O157" s="13" t="s">
        <v>112</v>
      </c>
      <c r="S157" s="13" t="s">
        <v>110</v>
      </c>
      <c r="T157" s="13" t="s">
        <v>100</v>
      </c>
      <c r="W157" s="13" t="s">
        <v>106</v>
      </c>
      <c r="AL157" s="13" t="s">
        <v>179</v>
      </c>
      <c r="AU157" s="13" t="s">
        <v>180</v>
      </c>
      <c r="AZ157" s="13" t="s">
        <v>112</v>
      </c>
      <c r="BE157" s="13" t="s">
        <v>112</v>
      </c>
      <c r="BF157" s="13" t="s">
        <v>112</v>
      </c>
      <c r="BG157" s="13" t="s">
        <v>183</v>
      </c>
      <c r="BI157" s="178" t="s">
        <v>202</v>
      </c>
      <c r="BJ157" s="13" t="s">
        <v>180</v>
      </c>
    </row>
    <row r="158" spans="1:84">
      <c r="C158" s="13" t="s">
        <v>98</v>
      </c>
      <c r="D158" s="13" t="s">
        <v>102</v>
      </c>
      <c r="I158" s="13" t="s">
        <v>105</v>
      </c>
      <c r="O158" s="13" t="s">
        <v>113</v>
      </c>
      <c r="S158" s="13" t="s">
        <v>111</v>
      </c>
      <c r="T158" s="13" t="s">
        <v>101</v>
      </c>
      <c r="W158" s="13" t="s">
        <v>108</v>
      </c>
      <c r="AL158" s="13" t="s">
        <v>178</v>
      </c>
      <c r="AU158" s="13" t="s">
        <v>102</v>
      </c>
      <c r="AZ158" s="13" t="s">
        <v>181</v>
      </c>
      <c r="BE158" s="13" t="s">
        <v>111</v>
      </c>
      <c r="BF158" s="13" t="s">
        <v>111</v>
      </c>
      <c r="BG158" s="13" t="s">
        <v>184</v>
      </c>
      <c r="BJ158" s="13" t="s">
        <v>206</v>
      </c>
    </row>
    <row r="159" spans="1:84">
      <c r="S159" s="13" t="s">
        <v>114</v>
      </c>
      <c r="AZ159" s="13" t="s">
        <v>182</v>
      </c>
      <c r="BJ159" s="13" t="s">
        <v>207</v>
      </c>
    </row>
    <row r="160" spans="1:84">
      <c r="W160" s="13" t="s">
        <v>109</v>
      </c>
    </row>
    <row r="162" spans="1:84">
      <c r="Y162" s="13">
        <v>238</v>
      </c>
    </row>
    <row r="163" spans="1:84">
      <c r="Y163" s="13">
        <v>4</v>
      </c>
    </row>
    <row r="164" spans="1:84">
      <c r="Y164" s="13">
        <v>193</v>
      </c>
    </row>
    <row r="167" spans="1:84">
      <c r="P167" s="13">
        <v>34.799999999999997</v>
      </c>
      <c r="Q167" s="13">
        <v>13.1</v>
      </c>
      <c r="BB167" s="13">
        <v>433.6</v>
      </c>
      <c r="BD167" s="13">
        <v>428.1</v>
      </c>
    </row>
    <row r="172" spans="1:84">
      <c r="A172" s="3" t="s">
        <v>383</v>
      </c>
      <c r="C172" s="211">
        <f t="shared" ref="C172:T172" si="276">C68/C33</f>
        <v>2.7491638795986622</v>
      </c>
      <c r="D172" s="211">
        <f t="shared" si="276"/>
        <v>3.5681818181818183</v>
      </c>
      <c r="E172" s="211">
        <f t="shared" si="276"/>
        <v>3.4491525423728815</v>
      </c>
      <c r="F172" s="211">
        <f t="shared" si="276"/>
        <v>3.5677966101694913</v>
      </c>
      <c r="G172" s="211">
        <f t="shared" si="276"/>
        <v>3.5381355932203391</v>
      </c>
      <c r="H172" s="211">
        <f t="shared" si="276"/>
        <v>4.7711864406779663</v>
      </c>
      <c r="I172" s="211">
        <f t="shared" si="276"/>
        <v>4.6822033898305087</v>
      </c>
      <c r="J172" s="211">
        <f t="shared" si="276"/>
        <v>4.7966101694915251</v>
      </c>
      <c r="K172" s="211">
        <f t="shared" si="276"/>
        <v>4.7457627118644066</v>
      </c>
      <c r="L172" s="211">
        <f t="shared" si="276"/>
        <v>4.7711864406779663</v>
      </c>
      <c r="M172" s="211">
        <f t="shared" si="276"/>
        <v>4.7542372881355934</v>
      </c>
      <c r="N172" s="211">
        <f t="shared" si="276"/>
        <v>4.7923728813559325</v>
      </c>
      <c r="O172" s="211">
        <f t="shared" si="276"/>
        <v>5.85</v>
      </c>
      <c r="P172" s="211">
        <f t="shared" si="276"/>
        <v>4.8653333333333331</v>
      </c>
      <c r="Q172" s="211">
        <f t="shared" si="276"/>
        <v>4.8246666666666673</v>
      </c>
      <c r="R172" s="211">
        <f t="shared" si="276"/>
        <v>4.5713795617307778</v>
      </c>
      <c r="S172" s="211">
        <f t="shared" si="276"/>
        <v>4.351694915254237</v>
      </c>
      <c r="T172" s="211">
        <f t="shared" si="276"/>
        <v>3.0303030303030303</v>
      </c>
      <c r="U172" s="211"/>
      <c r="V172" s="211">
        <f>V68/V33</f>
        <v>4.383266110121002</v>
      </c>
      <c r="W172" s="211">
        <f>W68/W33</f>
        <v>4.3335521996060411</v>
      </c>
      <c r="X172" s="211">
        <f>X68/X33</f>
        <v>4.3813901134977957</v>
      </c>
      <c r="Y172" s="211"/>
      <c r="Z172" s="211">
        <f>Z68/Z33</f>
        <v>4.3616921489541323</v>
      </c>
      <c r="AA172" s="211">
        <f>AA68/AA33</f>
        <v>4.1411290322580649</v>
      </c>
      <c r="AB172" s="211">
        <f>AB68/AB33</f>
        <v>4.5951612903225802</v>
      </c>
      <c r="AC172" s="211">
        <f>AC68/AC33</f>
        <v>4.645161290322581</v>
      </c>
      <c r="AD172" s="211"/>
      <c r="AE172" s="211">
        <f>AE68/AE33</f>
        <v>3.3438008616562946</v>
      </c>
      <c r="AF172" s="211">
        <f>AF68/AF33</f>
        <v>3.5385351842987078</v>
      </c>
      <c r="AG172" s="211">
        <f>AG68/AG33</f>
        <v>3.5078985160363807</v>
      </c>
      <c r="AH172" s="211"/>
      <c r="AI172" s="211">
        <f t="shared" ref="AI172:BG172" si="277">AI68/AI33</f>
        <v>3.4609861177596937</v>
      </c>
      <c r="AJ172" s="211">
        <f t="shared" si="277"/>
        <v>4.168980373384394</v>
      </c>
      <c r="AK172" s="211">
        <f t="shared" si="277"/>
        <v>3.8822403063666826</v>
      </c>
      <c r="AL172" s="211">
        <f t="shared" si="277"/>
        <v>4.0449976065102922</v>
      </c>
      <c r="AM172" s="211">
        <f t="shared" si="277"/>
        <v>3.532790808999521</v>
      </c>
      <c r="AN172" s="211">
        <f t="shared" si="277"/>
        <v>3.6299664911440876</v>
      </c>
      <c r="AO172" s="211">
        <f t="shared" si="277"/>
        <v>3.3580660603159407</v>
      </c>
      <c r="AP172" s="211">
        <f t="shared" si="277"/>
        <v>4.14983245572044</v>
      </c>
      <c r="AQ172" s="211">
        <f t="shared" si="277"/>
        <v>4.037817137386309</v>
      </c>
      <c r="AR172" s="211">
        <f t="shared" si="277"/>
        <v>3.4346153846153844</v>
      </c>
      <c r="AS172" s="211">
        <f t="shared" si="277"/>
        <v>3.3923076923076922</v>
      </c>
      <c r="AT172" s="211">
        <f t="shared" si="277"/>
        <v>4.5423076923076922</v>
      </c>
      <c r="AU172" s="211">
        <f t="shared" si="277"/>
        <v>4.3038461538461537</v>
      </c>
      <c r="AV172" s="211">
        <f t="shared" si="277"/>
        <v>4.5423076923076922</v>
      </c>
      <c r="AW172" s="211">
        <f t="shared" si="277"/>
        <v>4.4384615384615387</v>
      </c>
      <c r="AX172" s="211">
        <f t="shared" si="277"/>
        <v>6.757006369426751</v>
      </c>
      <c r="AY172" s="211">
        <f t="shared" si="277"/>
        <v>6.8308917197452228</v>
      </c>
      <c r="AZ172" s="211">
        <f t="shared" si="277"/>
        <v>6.9426751592356686</v>
      </c>
      <c r="BA172" s="211">
        <f t="shared" si="277"/>
        <v>6.9601910828025479</v>
      </c>
      <c r="BB172" s="211">
        <f t="shared" si="277"/>
        <v>6.0613772455089823</v>
      </c>
      <c r="BC172" s="211">
        <f t="shared" si="277"/>
        <v>6.0092814371257486</v>
      </c>
      <c r="BD172" s="211">
        <f t="shared" si="277"/>
        <v>6.1071856287425152</v>
      </c>
      <c r="BE172" s="211">
        <f t="shared" si="277"/>
        <v>6.0479041916167668</v>
      </c>
      <c r="BF172" s="211">
        <f t="shared" si="277"/>
        <v>6.11377245508982</v>
      </c>
      <c r="BG172" s="211">
        <f t="shared" si="277"/>
        <v>4.6803278688524594</v>
      </c>
      <c r="BH172" s="211"/>
      <c r="BI172" s="211">
        <f>BI68/BI33</f>
        <v>2.8787878787878789</v>
      </c>
      <c r="BJ172" s="211">
        <f>BJ68/BJ33</f>
        <v>4.0210006176652255</v>
      </c>
      <c r="BK172" s="211">
        <f>BK68/BK33</f>
        <v>6.4853731343283583</v>
      </c>
      <c r="BL172" s="211">
        <f>BL68/BL33</f>
        <v>6.4725000000000001</v>
      </c>
      <c r="BM172" s="211">
        <f>BM68/BM33</f>
        <v>7.1516587677725116</v>
      </c>
      <c r="BN172" s="211">
        <f>BN68/BN33</f>
        <v>5.0274999999999999</v>
      </c>
      <c r="BO172" s="211"/>
      <c r="BP172" s="211">
        <f>BP68/BP33</f>
        <v>5.0571428571428569</v>
      </c>
      <c r="BQ172" s="211"/>
      <c r="BR172" s="211">
        <f t="shared" ref="BR172:BZ172" si="278">BR68/BR33</f>
        <v>2.4900000000000002</v>
      </c>
      <c r="BS172" s="211">
        <f t="shared" si="278"/>
        <v>2.3548387096774195</v>
      </c>
      <c r="BT172" s="211">
        <f t="shared" si="278"/>
        <v>2.7727272727272729</v>
      </c>
      <c r="BU172" s="211">
        <f t="shared" si="278"/>
        <v>2.6733870967741935</v>
      </c>
      <c r="BV172" s="211">
        <f t="shared" ref="BV172" si="279">BV68/BV33</f>
        <v>3.0685883038016804</v>
      </c>
      <c r="BW172" s="211">
        <f t="shared" si="278"/>
        <v>2.9707112970711296</v>
      </c>
      <c r="BX172" s="211">
        <f t="shared" si="278"/>
        <v>3.1822222222222223</v>
      </c>
      <c r="BY172" s="211">
        <f t="shared" si="278"/>
        <v>2.8787291747384733</v>
      </c>
      <c r="BZ172" s="211">
        <f t="shared" si="278"/>
        <v>2.975603988491704</v>
      </c>
      <c r="CA172" s="211">
        <f t="shared" ref="CA172" si="280">CA68/CA33</f>
        <v>1.4899328859060403</v>
      </c>
    </row>
    <row r="173" spans="1:84">
      <c r="A173" s="3" t="s">
        <v>450</v>
      </c>
      <c r="C173" s="13">
        <f>C147*C17/100000</f>
        <v>14.675000000000001</v>
      </c>
      <c r="D173" s="13">
        <f>D147*D17/100000</f>
        <v>53.1905</v>
      </c>
      <c r="E173" s="13">
        <f>E147*E17/100000</f>
        <v>58.075499999999998</v>
      </c>
      <c r="F173" s="13">
        <f>F147*F17/100000</f>
        <v>62.579000000000001</v>
      </c>
      <c r="G173" s="13">
        <f>G147*G17/100000</f>
        <v>65.108999999999995</v>
      </c>
      <c r="I173" s="13">
        <f>I147*I17/100000</f>
        <v>96.910499999999999</v>
      </c>
      <c r="O173" s="13">
        <f>O147*O17/100000</f>
        <v>267.45999999999998</v>
      </c>
      <c r="S173" s="13">
        <f>S147*S17/100000</f>
        <v>133.06485000000001</v>
      </c>
      <c r="T173" s="13">
        <f>T147*T17/100000</f>
        <v>39.052999999999997</v>
      </c>
      <c r="W173" s="13">
        <f>W147*W17/100000</f>
        <v>85.157499999999999</v>
      </c>
      <c r="AE173" s="13">
        <f t="shared" ref="AE173:AJ173" si="281">AE147*AE17/100000</f>
        <v>47.495725</v>
      </c>
      <c r="AF173" s="13">
        <f t="shared" si="281"/>
        <v>48.003500000000003</v>
      </c>
      <c r="AG173" s="13">
        <f t="shared" si="281"/>
        <v>48.024400000000007</v>
      </c>
      <c r="AH173" s="13">
        <f t="shared" si="281"/>
        <v>64.910399999999996</v>
      </c>
      <c r="AI173" s="13">
        <f t="shared" si="281"/>
        <v>65.022000000000006</v>
      </c>
      <c r="AJ173" s="13">
        <f t="shared" si="281"/>
        <v>78.223200000000006</v>
      </c>
      <c r="AL173" s="13">
        <f>AL147*AL17/100000</f>
        <v>86.748000000000005</v>
      </c>
      <c r="AN173" s="13">
        <f>AN147*AN17/100000</f>
        <v>47.652000000000001</v>
      </c>
      <c r="AO173" s="13">
        <f>AO147*AO17/100000</f>
        <v>59.805900000000001</v>
      </c>
      <c r="AP173" s="13">
        <f>AP147*AP17/100000</f>
        <v>73.134</v>
      </c>
      <c r="AQ173" s="13">
        <f>AQ147*AQ17/100000</f>
        <v>67.234200000000001</v>
      </c>
      <c r="AS173" s="13">
        <f>AS147*AS17/100000</f>
        <v>82.74</v>
      </c>
      <c r="AU173" s="13">
        <f>AU147*AU17/100000</f>
        <v>94.548000000000002</v>
      </c>
      <c r="AV173" s="13">
        <f>AV147*AV17/100000</f>
        <v>89.111999999999995</v>
      </c>
      <c r="AX173" s="13">
        <f>AX147*AX17/100000</f>
        <v>222.85199999999998</v>
      </c>
      <c r="AY173" s="13">
        <f>AY147*AY17/100000</f>
        <v>226.864</v>
      </c>
      <c r="AZ173" s="13">
        <f>AZ147*AZ17/100000</f>
        <v>257.25</v>
      </c>
      <c r="BA173" s="13">
        <f>BA147*BA17/100000</f>
        <v>260.50080000000003</v>
      </c>
      <c r="BC173" s="13">
        <f>BC147*BC17/100000</f>
        <v>230.11199999999999</v>
      </c>
      <c r="BE173" s="13">
        <f>BE147*BE17/100000</f>
        <v>245.26</v>
      </c>
      <c r="BF173" s="13">
        <f>BF147*BF17/100000</f>
        <v>249.84</v>
      </c>
      <c r="BG173" s="13">
        <f>BG147*BG17/100000</f>
        <v>192.67500000000001</v>
      </c>
      <c r="BI173" s="13">
        <f>BI147*BI17/100000</f>
        <v>62.229750000000003</v>
      </c>
      <c r="BJ173" s="13">
        <f>BJ147*BJ17/100000</f>
        <v>125.60599999999999</v>
      </c>
      <c r="BL173" s="13">
        <f>BL147*BL17/100000</f>
        <v>484.08300000000003</v>
      </c>
      <c r="BM173" s="13">
        <f>BM147*BM17/100000</f>
        <v>293.49299999999999</v>
      </c>
      <c r="BN173" s="13">
        <f>BN147*BN17/100000</f>
        <v>383.17500000000001</v>
      </c>
      <c r="BP173" s="13">
        <f>BP147*BP17/100000</f>
        <v>312.322</v>
      </c>
      <c r="BR173" s="13">
        <f t="shared" ref="BR173:BZ173" si="282">BR147*BR17/100000</f>
        <v>4.2157499999999999</v>
      </c>
      <c r="BS173" s="13">
        <f t="shared" si="282"/>
        <v>2.4222000000000001</v>
      </c>
      <c r="BT173" s="13">
        <f t="shared" si="282"/>
        <v>18.145600000000002</v>
      </c>
      <c r="BU173" s="13">
        <f t="shared" si="282"/>
        <v>17.768000000000001</v>
      </c>
      <c r="BV173" s="13">
        <f>BV147*BV17/100000</f>
        <v>43.960500000000003</v>
      </c>
      <c r="BW173" s="13">
        <f t="shared" si="282"/>
        <v>18.954000000000001</v>
      </c>
      <c r="BX173" s="13">
        <f t="shared" si="282"/>
        <v>31.326000000000001</v>
      </c>
      <c r="BY173" s="13">
        <f t="shared" si="282"/>
        <v>31.271999999999998</v>
      </c>
      <c r="BZ173" s="13">
        <f t="shared" si="282"/>
        <v>31.59</v>
      </c>
      <c r="CA173" s="13">
        <f t="shared" ref="CA173" si="283">CA147*CA17/100000</f>
        <v>5.7948000000000004</v>
      </c>
    </row>
    <row r="174" spans="1:84">
      <c r="A174" s="3" t="s">
        <v>451</v>
      </c>
      <c r="C174" s="13">
        <f t="shared" ref="C174:AH174" si="284">C147*C17^3/100000000000</f>
        <v>3.6687500000000002</v>
      </c>
      <c r="D174" s="13">
        <f t="shared" si="284"/>
        <v>48.004426250000002</v>
      </c>
      <c r="E174" s="13">
        <f t="shared" si="284"/>
        <v>64.02823875</v>
      </c>
      <c r="F174" s="13">
        <f t="shared" si="284"/>
        <v>75.720590000000001</v>
      </c>
      <c r="G174" s="13">
        <f t="shared" si="284"/>
        <v>78.781890000000004</v>
      </c>
      <c r="H174" s="13">
        <f t="shared" si="284"/>
        <v>0</v>
      </c>
      <c r="I174" s="13">
        <f t="shared" si="284"/>
        <v>128.16413625000001</v>
      </c>
      <c r="J174" s="13">
        <f t="shared" si="284"/>
        <v>0</v>
      </c>
      <c r="K174" s="13">
        <f t="shared" si="284"/>
        <v>0</v>
      </c>
      <c r="L174" s="13">
        <f t="shared" si="284"/>
        <v>0</v>
      </c>
      <c r="M174" s="13">
        <f t="shared" si="284"/>
        <v>0</v>
      </c>
      <c r="N174" s="13">
        <f t="shared" si="284"/>
        <v>0</v>
      </c>
      <c r="O174" s="13">
        <f t="shared" si="284"/>
        <v>1069.8399999999999</v>
      </c>
      <c r="P174" s="13">
        <f t="shared" si="284"/>
        <v>0</v>
      </c>
      <c r="Q174" s="13">
        <f t="shared" si="284"/>
        <v>0</v>
      </c>
      <c r="R174" s="13">
        <f t="shared" si="284"/>
        <v>0</v>
      </c>
      <c r="S174" s="13">
        <f t="shared" si="284"/>
        <v>230.09906524125</v>
      </c>
      <c r="T174" s="13">
        <f t="shared" si="284"/>
        <v>19.13597</v>
      </c>
      <c r="U174" s="13">
        <f t="shared" si="284"/>
        <v>0</v>
      </c>
      <c r="V174" s="13">
        <f t="shared" si="284"/>
        <v>0</v>
      </c>
      <c r="W174" s="13">
        <f t="shared" si="284"/>
        <v>112.62079375</v>
      </c>
      <c r="X174" s="13">
        <f t="shared" si="284"/>
        <v>0</v>
      </c>
      <c r="Y174" s="13">
        <f t="shared" si="284"/>
        <v>0</v>
      </c>
      <c r="Z174" s="13">
        <f t="shared" si="284"/>
        <v>0</v>
      </c>
      <c r="AA174" s="13">
        <f t="shared" si="284"/>
        <v>0</v>
      </c>
      <c r="AB174" s="13">
        <f t="shared" si="284"/>
        <v>0</v>
      </c>
      <c r="AC174" s="13">
        <f t="shared" si="284"/>
        <v>0</v>
      </c>
      <c r="AD174" s="13">
        <f t="shared" si="284"/>
        <v>0</v>
      </c>
      <c r="AE174" s="13">
        <f t="shared" si="284"/>
        <v>42.864891812499998</v>
      </c>
      <c r="AF174" s="13">
        <f t="shared" si="284"/>
        <v>43.323158749999997</v>
      </c>
      <c r="AG174" s="13">
        <f t="shared" si="284"/>
        <v>43.342021000000003</v>
      </c>
      <c r="AH174" s="13">
        <f t="shared" si="284"/>
        <v>93.470975999999993</v>
      </c>
      <c r="AI174" s="13">
        <f t="shared" ref="AI174:BP174" si="285">AI147*AI17^3/100000000000</f>
        <v>93.631680000000003</v>
      </c>
      <c r="AJ174" s="13">
        <f t="shared" si="285"/>
        <v>112.641408</v>
      </c>
      <c r="AK174" s="13">
        <f t="shared" si="285"/>
        <v>0</v>
      </c>
      <c r="AL174" s="13">
        <f t="shared" si="285"/>
        <v>124.91712</v>
      </c>
      <c r="AN174" s="13">
        <f t="shared" ref="AN174" si="286">AN147*AN17^3/100000000000</f>
        <v>43.005929999999999</v>
      </c>
      <c r="AO174" s="13">
        <f t="shared" si="285"/>
        <v>72.365138999999999</v>
      </c>
      <c r="AP174" s="13">
        <f t="shared" si="285"/>
        <v>105.31296</v>
      </c>
      <c r="AQ174" s="13">
        <f t="shared" si="285"/>
        <v>81.353381999999996</v>
      </c>
      <c r="AR174" s="13">
        <f t="shared" si="285"/>
        <v>0</v>
      </c>
      <c r="AS174" s="13">
        <f t="shared" si="285"/>
        <v>119.1456</v>
      </c>
      <c r="AT174" s="13">
        <f t="shared" si="285"/>
        <v>0</v>
      </c>
      <c r="AU174" s="13">
        <f t="shared" si="285"/>
        <v>136.14912000000001</v>
      </c>
      <c r="AV174" s="13">
        <f t="shared" si="285"/>
        <v>128.32128</v>
      </c>
      <c r="AW174" s="13">
        <f t="shared" si="285"/>
        <v>0</v>
      </c>
      <c r="AX174" s="13">
        <f t="shared" si="285"/>
        <v>891.40799999999979</v>
      </c>
      <c r="AY174" s="13">
        <f t="shared" si="285"/>
        <v>907.45600000000002</v>
      </c>
      <c r="AZ174" s="13">
        <f t="shared" si="285"/>
        <v>1134.4725000000001</v>
      </c>
      <c r="BA174" s="13">
        <f t="shared" si="285"/>
        <v>1148.8085280000003</v>
      </c>
      <c r="BB174" s="13">
        <f t="shared" si="285"/>
        <v>0</v>
      </c>
      <c r="BC174" s="13">
        <f t="shared" si="285"/>
        <v>920.44799999999998</v>
      </c>
      <c r="BD174" s="13">
        <f t="shared" si="285"/>
        <v>0</v>
      </c>
      <c r="BE174" s="13">
        <f t="shared" si="285"/>
        <v>981.04</v>
      </c>
      <c r="BF174" s="13">
        <f t="shared" si="285"/>
        <v>999.36</v>
      </c>
      <c r="BG174" s="13">
        <f t="shared" si="285"/>
        <v>849.69674999999995</v>
      </c>
      <c r="BH174" s="13">
        <f t="shared" si="285"/>
        <v>0</v>
      </c>
      <c r="BI174" s="13">
        <f t="shared" si="285"/>
        <v>42.355123593750001</v>
      </c>
      <c r="BJ174" s="13">
        <f t="shared" si="285"/>
        <v>212.27413999999999</v>
      </c>
      <c r="BL174" s="13">
        <f t="shared" si="285"/>
        <v>3528.9650700000002</v>
      </c>
      <c r="BM174" s="13">
        <f t="shared" si="285"/>
        <v>1059.50973</v>
      </c>
      <c r="BN174" s="13">
        <f t="shared" si="285"/>
        <v>2394.84375</v>
      </c>
      <c r="BO174" s="13">
        <f t="shared" si="285"/>
        <v>0</v>
      </c>
      <c r="BP174" s="13">
        <f t="shared" si="285"/>
        <v>1127.48242</v>
      </c>
      <c r="BQ174" s="13">
        <f t="shared" ref="BQ174:BZ174" si="287">BQ147*BQ17^3/100000000000</f>
        <v>0</v>
      </c>
      <c r="BR174" s="13">
        <f t="shared" si="287"/>
        <v>0.12910734374999999</v>
      </c>
      <c r="BS174" s="13">
        <f t="shared" si="287"/>
        <v>4.22044128E-2</v>
      </c>
      <c r="BT174" s="13">
        <f t="shared" si="287"/>
        <v>3.5129881599999999</v>
      </c>
      <c r="BU174" s="13">
        <f t="shared" si="287"/>
        <v>2.8428800000000001</v>
      </c>
      <c r="BV174" s="13">
        <f t="shared" ref="BV174" si="288">BV147*BV17^3/100000000000</f>
        <v>8.9020012499999996</v>
      </c>
      <c r="BW174" s="13">
        <f t="shared" si="287"/>
        <v>3.8381850000000002</v>
      </c>
      <c r="BX174" s="13">
        <f t="shared" si="287"/>
        <v>11.27736</v>
      </c>
      <c r="BY174" s="13">
        <f t="shared" si="287"/>
        <v>11.25792</v>
      </c>
      <c r="BZ174" s="13">
        <f t="shared" si="287"/>
        <v>11.372400000000001</v>
      </c>
      <c r="CA174" s="13">
        <f t="shared" ref="CA174:CF174" si="289">CA147*CA17^3/100000000000</f>
        <v>0.28046831999999999</v>
      </c>
      <c r="CB174" s="13"/>
      <c r="CC174" s="13">
        <f t="shared" si="289"/>
        <v>0</v>
      </c>
      <c r="CD174" s="13">
        <f t="shared" si="289"/>
        <v>0</v>
      </c>
      <c r="CE174" s="13">
        <f t="shared" si="289"/>
        <v>0</v>
      </c>
      <c r="CF174" s="13">
        <f t="shared" si="289"/>
        <v>0</v>
      </c>
    </row>
    <row r="175" spans="1:84">
      <c r="A175" s="3" t="s">
        <v>480</v>
      </c>
      <c r="C175" s="13">
        <f>C127/C147</f>
        <v>0.74752981260647355</v>
      </c>
      <c r="D175" s="13">
        <f t="shared" ref="D175:BQ175" si="290">D127/D147</f>
        <v>0.7706733345240222</v>
      </c>
      <c r="E175" s="13">
        <f t="shared" si="290"/>
        <v>0.7879226179714337</v>
      </c>
      <c r="F175" s="13">
        <f t="shared" si="290"/>
        <v>0.78801195289154513</v>
      </c>
      <c r="G175" s="13">
        <f t="shared" si="290"/>
        <v>0.79624936644703492</v>
      </c>
      <c r="H175" s="13" t="e">
        <f t="shared" si="290"/>
        <v>#DIV/0!</v>
      </c>
      <c r="I175" s="13">
        <f t="shared" si="290"/>
        <v>0.72706775839563309</v>
      </c>
      <c r="J175" s="13" t="e">
        <f t="shared" si="290"/>
        <v>#DIV/0!</v>
      </c>
      <c r="K175" s="13" t="e">
        <f t="shared" si="290"/>
        <v>#DIV/0!</v>
      </c>
      <c r="L175" s="13" t="e">
        <f t="shared" si="290"/>
        <v>#DIV/0!</v>
      </c>
      <c r="M175" s="13" t="e">
        <f t="shared" si="290"/>
        <v>#DIV/0!</v>
      </c>
      <c r="N175" s="13" t="e">
        <f t="shared" si="290"/>
        <v>#DIV/0!</v>
      </c>
      <c r="O175" s="13">
        <f t="shared" si="290"/>
        <v>0.72063112241082783</v>
      </c>
      <c r="P175" s="13" t="e">
        <f t="shared" si="290"/>
        <v>#DIV/0!</v>
      </c>
      <c r="Q175" s="13" t="e">
        <f t="shared" si="290"/>
        <v>#DIV/0!</v>
      </c>
      <c r="R175" s="13" t="e">
        <f t="shared" si="290"/>
        <v>#DIV/0!</v>
      </c>
      <c r="S175" s="13">
        <f t="shared" si="290"/>
        <v>0.69670916098428703</v>
      </c>
      <c r="T175" s="13">
        <f t="shared" si="290"/>
        <v>0.75855888151998563</v>
      </c>
      <c r="U175" s="13">
        <f t="shared" si="290"/>
        <v>0.74602552846626591</v>
      </c>
      <c r="V175" s="13" t="e">
        <f t="shared" si="290"/>
        <v>#DIV/0!</v>
      </c>
      <c r="W175" s="13">
        <f t="shared" si="290"/>
        <v>0.72424037812288999</v>
      </c>
      <c r="X175" s="13" t="e">
        <f t="shared" si="290"/>
        <v>#DIV/0!</v>
      </c>
      <c r="Y175" s="13" t="e">
        <f t="shared" si="290"/>
        <v>#DIV/0!</v>
      </c>
      <c r="Z175" s="13" t="e">
        <f t="shared" si="290"/>
        <v>#DIV/0!</v>
      </c>
      <c r="AA175" s="13" t="e">
        <f t="shared" si="290"/>
        <v>#DIV/0!</v>
      </c>
      <c r="AB175" s="13" t="e">
        <f t="shared" si="290"/>
        <v>#DIV/0!</v>
      </c>
      <c r="AC175" s="13" t="e">
        <f t="shared" si="290"/>
        <v>#DIV/0!</v>
      </c>
      <c r="AD175" s="13" t="e">
        <f t="shared" si="290"/>
        <v>#DIV/0!</v>
      </c>
      <c r="AE175" s="13">
        <f t="shared" si="290"/>
        <v>0.74437699392945367</v>
      </c>
      <c r="AF175" s="13">
        <f t="shared" si="290"/>
        <v>0.74866415990500701</v>
      </c>
      <c r="AG175" s="13">
        <f t="shared" si="290"/>
        <v>0.74875375850609271</v>
      </c>
      <c r="AH175" s="13">
        <f t="shared" si="290"/>
        <v>0.76373585742808547</v>
      </c>
      <c r="AI175" s="13">
        <f t="shared" si="290"/>
        <v>0.76585770969825606</v>
      </c>
      <c r="AJ175" s="13">
        <f t="shared" si="290"/>
        <v>0.73103120301905311</v>
      </c>
      <c r="AK175" s="13" t="e">
        <f t="shared" si="290"/>
        <v>#DIV/0!</v>
      </c>
      <c r="AL175" s="13">
        <f t="shared" si="290"/>
        <v>0.67367547378613912</v>
      </c>
      <c r="AN175" s="13">
        <f t="shared" ref="AN175" si="291">AN127/AN147</f>
        <v>0.7478070175438597</v>
      </c>
      <c r="AO175" s="13">
        <f t="shared" si="290"/>
        <v>0.73933675440048563</v>
      </c>
      <c r="AP175" s="13">
        <f t="shared" si="290"/>
        <v>0.70260070555418819</v>
      </c>
      <c r="AQ175" s="13">
        <f t="shared" si="290"/>
        <v>0.69830830142992706</v>
      </c>
      <c r="AR175" s="13" t="e">
        <f t="shared" si="290"/>
        <v>#DIV/0!</v>
      </c>
      <c r="AS175" s="13">
        <f t="shared" si="290"/>
        <v>0.76765772298767221</v>
      </c>
      <c r="AT175" s="13" t="e">
        <f t="shared" si="290"/>
        <v>#DIV/0!</v>
      </c>
      <c r="AU175" s="13">
        <f t="shared" si="290"/>
        <v>0.73588018784109654</v>
      </c>
      <c r="AV175" s="13">
        <f t="shared" si="290"/>
        <v>0.77819822246162129</v>
      </c>
      <c r="AW175" s="13" t="e">
        <f t="shared" si="290"/>
        <v>#DIV/0!</v>
      </c>
      <c r="AX175" s="13">
        <f t="shared" si="290"/>
        <v>0.78548992156229258</v>
      </c>
      <c r="AY175" s="13">
        <f t="shared" si="290"/>
        <v>0.77782283658932216</v>
      </c>
      <c r="AZ175" s="13">
        <f t="shared" si="290"/>
        <v>0.75689795918367342</v>
      </c>
      <c r="BA175" s="13">
        <f t="shared" si="290"/>
        <v>0.74501805752611894</v>
      </c>
      <c r="BB175" s="13" t="e">
        <f t="shared" si="290"/>
        <v>#DIV/0!</v>
      </c>
      <c r="BC175" s="13">
        <f t="shared" si="290"/>
        <v>0.78422681129189264</v>
      </c>
      <c r="BD175" s="13" t="e">
        <f t="shared" si="290"/>
        <v>#DIV/0!</v>
      </c>
      <c r="BE175" s="13">
        <f t="shared" si="290"/>
        <v>0.74875642175650325</v>
      </c>
      <c r="BF175" s="13">
        <f t="shared" si="290"/>
        <v>0.73839257124559721</v>
      </c>
      <c r="BG175" s="13">
        <f t="shared" si="290"/>
        <v>0.76708446866485014</v>
      </c>
      <c r="BH175" s="13" t="e">
        <f t="shared" si="290"/>
        <v>#DIV/0!</v>
      </c>
      <c r="BI175" s="13">
        <f t="shared" si="290"/>
        <v>0.67691899774625486</v>
      </c>
      <c r="BJ175" s="13">
        <f t="shared" si="290"/>
        <v>0.66787414613951568</v>
      </c>
      <c r="BL175" s="13">
        <f t="shared" si="290"/>
        <v>0.67332255005856434</v>
      </c>
      <c r="BM175" s="13">
        <f t="shared" si="290"/>
        <v>0.6955395869748171</v>
      </c>
      <c r="BN175" s="13">
        <f t="shared" si="290"/>
        <v>0.66281725060351016</v>
      </c>
      <c r="BO175" s="13" t="e">
        <f t="shared" si="290"/>
        <v>#DIV/0!</v>
      </c>
      <c r="BP175" s="13">
        <f t="shared" si="290"/>
        <v>0.66699111814089307</v>
      </c>
      <c r="BQ175" s="13" t="e">
        <f t="shared" si="290"/>
        <v>#DIV/0!</v>
      </c>
      <c r="BR175" s="13">
        <f t="shared" ref="BR175:BZ175" si="292">BR127/BR147</f>
        <v>0.70900788709007889</v>
      </c>
      <c r="BS175" s="13">
        <f t="shared" si="292"/>
        <v>0.69100817438692097</v>
      </c>
      <c r="BT175" s="13">
        <f t="shared" si="292"/>
        <v>0.73157129000969934</v>
      </c>
      <c r="BU175" s="13">
        <f t="shared" si="292"/>
        <v>0.74606033318325082</v>
      </c>
      <c r="BV175" s="13">
        <f t="shared" ref="BV175" si="293">BV127/BV147</f>
        <v>0.36305353669771728</v>
      </c>
      <c r="BW175" s="13">
        <f t="shared" si="292"/>
        <v>0.75118708452041782</v>
      </c>
      <c r="BX175" s="13">
        <f t="shared" si="292"/>
        <v>0.77494732809806555</v>
      </c>
      <c r="BY175" s="13">
        <f t="shared" si="292"/>
        <v>0.77475057559478122</v>
      </c>
      <c r="BZ175" s="13">
        <f t="shared" si="292"/>
        <v>0.77682811016144349</v>
      </c>
      <c r="CA175" s="13">
        <f t="shared" ref="CA175" si="294">CA127/CA147</f>
        <v>0.73880030372057703</v>
      </c>
    </row>
    <row r="177" spans="1:79">
      <c r="A177" s="3" t="s">
        <v>482</v>
      </c>
    </row>
    <row r="178" spans="1:79">
      <c r="A178" s="3" t="s">
        <v>195</v>
      </c>
      <c r="C178" s="211"/>
      <c r="BR178" s="13">
        <f t="shared" ref="BR178:BZ178" si="295">BR26</f>
        <v>7.166666666666667</v>
      </c>
      <c r="BS178" s="13">
        <f t="shared" si="295"/>
        <v>7.583333333333333</v>
      </c>
      <c r="BT178" s="13">
        <f t="shared" si="295"/>
        <v>8.5</v>
      </c>
      <c r="BU178" s="13">
        <f t="shared" si="295"/>
        <v>8</v>
      </c>
      <c r="BV178" s="13">
        <f t="shared" si="295"/>
        <v>8.75</v>
      </c>
      <c r="BW178" s="13">
        <f t="shared" si="295"/>
        <v>9</v>
      </c>
      <c r="BX178" s="13">
        <f t="shared" si="295"/>
        <v>9.0833333333333339</v>
      </c>
      <c r="BY178" s="13">
        <f t="shared" si="295"/>
        <v>9</v>
      </c>
      <c r="BZ178" s="13">
        <f t="shared" si="295"/>
        <v>9</v>
      </c>
      <c r="CA178" s="13">
        <f t="shared" ref="CA178" si="296">CA26</f>
        <v>8.5</v>
      </c>
    </row>
    <row r="179" spans="1:79">
      <c r="A179" s="3" t="s">
        <v>194</v>
      </c>
      <c r="E179" s="13">
        <f t="shared" ref="E179:BP179" si="297">E26</f>
        <v>10</v>
      </c>
      <c r="F179" s="13">
        <f t="shared" si="297"/>
        <v>10.5</v>
      </c>
      <c r="G179" s="13">
        <f t="shared" si="297"/>
        <v>10.125</v>
      </c>
      <c r="H179" s="13">
        <f t="shared" si="297"/>
        <v>11</v>
      </c>
      <c r="I179" s="13">
        <f t="shared" si="297"/>
        <v>11</v>
      </c>
      <c r="J179" s="13">
        <f t="shared" si="297"/>
        <v>11</v>
      </c>
      <c r="K179" s="13">
        <f t="shared" si="297"/>
        <v>11</v>
      </c>
      <c r="L179" s="13">
        <f t="shared" si="297"/>
        <v>11</v>
      </c>
      <c r="M179" s="13">
        <f t="shared" si="297"/>
        <v>11</v>
      </c>
      <c r="N179" s="13">
        <f t="shared" si="297"/>
        <v>11</v>
      </c>
      <c r="V179" s="13">
        <f t="shared" si="297"/>
        <v>10.375</v>
      </c>
      <c r="W179" s="13">
        <f t="shared" si="297"/>
        <v>10.375</v>
      </c>
      <c r="X179" s="13">
        <f t="shared" si="297"/>
        <v>10.375</v>
      </c>
      <c r="Y179" s="13">
        <f t="shared" si="297"/>
        <v>11.583333333333334</v>
      </c>
      <c r="Z179" s="13">
        <f t="shared" si="297"/>
        <v>10.375</v>
      </c>
      <c r="AE179" s="13">
        <f t="shared" si="297"/>
        <v>9</v>
      </c>
      <c r="AF179" s="13">
        <f t="shared" si="297"/>
        <v>9</v>
      </c>
      <c r="AG179" s="13">
        <f t="shared" si="297"/>
        <v>9</v>
      </c>
      <c r="AK179" s="13">
        <f t="shared" si="297"/>
        <v>10.25</v>
      </c>
      <c r="AL179" s="13">
        <f t="shared" si="297"/>
        <v>10.25</v>
      </c>
      <c r="AM179" s="13">
        <f t="shared" si="297"/>
        <v>9</v>
      </c>
      <c r="AN179" s="13">
        <f t="shared" si="297"/>
        <v>9</v>
      </c>
      <c r="AQ179" s="13">
        <f t="shared" si="297"/>
        <v>10.083333333333334</v>
      </c>
      <c r="AR179" s="13">
        <f t="shared" si="297"/>
        <v>9.75</v>
      </c>
      <c r="AS179" s="13">
        <f t="shared" si="297"/>
        <v>9.75</v>
      </c>
      <c r="AT179" s="13">
        <f t="shared" si="297"/>
        <v>9.75</v>
      </c>
      <c r="AU179" s="13">
        <f t="shared" si="297"/>
        <v>9.75</v>
      </c>
      <c r="AV179" s="13">
        <f t="shared" si="297"/>
        <v>9.75</v>
      </c>
      <c r="AW179" s="13">
        <f t="shared" si="297"/>
        <v>10</v>
      </c>
      <c r="AX179" s="13">
        <f t="shared" si="297"/>
        <v>13.333333333333334</v>
      </c>
      <c r="AY179" s="13">
        <f t="shared" si="297"/>
        <v>13.083333333333334</v>
      </c>
      <c r="AZ179" s="13">
        <f t="shared" si="297"/>
        <v>13.333333333333334</v>
      </c>
      <c r="BA179" s="13">
        <f t="shared" si="297"/>
        <v>13.166666666666666</v>
      </c>
      <c r="BB179" s="13">
        <f t="shared" si="297"/>
        <v>13.083333333333334</v>
      </c>
      <c r="BC179" s="13">
        <f t="shared" si="297"/>
        <v>13.083333333333334</v>
      </c>
      <c r="BD179" s="13">
        <f t="shared" si="297"/>
        <v>13.083333333333334</v>
      </c>
      <c r="BE179" s="13">
        <f t="shared" si="297"/>
        <v>13.083333333333334</v>
      </c>
      <c r="BF179" s="13">
        <f t="shared" si="297"/>
        <v>13.083333333333334</v>
      </c>
      <c r="BG179" s="13">
        <f t="shared" si="297"/>
        <v>12.583333333333334</v>
      </c>
      <c r="BI179" s="13">
        <f t="shared" si="297"/>
        <v>9.5</v>
      </c>
      <c r="BJ179" s="13">
        <f t="shared" si="297"/>
        <v>10.833333333333334</v>
      </c>
      <c r="BK179" s="13">
        <f t="shared" ref="BK179" si="298">BK26</f>
        <v>12</v>
      </c>
      <c r="BL179" s="13">
        <f t="shared" si="297"/>
        <v>13.5</v>
      </c>
      <c r="BM179" s="13">
        <f t="shared" si="297"/>
        <v>12</v>
      </c>
      <c r="BN179" s="13">
        <f t="shared" si="297"/>
        <v>13.5</v>
      </c>
      <c r="BP179" s="13">
        <f t="shared" si="297"/>
        <v>13.083333333333334</v>
      </c>
    </row>
    <row r="180" spans="1:79">
      <c r="A180" s="3" t="s">
        <v>193</v>
      </c>
      <c r="O180" s="13">
        <f>O26</f>
        <v>13</v>
      </c>
      <c r="P180" s="13">
        <f>P26</f>
        <v>13</v>
      </c>
      <c r="Q180" s="13">
        <f>Q26</f>
        <v>13</v>
      </c>
      <c r="R180" s="13">
        <f>R26</f>
        <v>11.166666666666666</v>
      </c>
      <c r="S180" s="13">
        <f>S26</f>
        <v>11.166666666666666</v>
      </c>
      <c r="AA180" s="13">
        <f>AA26</f>
        <v>11</v>
      </c>
      <c r="AB180" s="13">
        <f>AB26</f>
        <v>12.166666666666666</v>
      </c>
      <c r="AC180" s="13">
        <f>AC26</f>
        <v>12.666666666666666</v>
      </c>
    </row>
  </sheetData>
  <mergeCells count="1">
    <mergeCell ref="BI1:BP1"/>
  </mergeCells>
  <phoneticPr fontId="4"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85023-B8CD-4A81-8E52-FC5DE4C56444}">
  <dimension ref="L1:M178"/>
  <sheetViews>
    <sheetView workbookViewId="0">
      <selection activeCell="L1" sqref="L1"/>
    </sheetView>
  </sheetViews>
  <sheetFormatPr defaultRowHeight="14.5"/>
  <cols>
    <col min="12" max="12" width="32.36328125" style="3" bestFit="1" customWidth="1"/>
    <col min="13" max="13" width="6.453125" style="13" bestFit="1" customWidth="1"/>
  </cols>
  <sheetData>
    <row r="1" spans="12:13" ht="15" thickBot="1"/>
    <row r="2" spans="12:13">
      <c r="L2" s="125"/>
      <c r="M2" s="144"/>
    </row>
    <row r="3" spans="12:13">
      <c r="L3" s="126"/>
      <c r="M3" s="145"/>
    </row>
    <row r="4" spans="12:13" ht="15" thickBot="1">
      <c r="L4" s="292" t="s">
        <v>446</v>
      </c>
      <c r="M4" s="293"/>
    </row>
    <row r="5" spans="12:13" ht="15" thickTop="1">
      <c r="L5" s="127" t="s">
        <v>161</v>
      </c>
      <c r="M5" s="150"/>
    </row>
    <row r="6" spans="12:13">
      <c r="L6" s="127" t="s">
        <v>60</v>
      </c>
      <c r="M6" s="150"/>
    </row>
    <row r="7" spans="12:13" ht="15" thickBot="1">
      <c r="L7" s="127" t="s">
        <v>61</v>
      </c>
      <c r="M7" s="150"/>
    </row>
    <row r="8" spans="12:13">
      <c r="L8" s="212" t="s">
        <v>448</v>
      </c>
      <c r="M8" s="147"/>
    </row>
    <row r="9" spans="12:13">
      <c r="L9" s="127" t="s">
        <v>162</v>
      </c>
      <c r="M9" s="150"/>
    </row>
    <row r="10" spans="12:13">
      <c r="L10" s="128" t="s">
        <v>63</v>
      </c>
      <c r="M10" s="150"/>
    </row>
    <row r="11" spans="12:13">
      <c r="L11" s="128" t="s">
        <v>62</v>
      </c>
      <c r="M11" s="150"/>
    </row>
    <row r="12" spans="12:13">
      <c r="L12" s="128" t="s">
        <v>478</v>
      </c>
      <c r="M12" s="150" t="s">
        <v>479</v>
      </c>
    </row>
    <row r="13" spans="12:13">
      <c r="L13" s="212" t="s">
        <v>318</v>
      </c>
      <c r="M13" s="150"/>
    </row>
    <row r="14" spans="12:13">
      <c r="L14" s="128" t="s">
        <v>463</v>
      </c>
      <c r="M14" s="150" t="s">
        <v>343</v>
      </c>
    </row>
    <row r="15" spans="12:13">
      <c r="L15" s="128" t="s">
        <v>326</v>
      </c>
      <c r="M15" s="150" t="s">
        <v>343</v>
      </c>
    </row>
    <row r="16" spans="12:13">
      <c r="L16" s="128" t="s">
        <v>464</v>
      </c>
      <c r="M16" s="150" t="s">
        <v>343</v>
      </c>
    </row>
    <row r="17" spans="12:13">
      <c r="L17" s="128" t="s">
        <v>319</v>
      </c>
      <c r="M17" s="150" t="s">
        <v>343</v>
      </c>
    </row>
    <row r="18" spans="12:13">
      <c r="L18" s="212" t="s">
        <v>320</v>
      </c>
      <c r="M18" s="150"/>
    </row>
    <row r="19" spans="12:13">
      <c r="L19" s="128" t="s">
        <v>276</v>
      </c>
      <c r="M19" s="150" t="s">
        <v>344</v>
      </c>
    </row>
    <row r="20" spans="12:13">
      <c r="L20" s="128" t="s">
        <v>465</v>
      </c>
      <c r="M20" s="150" t="s">
        <v>344</v>
      </c>
    </row>
    <row r="21" spans="12:13">
      <c r="L21" s="128" t="s">
        <v>466</v>
      </c>
      <c r="M21" s="150" t="s">
        <v>344</v>
      </c>
    </row>
    <row r="22" spans="12:13">
      <c r="L22" s="128" t="s">
        <v>449</v>
      </c>
      <c r="M22" s="150" t="s">
        <v>375</v>
      </c>
    </row>
    <row r="23" spans="12:13">
      <c r="L23" s="128" t="s">
        <v>381</v>
      </c>
      <c r="M23" s="150" t="s">
        <v>345</v>
      </c>
    </row>
    <row r="24" spans="12:13">
      <c r="L24" s="127" t="s">
        <v>148</v>
      </c>
      <c r="M24" s="150"/>
    </row>
    <row r="25" spans="12:13">
      <c r="L25" s="128" t="s">
        <v>155</v>
      </c>
      <c r="M25" s="150"/>
    </row>
    <row r="26" spans="12:13">
      <c r="L26" s="128" t="s">
        <v>149</v>
      </c>
      <c r="M26" s="150" t="s">
        <v>344</v>
      </c>
    </row>
    <row r="27" spans="12:13">
      <c r="L27" s="128" t="s">
        <v>273</v>
      </c>
      <c r="M27" s="150"/>
    </row>
    <row r="28" spans="12:13">
      <c r="L28" s="128" t="s">
        <v>274</v>
      </c>
      <c r="M28" s="150"/>
    </row>
    <row r="29" spans="12:13">
      <c r="L29" s="212" t="s">
        <v>41</v>
      </c>
      <c r="M29" s="150"/>
    </row>
    <row r="30" spans="12:13">
      <c r="L30" s="128" t="s">
        <v>467</v>
      </c>
      <c r="M30" s="150" t="s">
        <v>344</v>
      </c>
    </row>
    <row r="31" spans="12:13">
      <c r="L31" s="128" t="s">
        <v>349</v>
      </c>
      <c r="M31" s="150" t="s">
        <v>347</v>
      </c>
    </row>
    <row r="32" spans="12:13">
      <c r="L32" s="127"/>
      <c r="M32" s="150" t="s">
        <v>67</v>
      </c>
    </row>
    <row r="33" spans="12:13">
      <c r="L33" s="128" t="s">
        <v>468</v>
      </c>
      <c r="M33" s="150" t="s">
        <v>346</v>
      </c>
    </row>
    <row r="34" spans="12:13">
      <c r="L34" s="128" t="s">
        <v>469</v>
      </c>
      <c r="M34" s="150" t="s">
        <v>346</v>
      </c>
    </row>
    <row r="35" spans="12:13">
      <c r="L35" s="128" t="s">
        <v>341</v>
      </c>
      <c r="M35" s="150" t="s">
        <v>346</v>
      </c>
    </row>
    <row r="36" spans="12:13">
      <c r="L36" s="128" t="s">
        <v>342</v>
      </c>
      <c r="M36" s="150" t="s">
        <v>346</v>
      </c>
    </row>
    <row r="37" spans="12:13">
      <c r="L37" s="127" t="s">
        <v>355</v>
      </c>
      <c r="M37" s="150" t="s">
        <v>346</v>
      </c>
    </row>
    <row r="38" spans="12:13">
      <c r="L38" s="128" t="s">
        <v>354</v>
      </c>
      <c r="M38" s="150" t="s">
        <v>346</v>
      </c>
    </row>
    <row r="39" spans="12:13">
      <c r="L39" s="310" t="s">
        <v>358</v>
      </c>
      <c r="M39" s="150" t="s">
        <v>346</v>
      </c>
    </row>
    <row r="40" spans="12:13">
      <c r="L40" s="310" t="s">
        <v>359</v>
      </c>
      <c r="M40" s="150" t="s">
        <v>346</v>
      </c>
    </row>
    <row r="41" spans="12:13">
      <c r="L41" s="128" t="s">
        <v>353</v>
      </c>
      <c r="M41" s="150" t="s">
        <v>346</v>
      </c>
    </row>
    <row r="42" spans="12:13">
      <c r="L42" s="310" t="s">
        <v>356</v>
      </c>
      <c r="M42" s="150" t="s">
        <v>346</v>
      </c>
    </row>
    <row r="43" spans="12:13">
      <c r="L43" s="310" t="s">
        <v>357</v>
      </c>
      <c r="M43" s="150" t="s">
        <v>346</v>
      </c>
    </row>
    <row r="44" spans="12:13">
      <c r="L44" s="212" t="s">
        <v>470</v>
      </c>
      <c r="M44" s="150" t="s">
        <v>346</v>
      </c>
    </row>
    <row r="45" spans="12:13">
      <c r="L45" s="212" t="s">
        <v>276</v>
      </c>
      <c r="M45" s="150"/>
    </row>
    <row r="46" spans="12:13">
      <c r="L46" s="128" t="s">
        <v>471</v>
      </c>
      <c r="M46" s="150" t="s">
        <v>344</v>
      </c>
    </row>
    <row r="47" spans="12:13">
      <c r="L47" s="128" t="s">
        <v>226</v>
      </c>
      <c r="M47" s="150" t="s">
        <v>344</v>
      </c>
    </row>
    <row r="48" spans="12:13">
      <c r="L48" s="128" t="s">
        <v>472</v>
      </c>
      <c r="M48" s="150" t="s">
        <v>344</v>
      </c>
    </row>
    <row r="49" spans="12:13">
      <c r="L49" s="127" t="s">
        <v>352</v>
      </c>
      <c r="M49" s="150" t="s">
        <v>344</v>
      </c>
    </row>
    <row r="50" spans="12:13">
      <c r="L50" s="127" t="s">
        <v>351</v>
      </c>
      <c r="M50" s="150" t="s">
        <v>344</v>
      </c>
    </row>
    <row r="51" spans="12:13">
      <c r="L51" s="127" t="s">
        <v>312</v>
      </c>
      <c r="M51" s="150" t="s">
        <v>375</v>
      </c>
    </row>
    <row r="52" spans="12:13">
      <c r="L52" s="127" t="s">
        <v>445</v>
      </c>
      <c r="M52" s="150"/>
    </row>
    <row r="53" spans="12:13">
      <c r="L53" s="127" t="s">
        <v>372</v>
      </c>
      <c r="M53" s="150" t="s">
        <v>377</v>
      </c>
    </row>
    <row r="54" spans="12:13">
      <c r="L54" s="128" t="s">
        <v>378</v>
      </c>
      <c r="M54" s="150" t="s">
        <v>377</v>
      </c>
    </row>
    <row r="55" spans="12:13">
      <c r="L55" s="128" t="s">
        <v>379</v>
      </c>
      <c r="M55" s="150" t="s">
        <v>377</v>
      </c>
    </row>
    <row r="56" spans="12:13">
      <c r="L56" s="127" t="s">
        <v>373</v>
      </c>
      <c r="M56" s="150" t="s">
        <v>377</v>
      </c>
    </row>
    <row r="57" spans="12:13">
      <c r="L57" s="127" t="s">
        <v>374</v>
      </c>
      <c r="M57" s="150" t="s">
        <v>377</v>
      </c>
    </row>
    <row r="58" spans="12:13">
      <c r="L58" s="127" t="s">
        <v>70</v>
      </c>
      <c r="M58" s="150" t="s">
        <v>346</v>
      </c>
    </row>
    <row r="59" spans="12:13">
      <c r="L59" s="127" t="s">
        <v>64</v>
      </c>
      <c r="M59" s="150" t="s">
        <v>473</v>
      </c>
    </row>
    <row r="60" spans="12:13">
      <c r="L60" s="127" t="s">
        <v>66</v>
      </c>
      <c r="M60" s="150" t="s">
        <v>474</v>
      </c>
    </row>
    <row r="61" spans="12:13">
      <c r="L61" s="127" t="s">
        <v>71</v>
      </c>
      <c r="M61" s="150" t="s">
        <v>345</v>
      </c>
    </row>
    <row r="62" spans="12:13">
      <c r="L62" s="127" t="s">
        <v>476</v>
      </c>
      <c r="M62" s="150" t="s">
        <v>475</v>
      </c>
    </row>
    <row r="63" spans="12:13">
      <c r="L63" s="127" t="s">
        <v>350</v>
      </c>
      <c r="M63" s="150" t="s">
        <v>348</v>
      </c>
    </row>
    <row r="64" spans="12:13">
      <c r="L64" s="127" t="s">
        <v>385</v>
      </c>
      <c r="M64" s="150" t="s">
        <v>348</v>
      </c>
    </row>
    <row r="65" spans="12:13" ht="15" thickBot="1">
      <c r="L65" s="129"/>
      <c r="M65" s="154"/>
    </row>
    <row r="66" spans="12:13" ht="15.5" thickTop="1" thickBot="1">
      <c r="L66" s="130" t="s">
        <v>43</v>
      </c>
      <c r="M66" s="365"/>
    </row>
    <row r="67" spans="12:13" ht="15" thickTop="1">
      <c r="L67" s="128" t="s">
        <v>340</v>
      </c>
      <c r="M67" s="150"/>
    </row>
    <row r="68" spans="12:13">
      <c r="L68" s="131" t="s">
        <v>41</v>
      </c>
      <c r="M68" s="151"/>
    </row>
    <row r="69" spans="12:13">
      <c r="L69" s="131" t="s">
        <v>341</v>
      </c>
      <c r="M69" s="151"/>
    </row>
    <row r="70" spans="12:13">
      <c r="L70" s="131" t="s">
        <v>342</v>
      </c>
      <c r="M70" s="151"/>
    </row>
    <row r="71" spans="12:13">
      <c r="L71" s="131" t="s">
        <v>371</v>
      </c>
      <c r="M71" s="151"/>
    </row>
    <row r="72" spans="12:13">
      <c r="L72" s="128" t="s">
        <v>152</v>
      </c>
      <c r="M72" s="150"/>
    </row>
    <row r="73" spans="12:13">
      <c r="L73" s="131" t="s">
        <v>40</v>
      </c>
      <c r="M73" s="151"/>
    </row>
    <row r="74" spans="12:13">
      <c r="L74" s="275" t="s">
        <v>356</v>
      </c>
      <c r="M74" s="151"/>
    </row>
    <row r="75" spans="12:13">
      <c r="L75" s="275" t="s">
        <v>357</v>
      </c>
      <c r="M75" s="151"/>
    </row>
    <row r="76" spans="12:13">
      <c r="L76" s="131" t="s">
        <v>39</v>
      </c>
      <c r="M76" s="151"/>
    </row>
    <row r="77" spans="12:13">
      <c r="L77" s="275" t="s">
        <v>358</v>
      </c>
      <c r="M77" s="151"/>
    </row>
    <row r="78" spans="12:13">
      <c r="L78" s="275" t="s">
        <v>359</v>
      </c>
      <c r="M78" s="151"/>
    </row>
    <row r="79" spans="12:13">
      <c r="L79" s="128" t="s">
        <v>229</v>
      </c>
      <c r="M79" s="150"/>
    </row>
    <row r="80" spans="12:13">
      <c r="L80" s="128" t="s">
        <v>289</v>
      </c>
      <c r="M80" s="150"/>
    </row>
    <row r="81" spans="12:13">
      <c r="L81" s="128" t="s">
        <v>42</v>
      </c>
      <c r="M81" s="150"/>
    </row>
    <row r="82" spans="12:13">
      <c r="L82" s="131" t="s">
        <v>226</v>
      </c>
      <c r="M82" s="151"/>
    </row>
    <row r="83" spans="12:13">
      <c r="L83" s="131" t="s">
        <v>218</v>
      </c>
      <c r="M83" s="151"/>
    </row>
    <row r="84" spans="12:13">
      <c r="L84" s="128" t="s">
        <v>153</v>
      </c>
      <c r="M84" s="150"/>
    </row>
    <row r="85" spans="12:13">
      <c r="L85" s="131" t="s">
        <v>45</v>
      </c>
      <c r="M85" s="151"/>
    </row>
    <row r="86" spans="12:13">
      <c r="L86" s="131" t="s">
        <v>46</v>
      </c>
      <c r="M86" s="151"/>
    </row>
    <row r="87" spans="12:13">
      <c r="L87" s="128" t="s">
        <v>176</v>
      </c>
      <c r="M87" s="150"/>
    </row>
    <row r="88" spans="12:13">
      <c r="L88" s="128" t="s">
        <v>44</v>
      </c>
      <c r="M88" s="150"/>
    </row>
    <row r="89" spans="12:13" ht="15" thickBot="1">
      <c r="L89" s="128" t="s">
        <v>177</v>
      </c>
      <c r="M89" s="150"/>
    </row>
    <row r="90" spans="12:13" ht="15" thickBot="1">
      <c r="L90" s="132" t="s">
        <v>154</v>
      </c>
      <c r="M90" s="146"/>
    </row>
    <row r="91" spans="12:13">
      <c r="L91" s="133" t="s">
        <v>335</v>
      </c>
      <c r="M91" s="144"/>
    </row>
    <row r="92" spans="12:13">
      <c r="L92" s="131" t="s">
        <v>382</v>
      </c>
      <c r="M92" s="151"/>
    </row>
    <row r="93" spans="12:13">
      <c r="L93" s="131" t="s">
        <v>48</v>
      </c>
      <c r="M93" s="151"/>
    </row>
    <row r="94" spans="12:13">
      <c r="L94" s="134" t="s">
        <v>47</v>
      </c>
      <c r="M94" s="153"/>
    </row>
    <row r="95" spans="12:13">
      <c r="L95" s="134" t="s">
        <v>49</v>
      </c>
      <c r="M95" s="153"/>
    </row>
    <row r="96" spans="12:13">
      <c r="L96" s="134" t="s">
        <v>35</v>
      </c>
      <c r="M96" s="153"/>
    </row>
    <row r="97" spans="12:13">
      <c r="L97" s="131" t="s">
        <v>195</v>
      </c>
      <c r="M97" s="151"/>
    </row>
    <row r="98" spans="12:13">
      <c r="L98" s="131" t="s">
        <v>194</v>
      </c>
      <c r="M98" s="151"/>
    </row>
    <row r="99" spans="12:13">
      <c r="L99" s="131" t="s">
        <v>193</v>
      </c>
      <c r="M99" s="151"/>
    </row>
    <row r="100" spans="12:13">
      <c r="L100" s="128" t="s">
        <v>36</v>
      </c>
      <c r="M100" s="150"/>
    </row>
    <row r="101" spans="12:13">
      <c r="L101" s="128" t="s">
        <v>50</v>
      </c>
      <c r="M101" s="150"/>
    </row>
    <row r="102" spans="12:13">
      <c r="L102" s="131" t="s">
        <v>360</v>
      </c>
      <c r="M102" s="151"/>
    </row>
    <row r="103" spans="12:13">
      <c r="L103" s="131" t="s">
        <v>361</v>
      </c>
      <c r="M103" s="151"/>
    </row>
    <row r="104" spans="12:13">
      <c r="L104" s="128" t="s">
        <v>51</v>
      </c>
      <c r="M104" s="150"/>
    </row>
    <row r="105" spans="12:13">
      <c r="L105" s="134" t="s">
        <v>52</v>
      </c>
      <c r="M105" s="153"/>
    </row>
    <row r="106" spans="12:13">
      <c r="L106" s="131" t="s">
        <v>360</v>
      </c>
      <c r="M106" s="152"/>
    </row>
    <row r="107" spans="12:13">
      <c r="L107" s="131" t="s">
        <v>361</v>
      </c>
      <c r="M107" s="152"/>
    </row>
    <row r="108" spans="12:13">
      <c r="L108" s="128" t="s">
        <v>53</v>
      </c>
      <c r="M108" s="150"/>
    </row>
    <row r="109" spans="12:13">
      <c r="L109" s="131" t="s">
        <v>360</v>
      </c>
      <c r="M109" s="151"/>
    </row>
    <row r="110" spans="12:13" ht="15" thickBot="1">
      <c r="L110" s="131" t="s">
        <v>361</v>
      </c>
      <c r="M110" s="279"/>
    </row>
    <row r="111" spans="12:13" ht="15" thickBot="1">
      <c r="L111" s="132" t="s">
        <v>37</v>
      </c>
      <c r="M111" s="170"/>
    </row>
    <row r="112" spans="12:13">
      <c r="L112" s="128" t="s">
        <v>38</v>
      </c>
      <c r="M112" s="150"/>
    </row>
    <row r="113" spans="12:13">
      <c r="L113" s="128" t="s">
        <v>54</v>
      </c>
      <c r="M113" s="150"/>
    </row>
    <row r="114" spans="12:13">
      <c r="L114" s="134" t="s">
        <v>55</v>
      </c>
      <c r="M114" s="153"/>
    </row>
    <row r="115" spans="12:13">
      <c r="L115" s="128" t="s">
        <v>56</v>
      </c>
      <c r="M115" s="150"/>
    </row>
    <row r="116" spans="12:13" ht="20">
      <c r="L116" s="135" t="s">
        <v>481</v>
      </c>
      <c r="M116" s="273"/>
    </row>
    <row r="117" spans="12:13">
      <c r="L117" s="134" t="s">
        <v>227</v>
      </c>
      <c r="M117" s="153"/>
    </row>
    <row r="118" spans="12:13">
      <c r="L118" s="134" t="s">
        <v>58</v>
      </c>
      <c r="M118" s="153"/>
    </row>
    <row r="119" spans="12:13">
      <c r="L119" s="134" t="s">
        <v>200</v>
      </c>
      <c r="M119" s="153"/>
    </row>
    <row r="120" spans="12:13">
      <c r="L120" s="134" t="s">
        <v>156</v>
      </c>
      <c r="M120" s="153"/>
    </row>
    <row r="121" spans="12:13">
      <c r="L121" s="286" t="s">
        <v>367</v>
      </c>
      <c r="M121" s="153"/>
    </row>
    <row r="122" spans="12:13">
      <c r="L122" s="286" t="s">
        <v>368</v>
      </c>
      <c r="M122" s="153"/>
    </row>
    <row r="123" spans="12:13">
      <c r="L123" s="301" t="s">
        <v>369</v>
      </c>
      <c r="M123" s="302"/>
    </row>
    <row r="124" spans="12:13" ht="15" thickBot="1">
      <c r="L124" s="134"/>
      <c r="M124" s="153"/>
    </row>
    <row r="125" spans="12:13" ht="15" thickBot="1">
      <c r="L125" s="136" t="s">
        <v>6</v>
      </c>
      <c r="M125" s="143"/>
    </row>
    <row r="126" spans="12:13" ht="15" thickBot="1">
      <c r="L126" s="136" t="s">
        <v>92</v>
      </c>
      <c r="M126" s="143"/>
    </row>
    <row r="127" spans="12:13">
      <c r="L127" s="134" t="s">
        <v>86</v>
      </c>
      <c r="M127" s="153"/>
    </row>
    <row r="128" spans="12:13">
      <c r="L128" s="134" t="s">
        <v>228</v>
      </c>
      <c r="M128" s="153"/>
    </row>
    <row r="129" spans="12:13">
      <c r="L129" s="134" t="s">
        <v>87</v>
      </c>
      <c r="M129" s="153"/>
    </row>
    <row r="130" spans="12:13">
      <c r="L130" s="134" t="s">
        <v>88</v>
      </c>
      <c r="M130" s="153"/>
    </row>
    <row r="131" spans="12:13">
      <c r="L131" s="134" t="s">
        <v>339</v>
      </c>
      <c r="M131" s="153"/>
    </row>
    <row r="132" spans="12:13">
      <c r="L132" s="134" t="s">
        <v>366</v>
      </c>
      <c r="M132" s="153"/>
    </row>
    <row r="133" spans="12:13">
      <c r="L133" s="134" t="s">
        <v>201</v>
      </c>
      <c r="M133" s="153"/>
    </row>
    <row r="134" spans="12:13">
      <c r="L134" s="134" t="s">
        <v>290</v>
      </c>
      <c r="M134" s="153"/>
    </row>
    <row r="135" spans="12:13">
      <c r="L135" s="134" t="s">
        <v>365</v>
      </c>
      <c r="M135" s="153"/>
    </row>
    <row r="136" spans="12:13">
      <c r="L136" s="134" t="s">
        <v>376</v>
      </c>
      <c r="M136" s="153"/>
    </row>
    <row r="137" spans="12:13">
      <c r="L137" s="134" t="s">
        <v>225</v>
      </c>
      <c r="M137" s="153"/>
    </row>
    <row r="138" spans="12:13">
      <c r="L138" s="137" t="s">
        <v>370</v>
      </c>
      <c r="M138" s="152"/>
    </row>
    <row r="139" spans="12:13">
      <c r="L139" s="287" t="s">
        <v>89</v>
      </c>
      <c r="M139" s="152"/>
    </row>
    <row r="140" spans="12:13">
      <c r="L140" s="287" t="s">
        <v>90</v>
      </c>
      <c r="M140" s="152"/>
    </row>
    <row r="141" spans="12:13">
      <c r="L141" s="137" t="s">
        <v>363</v>
      </c>
      <c r="M141" s="152"/>
    </row>
    <row r="142" spans="12:13">
      <c r="L142" s="137" t="s">
        <v>362</v>
      </c>
      <c r="M142" s="152"/>
    </row>
    <row r="143" spans="12:13">
      <c r="L143" s="137" t="s">
        <v>364</v>
      </c>
      <c r="M143" s="152"/>
    </row>
    <row r="144" spans="12:13" ht="15" thickBot="1">
      <c r="L144" s="134" t="s">
        <v>91</v>
      </c>
      <c r="M144" s="153"/>
    </row>
    <row r="145" spans="12:13" ht="15" thickBot="1">
      <c r="L145" s="136" t="s">
        <v>7</v>
      </c>
      <c r="M145" s="143"/>
    </row>
    <row r="146" spans="12:13" ht="15" thickBot="1">
      <c r="L146" s="136" t="s">
        <v>95</v>
      </c>
      <c r="M146" s="143"/>
    </row>
    <row r="147" spans="12:13">
      <c r="L147" s="134" t="s">
        <v>88</v>
      </c>
      <c r="M147" s="153"/>
    </row>
    <row r="148" spans="12:13">
      <c r="L148" s="134" t="s">
        <v>93</v>
      </c>
      <c r="M148" s="153"/>
    </row>
    <row r="149" spans="12:13">
      <c r="L149" s="129"/>
      <c r="M149" s="153"/>
    </row>
    <row r="150" spans="12:13">
      <c r="L150" s="134" t="s">
        <v>89</v>
      </c>
      <c r="M150" s="153"/>
    </row>
    <row r="151" spans="12:13">
      <c r="L151" s="134" t="s">
        <v>212</v>
      </c>
      <c r="M151" s="153"/>
    </row>
    <row r="152" spans="12:13">
      <c r="L152" s="138" t="s">
        <v>99</v>
      </c>
      <c r="M152" s="274"/>
    </row>
    <row r="153" spans="12:13" ht="15" thickBot="1">
      <c r="L153" s="139" t="s">
        <v>94</v>
      </c>
      <c r="M153" s="154"/>
    </row>
    <row r="155" spans="12:13">
      <c r="L155" s="3" t="s">
        <v>96</v>
      </c>
    </row>
    <row r="170" spans="12:12">
      <c r="L170" s="3" t="s">
        <v>383</v>
      </c>
    </row>
    <row r="171" spans="12:12">
      <c r="L171" s="3" t="s">
        <v>450</v>
      </c>
    </row>
    <row r="172" spans="12:12">
      <c r="L172" s="3" t="s">
        <v>451</v>
      </c>
    </row>
    <row r="173" spans="12:12">
      <c r="L173" s="3" t="s">
        <v>480</v>
      </c>
    </row>
    <row r="175" spans="12:12">
      <c r="L175" s="3" t="s">
        <v>482</v>
      </c>
    </row>
    <row r="176" spans="12:12">
      <c r="L176" s="3" t="s">
        <v>195</v>
      </c>
    </row>
    <row r="177" spans="12:12">
      <c r="L177" s="3" t="s">
        <v>194</v>
      </c>
    </row>
    <row r="178" spans="12:12">
      <c r="L178" s="3" t="s">
        <v>193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92ACF-6CCA-40E1-8063-D0C8A8C42094}">
  <dimension ref="A1:AT22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4.5"/>
  <cols>
    <col min="1" max="1" width="25.08984375" style="3" customWidth="1"/>
    <col min="3" max="3" width="32.7265625" bestFit="1" customWidth="1"/>
    <col min="4" max="4" width="25.08984375" style="3" customWidth="1"/>
    <col min="5" max="5" width="11.90625" style="13" customWidth="1"/>
    <col min="8" max="8" width="19" style="13" customWidth="1"/>
    <col min="13" max="13" width="14.54296875" style="13" customWidth="1"/>
    <col min="14" max="14" width="15.08984375" bestFit="1" customWidth="1"/>
    <col min="15" max="15" width="15.6328125" bestFit="1" customWidth="1"/>
    <col min="16" max="16" width="15.6328125" customWidth="1"/>
    <col min="23" max="23" width="11.90625" style="13" customWidth="1"/>
  </cols>
  <sheetData>
    <row r="1" spans="1:46">
      <c r="F1" s="14"/>
      <c r="G1" s="14"/>
      <c r="I1" s="14"/>
      <c r="J1" s="14"/>
      <c r="K1" s="14"/>
      <c r="L1" s="14"/>
      <c r="N1" s="15"/>
      <c r="O1" s="15"/>
      <c r="P1" s="15"/>
      <c r="Q1" s="14"/>
      <c r="R1" s="14"/>
      <c r="S1" s="14"/>
      <c r="T1" s="14"/>
      <c r="U1" s="14"/>
      <c r="V1" s="14"/>
      <c r="X1" s="14"/>
      <c r="Y1" s="14"/>
      <c r="Z1" s="14"/>
      <c r="AA1" s="14"/>
      <c r="AB1" s="14"/>
      <c r="AC1" s="14"/>
      <c r="AE1" s="14"/>
      <c r="AF1" s="14"/>
      <c r="AG1" s="14"/>
      <c r="AH1" s="14"/>
      <c r="AI1" s="14"/>
      <c r="AJ1" s="14"/>
      <c r="AK1" s="14"/>
      <c r="AL1" s="14"/>
      <c r="AM1" s="14"/>
      <c r="AO1" s="14"/>
      <c r="AP1" s="14"/>
      <c r="AQ1" s="14"/>
      <c r="AR1" s="14"/>
      <c r="AS1" s="14"/>
      <c r="AT1" s="14"/>
    </row>
    <row r="2" spans="1:46">
      <c r="A2" s="8" t="s">
        <v>43</v>
      </c>
      <c r="D2" s="16"/>
      <c r="E2" s="17"/>
      <c r="F2" s="14"/>
      <c r="G2" s="14"/>
      <c r="H2" s="17"/>
      <c r="I2" s="14"/>
      <c r="J2" s="14"/>
      <c r="K2" s="14"/>
      <c r="L2" s="14"/>
      <c r="M2" s="17"/>
      <c r="N2" s="15"/>
      <c r="O2" s="15"/>
      <c r="P2" s="15"/>
      <c r="Q2" s="14"/>
      <c r="R2" s="14"/>
      <c r="S2" s="14"/>
      <c r="T2" s="14"/>
      <c r="U2" s="14"/>
      <c r="V2" s="14"/>
      <c r="X2" s="14"/>
      <c r="Y2" s="14"/>
      <c r="Z2" s="14"/>
      <c r="AA2" s="14"/>
      <c r="AB2" s="14"/>
      <c r="AC2" s="14"/>
      <c r="AE2" s="14"/>
      <c r="AF2" s="14"/>
      <c r="AG2" s="14"/>
      <c r="AH2" s="14"/>
      <c r="AI2" s="14"/>
      <c r="AJ2" s="14"/>
      <c r="AK2" s="14"/>
      <c r="AL2" s="14"/>
      <c r="AM2" s="14"/>
      <c r="AO2" s="14"/>
      <c r="AP2" s="14"/>
      <c r="AQ2" s="14"/>
      <c r="AR2" s="14"/>
      <c r="AS2" s="14"/>
      <c r="AT2" s="14"/>
    </row>
    <row r="3" spans="1:46">
      <c r="A3" s="4" t="s">
        <v>41</v>
      </c>
      <c r="C3" s="18"/>
      <c r="D3" s="19"/>
      <c r="E3" s="17"/>
      <c r="F3" s="20"/>
      <c r="G3" s="20"/>
      <c r="H3" s="17"/>
      <c r="I3" s="20"/>
      <c r="J3" s="20"/>
      <c r="K3" s="20"/>
      <c r="L3" s="20"/>
      <c r="M3" s="17"/>
      <c r="Q3" s="20"/>
      <c r="R3" s="20"/>
      <c r="S3" s="20"/>
      <c r="T3" s="20"/>
      <c r="U3" s="20"/>
      <c r="V3" s="20"/>
      <c r="W3" s="17"/>
      <c r="X3" s="20"/>
      <c r="Y3" s="20"/>
      <c r="Z3" s="20"/>
      <c r="AA3" s="20"/>
      <c r="AB3" s="20"/>
      <c r="AC3" s="20"/>
      <c r="AE3" s="20"/>
      <c r="AF3" s="20"/>
      <c r="AG3" s="20"/>
      <c r="AH3" s="20"/>
      <c r="AI3" s="20"/>
      <c r="AJ3" s="20"/>
      <c r="AK3" s="20"/>
      <c r="AL3" s="20"/>
      <c r="AM3" s="20"/>
      <c r="AN3" s="20"/>
      <c r="AO3" s="20"/>
      <c r="AP3" s="20"/>
      <c r="AQ3" s="20"/>
      <c r="AR3" s="20"/>
      <c r="AS3" s="20"/>
      <c r="AT3" s="20"/>
    </row>
    <row r="4" spans="1:46">
      <c r="A4" s="4" t="s">
        <v>152</v>
      </c>
      <c r="C4" s="18"/>
      <c r="D4" s="19"/>
      <c r="E4" s="17"/>
      <c r="F4" s="20"/>
      <c r="G4" s="20"/>
      <c r="H4" s="17"/>
      <c r="I4" s="20"/>
      <c r="J4" s="20"/>
      <c r="K4" s="20"/>
      <c r="L4" s="20"/>
      <c r="M4" s="17"/>
      <c r="Q4" s="20"/>
      <c r="R4" s="20"/>
      <c r="S4" s="20"/>
      <c r="T4" s="20"/>
      <c r="U4" s="20"/>
      <c r="V4" s="20"/>
      <c r="W4" s="17"/>
      <c r="X4" s="20"/>
      <c r="Y4" s="20"/>
      <c r="Z4" s="20"/>
      <c r="AA4" s="20"/>
      <c r="AB4" s="20"/>
      <c r="AC4" s="20"/>
      <c r="AE4" s="20"/>
      <c r="AF4" s="20"/>
      <c r="AG4" s="20"/>
      <c r="AH4" s="20"/>
      <c r="AI4" s="20"/>
      <c r="AJ4" s="20"/>
      <c r="AK4" s="20"/>
      <c r="AL4" s="20"/>
      <c r="AM4" s="20"/>
      <c r="AN4" s="20"/>
      <c r="AO4" s="20"/>
      <c r="AP4" s="20"/>
      <c r="AQ4" s="20"/>
      <c r="AR4" s="20"/>
      <c r="AS4" s="20"/>
      <c r="AT4" s="20"/>
    </row>
    <row r="5" spans="1:46">
      <c r="A5" s="7" t="s">
        <v>40</v>
      </c>
      <c r="C5" s="18"/>
      <c r="D5" s="21"/>
      <c r="E5" s="17"/>
      <c r="H5" s="17"/>
      <c r="M5" s="17"/>
      <c r="W5" s="17"/>
    </row>
    <row r="6" spans="1:46">
      <c r="A6" s="7" t="s">
        <v>39</v>
      </c>
      <c r="C6" s="18"/>
      <c r="D6" s="21"/>
      <c r="E6" s="17"/>
      <c r="H6" s="17"/>
      <c r="M6" s="17"/>
    </row>
    <row r="7" spans="1:46">
      <c r="A7" s="4" t="s">
        <v>42</v>
      </c>
      <c r="C7" s="22"/>
      <c r="D7" s="19"/>
      <c r="E7" s="17"/>
      <c r="F7" s="20"/>
      <c r="G7" s="20"/>
      <c r="H7" s="17"/>
      <c r="I7" s="20"/>
      <c r="J7" s="20"/>
      <c r="K7" s="20"/>
      <c r="L7" s="20"/>
      <c r="M7" s="17"/>
      <c r="Q7" s="20"/>
      <c r="R7" s="20"/>
      <c r="S7" s="20"/>
      <c r="T7" s="20"/>
      <c r="U7" s="20"/>
      <c r="V7" s="20"/>
      <c r="X7" s="20"/>
      <c r="Y7" s="20"/>
      <c r="Z7" s="20"/>
      <c r="AA7" s="20"/>
      <c r="AB7" s="20"/>
      <c r="AC7" s="20"/>
      <c r="AE7" s="20"/>
      <c r="AF7" s="20"/>
      <c r="AG7" s="20"/>
      <c r="AH7" s="20"/>
      <c r="AI7" s="20"/>
      <c r="AJ7" s="20"/>
      <c r="AK7" s="20"/>
      <c r="AL7" s="20"/>
      <c r="AM7" s="20"/>
      <c r="AN7" s="20"/>
      <c r="AO7" s="20"/>
      <c r="AP7" s="20"/>
      <c r="AQ7" s="20"/>
      <c r="AR7" s="20"/>
      <c r="AS7" s="20"/>
      <c r="AT7" s="20"/>
    </row>
    <row r="8" spans="1:46" s="10" customFormat="1">
      <c r="A8" s="7" t="s">
        <v>226</v>
      </c>
      <c r="C8" s="23"/>
      <c r="D8" s="19"/>
      <c r="E8" s="17"/>
      <c r="F8" s="20"/>
      <c r="G8" s="20"/>
      <c r="H8" s="17"/>
      <c r="I8" s="20"/>
      <c r="J8" s="20"/>
      <c r="K8" s="20"/>
      <c r="L8" s="20"/>
      <c r="M8" s="17"/>
      <c r="N8" s="20"/>
      <c r="O8" s="20"/>
      <c r="Q8" s="20"/>
      <c r="R8" s="20"/>
      <c r="S8" s="20"/>
      <c r="T8" s="20"/>
      <c r="U8" s="20"/>
      <c r="V8" s="20"/>
      <c r="W8" s="13"/>
      <c r="X8" s="20"/>
      <c r="Y8" s="20"/>
      <c r="Z8" s="20"/>
      <c r="AA8" s="20"/>
      <c r="AB8" s="20"/>
      <c r="AC8" s="20"/>
      <c r="AD8"/>
      <c r="AE8" s="20"/>
      <c r="AF8" s="20"/>
      <c r="AG8" s="20"/>
      <c r="AH8" s="20"/>
      <c r="AI8" s="20"/>
      <c r="AJ8" s="20"/>
      <c r="AK8" s="20"/>
      <c r="AL8" s="20"/>
      <c r="AM8" s="20"/>
      <c r="AN8" s="20"/>
      <c r="AO8" s="20"/>
      <c r="AP8" s="20"/>
      <c r="AQ8" s="20"/>
      <c r="AR8" s="20"/>
      <c r="AS8" s="20"/>
      <c r="AT8" s="20"/>
    </row>
    <row r="9" spans="1:46" s="10" customFormat="1">
      <c r="A9" s="7" t="s">
        <v>218</v>
      </c>
      <c r="C9" s="23"/>
      <c r="D9" s="19"/>
      <c r="E9" s="17"/>
      <c r="F9" s="20"/>
      <c r="G9" s="20"/>
      <c r="H9" s="17"/>
      <c r="I9" s="20"/>
      <c r="J9" s="20"/>
      <c r="K9" s="20"/>
      <c r="L9" s="20"/>
      <c r="M9" s="17"/>
      <c r="N9" s="20"/>
      <c r="O9" s="20"/>
      <c r="Q9" s="20"/>
      <c r="R9" s="20"/>
      <c r="S9" s="20"/>
      <c r="T9" s="20"/>
      <c r="U9" s="20"/>
      <c r="V9" s="20"/>
      <c r="W9" s="17"/>
      <c r="X9" s="20"/>
      <c r="Y9" s="20"/>
      <c r="Z9" s="20"/>
      <c r="AA9" s="20"/>
      <c r="AB9" s="20"/>
      <c r="AC9" s="20"/>
      <c r="AD9"/>
      <c r="AE9" s="20"/>
      <c r="AF9" s="20"/>
      <c r="AG9" s="20"/>
      <c r="AH9" s="20"/>
      <c r="AI9" s="20"/>
      <c r="AJ9" s="20"/>
      <c r="AK9" s="20"/>
      <c r="AL9" s="20"/>
      <c r="AM9" s="20"/>
      <c r="AN9" s="20"/>
      <c r="AO9" s="20"/>
      <c r="AP9" s="20"/>
      <c r="AQ9" s="20"/>
      <c r="AR9" s="20"/>
      <c r="AS9" s="20"/>
      <c r="AT9" s="20"/>
    </row>
    <row r="10" spans="1:46">
      <c r="A10" s="12" t="s">
        <v>44</v>
      </c>
      <c r="W10" s="17"/>
    </row>
    <row r="11" spans="1:46">
      <c r="A11" s="12" t="s">
        <v>177</v>
      </c>
      <c r="W11" s="17"/>
    </row>
    <row r="12" spans="1:46">
      <c r="A12" s="4" t="s">
        <v>153</v>
      </c>
      <c r="C12" s="22"/>
      <c r="D12" s="19"/>
      <c r="E12" s="17"/>
      <c r="H12" s="17"/>
      <c r="M12" s="17"/>
      <c r="W12" s="17"/>
      <c r="AN12" s="20"/>
    </row>
    <row r="13" spans="1:46">
      <c r="A13" s="7" t="s">
        <v>45</v>
      </c>
      <c r="D13" s="21"/>
      <c r="E13" s="17"/>
      <c r="H13" s="17"/>
      <c r="M13" s="17"/>
      <c r="W13" s="17"/>
    </row>
    <row r="14" spans="1:46">
      <c r="A14" s="7" t="s">
        <v>46</v>
      </c>
      <c r="C14" s="22"/>
      <c r="D14" s="21"/>
      <c r="E14" s="17"/>
      <c r="H14" s="17"/>
      <c r="M14" s="17"/>
      <c r="W14" s="17"/>
    </row>
    <row r="15" spans="1:46">
      <c r="A15" s="4" t="s">
        <v>176</v>
      </c>
      <c r="C15" s="22"/>
      <c r="D15" s="19"/>
      <c r="E15" s="17"/>
      <c r="H15" s="17"/>
      <c r="M15" s="17"/>
      <c r="W15" s="17"/>
      <c r="AN15" s="40"/>
    </row>
    <row r="16" spans="1:46">
      <c r="A16" s="8" t="s">
        <v>154</v>
      </c>
      <c r="D16" s="19"/>
      <c r="E16" s="17"/>
      <c r="H16" s="17"/>
      <c r="M16" s="17"/>
      <c r="N16" s="20"/>
      <c r="O16" s="20"/>
    </row>
    <row r="17" spans="1:46">
      <c r="A17" s="4" t="s">
        <v>219</v>
      </c>
      <c r="C17" s="24"/>
      <c r="D17" s="16"/>
      <c r="E17" s="17"/>
      <c r="H17" s="17"/>
      <c r="Z17" s="20"/>
      <c r="AE17" s="20"/>
      <c r="AF17" s="20"/>
      <c r="AG17" s="20"/>
      <c r="AH17" s="20"/>
      <c r="AI17" s="20"/>
      <c r="AJ17" s="20"/>
      <c r="AK17" s="20"/>
      <c r="AL17" s="20"/>
      <c r="AM17" s="20"/>
      <c r="AN17" s="20"/>
      <c r="AO17" s="20"/>
      <c r="AP17" s="20"/>
      <c r="AQ17" s="20"/>
      <c r="AR17" s="20"/>
      <c r="AS17" s="20"/>
      <c r="AT17" s="20"/>
    </row>
    <row r="18" spans="1:46">
      <c r="A18" s="7" t="s">
        <v>34</v>
      </c>
      <c r="C18" s="22"/>
      <c r="D18" s="19"/>
      <c r="E18" s="17"/>
      <c r="F18" s="20"/>
      <c r="G18" s="20"/>
      <c r="H18" s="17"/>
      <c r="I18" s="20"/>
      <c r="J18" s="20"/>
      <c r="K18" s="20"/>
      <c r="L18" s="20"/>
      <c r="M18" s="17"/>
      <c r="Q18" s="20"/>
      <c r="R18" s="20"/>
      <c r="S18" s="20"/>
      <c r="T18" s="20"/>
      <c r="U18" s="20"/>
      <c r="V18" s="20"/>
      <c r="W18" s="17"/>
      <c r="X18" s="20"/>
      <c r="Y18" s="20"/>
      <c r="Z18" s="20"/>
      <c r="AA18" s="20"/>
      <c r="AB18" s="20"/>
      <c r="AC18" s="20"/>
      <c r="AE18" s="20"/>
      <c r="AF18" s="20"/>
      <c r="AG18" s="20"/>
      <c r="AH18" s="20"/>
      <c r="AI18" s="20"/>
      <c r="AJ18" s="20"/>
      <c r="AK18" s="20"/>
      <c r="AL18" s="20"/>
      <c r="AM18" s="20"/>
      <c r="AN18" s="20"/>
      <c r="AO18" s="20"/>
      <c r="AP18" s="20"/>
      <c r="AQ18" s="20"/>
      <c r="AR18" s="20"/>
      <c r="AS18" s="20"/>
      <c r="AT18" s="20"/>
    </row>
    <row r="19" spans="1:46">
      <c r="A19" s="7" t="s">
        <v>220</v>
      </c>
      <c r="C19" s="22"/>
      <c r="D19" s="25"/>
      <c r="E19" s="17"/>
      <c r="H19" s="17"/>
      <c r="M19" s="17"/>
      <c r="W19" s="26"/>
      <c r="AN19" s="20"/>
    </row>
    <row r="20" spans="1:46">
      <c r="A20" s="5" t="s">
        <v>47</v>
      </c>
      <c r="C20" s="27"/>
      <c r="D20" s="28"/>
      <c r="E20" s="17"/>
      <c r="H20" s="17"/>
      <c r="W20" s="26"/>
      <c r="AN20" s="20"/>
    </row>
    <row r="21" spans="1:46">
      <c r="A21" s="5" t="s">
        <v>49</v>
      </c>
      <c r="C21" s="22"/>
      <c r="D21" s="28"/>
      <c r="E21" s="17"/>
      <c r="H21" s="17"/>
      <c r="M21" s="17"/>
      <c r="W21" s="26"/>
      <c r="AN21" s="20"/>
    </row>
    <row r="22" spans="1:46">
      <c r="A22" s="4" t="s">
        <v>35</v>
      </c>
      <c r="C22" s="22"/>
      <c r="D22" s="19"/>
      <c r="E22" s="17"/>
      <c r="H22" s="17"/>
      <c r="M22" s="17"/>
      <c r="W22" s="17"/>
      <c r="AN22" s="20"/>
    </row>
    <row r="23" spans="1:46">
      <c r="A23" s="4" t="s">
        <v>36</v>
      </c>
      <c r="C23" s="22"/>
      <c r="D23" s="19"/>
      <c r="E23" s="17"/>
      <c r="H23" s="17"/>
      <c r="M23" s="17"/>
      <c r="W23" s="17"/>
      <c r="AN23" s="20"/>
    </row>
    <row r="24" spans="1:46">
      <c r="A24" s="4" t="s">
        <v>50</v>
      </c>
      <c r="C24" s="29"/>
      <c r="D24" s="19"/>
      <c r="E24" s="17"/>
      <c r="H24" s="17"/>
      <c r="M24" s="26"/>
      <c r="W24" s="17"/>
      <c r="AN24" s="40"/>
    </row>
    <row r="25" spans="1:46">
      <c r="A25" s="4" t="s">
        <v>51</v>
      </c>
      <c r="C25" s="22"/>
      <c r="D25" s="19"/>
      <c r="E25" s="17"/>
      <c r="H25" s="17"/>
      <c r="M25" s="26"/>
      <c r="W25" s="30"/>
      <c r="AN25" s="20"/>
    </row>
    <row r="26" spans="1:46">
      <c r="A26" s="5" t="s">
        <v>52</v>
      </c>
      <c r="C26" s="22"/>
      <c r="D26" s="28"/>
      <c r="E26" s="17"/>
      <c r="H26" s="17"/>
      <c r="M26" s="17"/>
      <c r="W26" s="30"/>
      <c r="AN26" s="20"/>
    </row>
    <row r="27" spans="1:46">
      <c r="A27" s="4" t="s">
        <v>53</v>
      </c>
      <c r="C27" s="22"/>
      <c r="D27" s="19"/>
      <c r="E27" s="17"/>
      <c r="H27" s="17"/>
      <c r="M27" s="17"/>
      <c r="W27" s="30"/>
      <c r="AN27" s="20"/>
    </row>
    <row r="28" spans="1:46">
      <c r="A28" s="8" t="s">
        <v>37</v>
      </c>
      <c r="D28" s="16"/>
      <c r="E28" s="31"/>
      <c r="H28" s="31"/>
      <c r="M28" s="31"/>
    </row>
    <row r="29" spans="1:46">
      <c r="A29" s="4" t="s">
        <v>38</v>
      </c>
      <c r="C29" s="22"/>
      <c r="D29" s="19"/>
      <c r="E29" s="31"/>
      <c r="H29" s="31"/>
      <c r="M29" s="31"/>
      <c r="W29" s="17"/>
      <c r="AN29" s="20"/>
    </row>
    <row r="30" spans="1:46">
      <c r="A30" s="4" t="s">
        <v>54</v>
      </c>
      <c r="C30" s="22"/>
      <c r="D30" s="19"/>
      <c r="E30" s="31"/>
      <c r="H30" s="31"/>
      <c r="M30" s="31"/>
      <c r="W30" s="17"/>
      <c r="AN30" s="20"/>
    </row>
    <row r="31" spans="1:46">
      <c r="A31" s="5" t="s">
        <v>55</v>
      </c>
      <c r="C31" s="22"/>
      <c r="D31" s="28"/>
      <c r="E31" s="31"/>
      <c r="W31" s="17"/>
      <c r="AN31" s="20"/>
    </row>
    <row r="32" spans="1:46">
      <c r="A32" s="4" t="s">
        <v>56</v>
      </c>
      <c r="C32" s="22"/>
      <c r="D32" s="19"/>
      <c r="E32" s="31"/>
      <c r="H32" s="31"/>
      <c r="M32" s="31"/>
      <c r="W32" s="17"/>
      <c r="AN32" s="20"/>
    </row>
    <row r="33" spans="1:40">
      <c r="A33" s="6" t="s">
        <v>216</v>
      </c>
      <c r="C33" s="22"/>
      <c r="D33" s="32"/>
      <c r="E33" s="31"/>
      <c r="H33" s="31"/>
      <c r="M33" s="31"/>
      <c r="W33" s="17"/>
      <c r="AN33" s="20"/>
    </row>
    <row r="34" spans="1:40">
      <c r="A34" s="5" t="s">
        <v>59</v>
      </c>
      <c r="C34" s="22"/>
      <c r="D34" s="28"/>
      <c r="W34" s="17"/>
      <c r="AN34" s="20"/>
    </row>
    <row r="35" spans="1:40">
      <c r="A35" s="11" t="s">
        <v>221</v>
      </c>
      <c r="C35" s="22"/>
      <c r="M35" s="31"/>
      <c r="AN35" s="20"/>
    </row>
    <row r="36" spans="1:40">
      <c r="A36" s="11" t="s">
        <v>222</v>
      </c>
      <c r="C36" s="22"/>
      <c r="AN36" s="20"/>
    </row>
    <row r="37" spans="1:40">
      <c r="A37" s="11" t="s">
        <v>223</v>
      </c>
      <c r="C37" s="22"/>
      <c r="F37" s="22"/>
    </row>
    <row r="38" spans="1:40">
      <c r="A38" s="5" t="s">
        <v>58</v>
      </c>
      <c r="C38" s="22"/>
      <c r="D38" s="28"/>
      <c r="W38" s="17"/>
    </row>
    <row r="39" spans="1:40">
      <c r="A39" s="5" t="s">
        <v>200</v>
      </c>
      <c r="D39" s="28"/>
      <c r="W39" s="17"/>
    </row>
    <row r="40" spans="1:40">
      <c r="A40" s="5" t="s">
        <v>156</v>
      </c>
      <c r="C40" s="33"/>
      <c r="D40" s="28"/>
      <c r="W40" s="17"/>
    </row>
    <row r="41" spans="1:40">
      <c r="A41" s="9" t="s">
        <v>6</v>
      </c>
      <c r="C41" s="22"/>
      <c r="W41" s="17"/>
    </row>
    <row r="42" spans="1:40">
      <c r="A42" s="5" t="s">
        <v>86</v>
      </c>
      <c r="C42" s="22"/>
      <c r="D42" s="28"/>
      <c r="W42" s="17"/>
    </row>
    <row r="43" spans="1:40">
      <c r="A43" s="5" t="s">
        <v>87</v>
      </c>
      <c r="C43" s="22"/>
      <c r="D43" s="28"/>
      <c r="W43" s="17"/>
    </row>
    <row r="44" spans="1:40">
      <c r="A44" s="5" t="s">
        <v>88</v>
      </c>
      <c r="C44" s="29"/>
      <c r="D44" s="28"/>
      <c r="W44" s="17"/>
    </row>
    <row r="45" spans="1:40">
      <c r="A45" s="5" t="s">
        <v>201</v>
      </c>
      <c r="W45" s="17"/>
    </row>
    <row r="46" spans="1:40">
      <c r="A46" s="5" t="s">
        <v>225</v>
      </c>
      <c r="C46" s="29"/>
      <c r="D46" s="28"/>
      <c r="W46" s="17"/>
    </row>
    <row r="47" spans="1:40">
      <c r="A47" s="11" t="s">
        <v>89</v>
      </c>
      <c r="C47" s="22"/>
      <c r="D47" s="28"/>
    </row>
    <row r="48" spans="1:40">
      <c r="A48" s="11" t="s">
        <v>90</v>
      </c>
      <c r="C48" s="22"/>
      <c r="D48" s="28"/>
      <c r="W48" s="17"/>
    </row>
    <row r="49" spans="1:40">
      <c r="A49" s="5" t="s">
        <v>91</v>
      </c>
      <c r="D49" s="28"/>
      <c r="W49" s="17"/>
    </row>
    <row r="50" spans="1:40">
      <c r="A50" s="9" t="s">
        <v>92</v>
      </c>
      <c r="D50" s="28"/>
      <c r="W50" s="17"/>
    </row>
    <row r="51" spans="1:40">
      <c r="A51" s="9" t="s">
        <v>7</v>
      </c>
      <c r="C51" s="29"/>
      <c r="W51" s="17"/>
    </row>
    <row r="52" spans="1:40">
      <c r="A52" s="9" t="s">
        <v>95</v>
      </c>
      <c r="C52" s="34"/>
      <c r="W52" s="17"/>
    </row>
    <row r="53" spans="1:40">
      <c r="A53" s="5" t="s">
        <v>88</v>
      </c>
      <c r="W53" s="17"/>
    </row>
    <row r="54" spans="1:40">
      <c r="A54" s="5" t="s">
        <v>217</v>
      </c>
      <c r="D54" s="28"/>
      <c r="E54" s="35"/>
      <c r="H54" s="35"/>
      <c r="W54" s="17"/>
    </row>
    <row r="55" spans="1:40">
      <c r="A55" s="5" t="s">
        <v>89</v>
      </c>
      <c r="D55" s="28"/>
      <c r="W55" s="17"/>
    </row>
    <row r="56" spans="1:40">
      <c r="A56" s="5" t="s">
        <v>212</v>
      </c>
      <c r="W56" s="17"/>
    </row>
    <row r="57" spans="1:40">
      <c r="A57" s="9" t="s">
        <v>99</v>
      </c>
      <c r="D57" s="28"/>
      <c r="W57" s="17"/>
    </row>
    <row r="58" spans="1:40">
      <c r="A58" s="9" t="s">
        <v>94</v>
      </c>
      <c r="C58" s="22"/>
      <c r="D58" s="28"/>
      <c r="W58" s="31"/>
    </row>
    <row r="59" spans="1:40">
      <c r="C59" s="29"/>
      <c r="M59" s="35"/>
      <c r="W59" s="31"/>
    </row>
    <row r="60" spans="1:40">
      <c r="C60" s="22"/>
      <c r="M60" s="36"/>
      <c r="W60" s="31"/>
    </row>
    <row r="61" spans="1:40">
      <c r="C61" s="29"/>
      <c r="W61" s="31"/>
      <c r="AN61" s="40"/>
    </row>
    <row r="62" spans="1:40">
      <c r="C62" s="37"/>
      <c r="W62" s="31"/>
      <c r="AN62" s="40"/>
    </row>
    <row r="63" spans="1:40">
      <c r="C63" s="22"/>
      <c r="W63" s="31"/>
    </row>
    <row r="64" spans="1:40">
      <c r="C64" s="22"/>
    </row>
    <row r="65" spans="3:3">
      <c r="C65" s="22"/>
    </row>
    <row r="66" spans="3:3">
      <c r="C66" s="22"/>
    </row>
    <row r="69" spans="3:3">
      <c r="C69" s="22"/>
    </row>
    <row r="79" spans="3:3">
      <c r="C79" s="22"/>
    </row>
    <row r="80" spans="3:3">
      <c r="C80" s="22"/>
    </row>
    <row r="81" spans="3:23">
      <c r="C81" s="22"/>
      <c r="W81" s="35"/>
    </row>
    <row r="82" spans="3:23">
      <c r="C82" s="29"/>
    </row>
    <row r="83" spans="3:23">
      <c r="C83" s="22"/>
    </row>
    <row r="84" spans="3:23">
      <c r="C84" s="22"/>
    </row>
    <row r="101" spans="3:3">
      <c r="C101" s="38"/>
    </row>
    <row r="225" spans="3:3">
      <c r="C225" s="39"/>
    </row>
    <row r="226" spans="3:3">
      <c r="C226"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Charts</vt:lpstr>
      </vt:variant>
      <vt:variant>
        <vt:i4>88</vt:i4>
      </vt:variant>
    </vt:vector>
  </HeadingPairs>
  <TitlesOfParts>
    <vt:vector size="105" baseType="lpstr">
      <vt:lpstr>References</vt:lpstr>
      <vt:lpstr>Summary Biplane</vt:lpstr>
      <vt:lpstr>Summary Twin</vt:lpstr>
      <vt:lpstr>Percents</vt:lpstr>
      <vt:lpstr>Sheet1</vt:lpstr>
      <vt:lpstr>Engines</vt:lpstr>
      <vt:lpstr>Summary</vt:lpstr>
      <vt:lpstr>Jets</vt:lpstr>
      <vt:lpstr>Wt Groups</vt:lpstr>
      <vt:lpstr>USAAC Fighters</vt:lpstr>
      <vt:lpstr>USN Fighters</vt:lpstr>
      <vt:lpstr>Dive &amp; Torp Bombers</vt:lpstr>
      <vt:lpstr>Twin Engine Bombers</vt:lpstr>
      <vt:lpstr>Four Engine Bombers</vt:lpstr>
      <vt:lpstr>Seaplane Patrol</vt:lpstr>
      <vt:lpstr>Transports</vt:lpstr>
      <vt:lpstr>Single Engine Trainers</vt:lpstr>
      <vt:lpstr>Empty (2)</vt:lpstr>
      <vt:lpstr>Body L</vt:lpstr>
      <vt:lpstr>Body L (2)</vt:lpstr>
      <vt:lpstr>Fuselage L (2)</vt:lpstr>
      <vt:lpstr>Fuselage L</vt:lpstr>
      <vt:lpstr>Overall L</vt:lpstr>
      <vt:lpstr>H Tail Area</vt:lpstr>
      <vt:lpstr>V Tail Area</vt:lpstr>
      <vt:lpstr>Tail Area</vt:lpstr>
      <vt:lpstr>Pwr Ld vs Wing Ld</vt:lpstr>
      <vt:lpstr>HP vs Wing Area</vt:lpstr>
      <vt:lpstr>Wing Area</vt:lpstr>
      <vt:lpstr>Wing Area (2)</vt:lpstr>
      <vt:lpstr>Wing Area (3)</vt:lpstr>
      <vt:lpstr>Wing Area (4)</vt:lpstr>
      <vt:lpstr>Wing Area (5)</vt:lpstr>
      <vt:lpstr>Wing Span</vt:lpstr>
      <vt:lpstr>Wing Span (2)</vt:lpstr>
      <vt:lpstr>Ailerons</vt:lpstr>
      <vt:lpstr>Flaps</vt:lpstr>
      <vt:lpstr>Fuel</vt:lpstr>
      <vt:lpstr>Oil</vt:lpstr>
      <vt:lpstr>Oil (2)</vt:lpstr>
      <vt:lpstr>Oil (3)</vt:lpstr>
      <vt:lpstr>Useful Lds</vt:lpstr>
      <vt:lpstr>Empty</vt:lpstr>
      <vt:lpstr>Sys &amp; Eq</vt:lpstr>
      <vt:lpstr>Instr</vt:lpstr>
      <vt:lpstr>Surf Cntrls</vt:lpstr>
      <vt:lpstr>Surf Cntrls (2)</vt:lpstr>
      <vt:lpstr>Furnishings</vt:lpstr>
      <vt:lpstr>Furnishings (2)</vt:lpstr>
      <vt:lpstr>Hydr</vt:lpstr>
      <vt:lpstr>Elec</vt:lpstr>
      <vt:lpstr>Elex-Comms</vt:lpstr>
      <vt:lpstr>Arm Prov</vt:lpstr>
      <vt:lpstr>Arm Prov (2)</vt:lpstr>
      <vt:lpstr>Other</vt:lpstr>
      <vt:lpstr>Prpln</vt:lpstr>
      <vt:lpstr>Prpln (2)</vt:lpstr>
      <vt:lpstr>Eng wAcc</vt:lpstr>
      <vt:lpstr>Eng</vt:lpstr>
      <vt:lpstr>Eng (2)</vt:lpstr>
      <vt:lpstr>Eng (3)</vt:lpstr>
      <vt:lpstr>Eng Acc</vt:lpstr>
      <vt:lpstr>Eng Pwr</vt:lpstr>
      <vt:lpstr>Eng Pwr (2)</vt:lpstr>
      <vt:lpstr>Eng Pwr (3)</vt:lpstr>
      <vt:lpstr>Eng Pwr (4)</vt:lpstr>
      <vt:lpstr>Eng Pwr (5)</vt:lpstr>
      <vt:lpstr>Eng Acc (2)</vt:lpstr>
      <vt:lpstr>Prop Dia</vt:lpstr>
      <vt:lpstr>Prop</vt:lpstr>
      <vt:lpstr>Prop (2)</vt:lpstr>
      <vt:lpstr>Prop (3)</vt:lpstr>
      <vt:lpstr>Prpln Cntrls</vt:lpstr>
      <vt:lpstr>Starting</vt:lpstr>
      <vt:lpstr>Starting (2)</vt:lpstr>
      <vt:lpstr>Cooling</vt:lpstr>
      <vt:lpstr>LO Sys</vt:lpstr>
      <vt:lpstr>LO Sys (2)</vt:lpstr>
      <vt:lpstr>Fuel Sys</vt:lpstr>
      <vt:lpstr>Fuel Sys (2)</vt:lpstr>
      <vt:lpstr>Fuel Sys (3)</vt:lpstr>
      <vt:lpstr>Struct</vt:lpstr>
      <vt:lpstr>Body</vt:lpstr>
      <vt:lpstr>Body (2)</vt:lpstr>
      <vt:lpstr>Body (3)</vt:lpstr>
      <vt:lpstr>Fuselage</vt:lpstr>
      <vt:lpstr>Eng Sect</vt:lpstr>
      <vt:lpstr>Eng Sect (2)</vt:lpstr>
      <vt:lpstr>Wing</vt:lpstr>
      <vt:lpstr>Wing Fold</vt:lpstr>
      <vt:lpstr>Wing (2)</vt:lpstr>
      <vt:lpstr>Sp_Wing_Wt_1</vt:lpstr>
      <vt:lpstr>Sp_Wing_Wt_2</vt:lpstr>
      <vt:lpstr>Sp_Wing_Wt_3</vt:lpstr>
      <vt:lpstr>Tail</vt:lpstr>
      <vt:lpstr>Tail (2)</vt:lpstr>
      <vt:lpstr>H Tail</vt:lpstr>
      <vt:lpstr>H Tail (2)</vt:lpstr>
      <vt:lpstr>V Tail</vt:lpstr>
      <vt:lpstr>V Tail (2)</vt:lpstr>
      <vt:lpstr>LG</vt:lpstr>
      <vt:lpstr>MLG</vt:lpstr>
      <vt:lpstr>ALG</vt:lpstr>
      <vt:lpstr>Tail Hook</vt:lpstr>
      <vt:lpstr>Tail Hook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Naughton</dc:creator>
  <cp:lastModifiedBy>Patrick Naughton</cp:lastModifiedBy>
  <dcterms:created xsi:type="dcterms:W3CDTF">2025-01-17T06:20:11Z</dcterms:created>
  <dcterms:modified xsi:type="dcterms:W3CDTF">2025-05-02T07:04:09Z</dcterms:modified>
</cp:coreProperties>
</file>